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 UNFV 2021\PROYECTOS APLICATIVOS POSGRADO\CHOMPAS DE ALPACA\"/>
    </mc:Choice>
  </mc:AlternateContent>
  <xr:revisionPtr revIDLastSave="0" documentId="8_{1670CB0F-D80A-4742-984A-377AC4053887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Resumen del escenario 2" sheetId="20" r:id="rId1"/>
    <sheet name="Análisis de sensibilidad" sheetId="18" r:id="rId2"/>
    <sheet name="Resumen" sheetId="1" r:id="rId3"/>
    <sheet name="Presupuesto de ventas" sheetId="4" r:id="rId4"/>
    <sheet name="Inversión inicial" sheetId="2" r:id="rId5"/>
    <sheet name="Depreciación" sheetId="3" r:id="rId6"/>
    <sheet name="Costo de producción" sheetId="6" r:id="rId7"/>
    <sheet name="Sueldos" sheetId="7" r:id="rId8"/>
    <sheet name="Gastos operativos" sheetId="8" r:id="rId9"/>
    <sheet name="Capital_Trabajo" sheetId="5" r:id="rId10"/>
    <sheet name="Costo unitario" sheetId="9" r:id="rId11"/>
    <sheet name="Punto de equilibrio" sheetId="10" r:id="rId12"/>
    <sheet name="Estado de resultados" sheetId="11" r:id="rId13"/>
    <sheet name="Costo_Deuda" sheetId="12" r:id="rId14"/>
    <sheet name="COK=Ku" sheetId="13" r:id="rId15"/>
    <sheet name="Kert y Wacc" sheetId="14" r:id="rId16"/>
    <sheet name="FLUJO DE CAJA" sheetId="15" r:id="rId17"/>
    <sheet name="Rentabilidad" sheetId="16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9" l="1"/>
  <c r="E8" i="12"/>
  <c r="G64" i="2"/>
  <c r="E21" i="5"/>
  <c r="F21" i="5"/>
  <c r="G21" i="5"/>
  <c r="H21" i="5"/>
  <c r="I21" i="5"/>
  <c r="J21" i="5"/>
  <c r="K21" i="5"/>
  <c r="L21" i="5"/>
  <c r="M21" i="5"/>
  <c r="N21" i="5"/>
  <c r="O21" i="5"/>
  <c r="D21" i="5"/>
  <c r="F15" i="9"/>
  <c r="H5" i="3"/>
  <c r="E11" i="1"/>
  <c r="C6" i="1"/>
  <c r="E6" i="12" s="1"/>
  <c r="I12" i="13"/>
  <c r="C13" i="7"/>
  <c r="C12" i="7" s="1"/>
  <c r="C11" i="7"/>
  <c r="C10" i="7"/>
  <c r="C9" i="7"/>
  <c r="H9" i="7" s="1"/>
  <c r="E14" i="8"/>
  <c r="E9" i="7" l="1"/>
  <c r="I2" i="3"/>
  <c r="H8" i="16"/>
  <c r="E7" i="12"/>
  <c r="D9" i="16"/>
  <c r="D21" i="16" s="1"/>
  <c r="H9" i="16" l="1"/>
  <c r="H21" i="16" s="1"/>
  <c r="C16" i="1"/>
  <c r="C19" i="1"/>
  <c r="A62" i="18" s="1"/>
  <c r="C18" i="1"/>
  <c r="C17" i="1"/>
  <c r="C15" i="1"/>
  <c r="C14" i="1"/>
  <c r="A46" i="18" s="1"/>
  <c r="C13" i="1"/>
  <c r="A30" i="18" l="1"/>
  <c r="A29" i="18" s="1"/>
  <c r="I24" i="9"/>
  <c r="H10" i="16"/>
  <c r="B65" i="18"/>
  <c r="B43" i="18"/>
  <c r="B26" i="18"/>
  <c r="A32" i="18" l="1"/>
  <c r="A31" i="18"/>
  <c r="A33" i="18"/>
  <c r="A25" i="18"/>
  <c r="A34" i="18"/>
  <c r="A26" i="18"/>
  <c r="A35" i="18"/>
  <c r="A27" i="18"/>
  <c r="A28" i="18"/>
  <c r="O18" i="4"/>
  <c r="O17" i="4"/>
  <c r="O16" i="4"/>
  <c r="N15" i="4"/>
  <c r="M15" i="4"/>
  <c r="L15" i="4"/>
  <c r="K15" i="4"/>
  <c r="J15" i="4"/>
  <c r="I15" i="4"/>
  <c r="H15" i="4"/>
  <c r="G15" i="4"/>
  <c r="F15" i="4"/>
  <c r="E15" i="4"/>
  <c r="D15" i="4"/>
  <c r="C15" i="4"/>
  <c r="O14" i="4"/>
  <c r="O13" i="4"/>
  <c r="O12" i="4"/>
  <c r="N11" i="4"/>
  <c r="M11" i="4"/>
  <c r="L11" i="4"/>
  <c r="K11" i="4"/>
  <c r="J11" i="4"/>
  <c r="I11" i="4"/>
  <c r="H11" i="4"/>
  <c r="G11" i="4"/>
  <c r="F11" i="4"/>
  <c r="E11" i="4"/>
  <c r="D11" i="4"/>
  <c r="C11" i="4"/>
  <c r="O10" i="4"/>
  <c r="O9" i="4"/>
  <c r="O8" i="4"/>
  <c r="N7" i="4"/>
  <c r="M7" i="4"/>
  <c r="L7" i="4"/>
  <c r="K7" i="4"/>
  <c r="J7" i="4"/>
  <c r="I7" i="4"/>
  <c r="H7" i="4"/>
  <c r="G7" i="4"/>
  <c r="F7" i="4"/>
  <c r="E7" i="4"/>
  <c r="D7" i="4"/>
  <c r="C7" i="4"/>
  <c r="O15" i="4" l="1"/>
  <c r="O11" i="4"/>
  <c r="O7" i="4"/>
  <c r="E13" i="2"/>
  <c r="F13" i="2" s="1"/>
  <c r="D17" i="8"/>
  <c r="G17" i="8" s="1"/>
  <c r="D9" i="8"/>
  <c r="E24" i="2"/>
  <c r="F24" i="2" s="1"/>
  <c r="E10" i="2"/>
  <c r="F10" i="2" s="1"/>
  <c r="E11" i="2"/>
  <c r="F11" i="2" s="1"/>
  <c r="H13" i="7"/>
  <c r="H12" i="7" s="1"/>
  <c r="H44" i="9"/>
  <c r="C19" i="6"/>
  <c r="F19" i="6" s="1"/>
  <c r="G19" i="6" s="1"/>
  <c r="C14" i="6"/>
  <c r="F14" i="6" s="1"/>
  <c r="G14" i="6" s="1"/>
  <c r="C9" i="6"/>
  <c r="F9" i="6" s="1"/>
  <c r="G9" i="6" s="1"/>
  <c r="C18" i="14"/>
  <c r="C10" i="14"/>
  <c r="H11" i="14"/>
  <c r="C12" i="13"/>
  <c r="D8" i="16" s="1"/>
  <c r="D10" i="16" s="1"/>
  <c r="E4" i="12"/>
  <c r="H10" i="14" s="1"/>
  <c r="C15" i="12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B23" i="11"/>
  <c r="D6" i="11"/>
  <c r="E6" i="11" s="1"/>
  <c r="G12" i="10"/>
  <c r="F16" i="9"/>
  <c r="F17" i="9"/>
  <c r="E62" i="2"/>
  <c r="F62" i="2" s="1"/>
  <c r="E55" i="2"/>
  <c r="F55" i="2" s="1"/>
  <c r="E56" i="2"/>
  <c r="F56" i="2" s="1"/>
  <c r="E57" i="2"/>
  <c r="F57" i="2" s="1"/>
  <c r="D38" i="8"/>
  <c r="G36" i="8"/>
  <c r="G35" i="8"/>
  <c r="G34" i="8"/>
  <c r="E20" i="8"/>
  <c r="E21" i="8" s="1"/>
  <c r="G19" i="8"/>
  <c r="H19" i="8" s="1"/>
  <c r="G12" i="8"/>
  <c r="H12" i="8" s="1"/>
  <c r="G11" i="8"/>
  <c r="F10" i="8"/>
  <c r="H10" i="8" s="1"/>
  <c r="D21" i="7"/>
  <c r="E21" i="7" s="1"/>
  <c r="F12" i="7"/>
  <c r="F8" i="7"/>
  <c r="F14" i="7" s="1"/>
  <c r="E55" i="5"/>
  <c r="F55" i="5"/>
  <c r="G55" i="5"/>
  <c r="H55" i="5"/>
  <c r="I55" i="5"/>
  <c r="J55" i="5"/>
  <c r="K55" i="5"/>
  <c r="L55" i="5"/>
  <c r="M55" i="5"/>
  <c r="N55" i="5"/>
  <c r="O55" i="5"/>
  <c r="E56" i="5"/>
  <c r="F56" i="5"/>
  <c r="G56" i="5"/>
  <c r="H56" i="5"/>
  <c r="I56" i="5"/>
  <c r="J56" i="5"/>
  <c r="K56" i="5"/>
  <c r="L56" i="5"/>
  <c r="M56" i="5"/>
  <c r="N56" i="5"/>
  <c r="O56" i="5"/>
  <c r="E57" i="5"/>
  <c r="F57" i="5"/>
  <c r="G57" i="5"/>
  <c r="H57" i="5"/>
  <c r="I57" i="5"/>
  <c r="J57" i="5"/>
  <c r="K57" i="5"/>
  <c r="L57" i="5"/>
  <c r="M57" i="5"/>
  <c r="N57" i="5"/>
  <c r="O57" i="5"/>
  <c r="D56" i="5"/>
  <c r="D57" i="5"/>
  <c r="D55" i="5"/>
  <c r="E33" i="5"/>
  <c r="F33" i="5"/>
  <c r="G33" i="5"/>
  <c r="H33" i="5"/>
  <c r="I33" i="5"/>
  <c r="J33" i="5"/>
  <c r="K33" i="5"/>
  <c r="L33" i="5"/>
  <c r="M33" i="5"/>
  <c r="N33" i="5"/>
  <c r="O33" i="5"/>
  <c r="E34" i="5"/>
  <c r="F34" i="5"/>
  <c r="G34" i="5"/>
  <c r="H34" i="5"/>
  <c r="I34" i="5"/>
  <c r="J34" i="5"/>
  <c r="K34" i="5"/>
  <c r="L34" i="5"/>
  <c r="M34" i="5"/>
  <c r="N34" i="5"/>
  <c r="O34" i="5"/>
  <c r="E35" i="5"/>
  <c r="F35" i="5"/>
  <c r="G35" i="5"/>
  <c r="H35" i="5"/>
  <c r="I35" i="5"/>
  <c r="J35" i="5"/>
  <c r="K35" i="5"/>
  <c r="L35" i="5"/>
  <c r="M35" i="5"/>
  <c r="N35" i="5"/>
  <c r="O35" i="5"/>
  <c r="D34" i="5"/>
  <c r="D35" i="5"/>
  <c r="D33" i="5"/>
  <c r="E50" i="2"/>
  <c r="F50" i="2" s="1"/>
  <c r="E51" i="2"/>
  <c r="F51" i="2" s="1"/>
  <c r="C30" i="6"/>
  <c r="F30" i="6" s="1"/>
  <c r="F29" i="6" s="1"/>
  <c r="G29" i="6" s="1"/>
  <c r="C28" i="6"/>
  <c r="F28" i="6" s="1"/>
  <c r="F27" i="6" s="1"/>
  <c r="G27" i="6" s="1"/>
  <c r="C26" i="6"/>
  <c r="F26" i="6" s="1"/>
  <c r="F25" i="6" s="1"/>
  <c r="G25" i="6" s="1"/>
  <c r="G24" i="6"/>
  <c r="G23" i="6"/>
  <c r="F20" i="6"/>
  <c r="G20" i="6" s="1"/>
  <c r="F21" i="6"/>
  <c r="G21" i="6" s="1"/>
  <c r="F22" i="6"/>
  <c r="G22" i="6" s="1"/>
  <c r="F15" i="6"/>
  <c r="G15" i="6" s="1"/>
  <c r="F16" i="6"/>
  <c r="G16" i="6" s="1"/>
  <c r="F17" i="6"/>
  <c r="G17" i="6" s="1"/>
  <c r="F10" i="6"/>
  <c r="G10" i="6" s="1"/>
  <c r="F11" i="6"/>
  <c r="G11" i="6" s="1"/>
  <c r="F12" i="6"/>
  <c r="G12" i="6" s="1"/>
  <c r="E10" i="5"/>
  <c r="F10" i="5"/>
  <c r="G10" i="5"/>
  <c r="H10" i="5"/>
  <c r="I10" i="5"/>
  <c r="J10" i="5"/>
  <c r="K10" i="5"/>
  <c r="L10" i="5"/>
  <c r="M10" i="5"/>
  <c r="N10" i="5"/>
  <c r="O10" i="5"/>
  <c r="E11" i="5"/>
  <c r="F11" i="5"/>
  <c r="G11" i="5"/>
  <c r="H11" i="5"/>
  <c r="I11" i="5"/>
  <c r="J11" i="5"/>
  <c r="K11" i="5"/>
  <c r="L11" i="5"/>
  <c r="M11" i="5"/>
  <c r="N11" i="5"/>
  <c r="O11" i="5"/>
  <c r="E12" i="5"/>
  <c r="F12" i="5"/>
  <c r="G12" i="5"/>
  <c r="H12" i="5"/>
  <c r="I12" i="5"/>
  <c r="J12" i="5"/>
  <c r="K12" i="5"/>
  <c r="L12" i="5"/>
  <c r="M12" i="5"/>
  <c r="N12" i="5"/>
  <c r="O12" i="5"/>
  <c r="D11" i="5"/>
  <c r="D12" i="5"/>
  <c r="D10" i="5"/>
  <c r="E5" i="3"/>
  <c r="E6" i="3"/>
  <c r="E7" i="3"/>
  <c r="E8" i="3"/>
  <c r="F41" i="2"/>
  <c r="F40" i="2"/>
  <c r="F39" i="2"/>
  <c r="F38" i="2"/>
  <c r="F37" i="2"/>
  <c r="F36" i="2"/>
  <c r="F34" i="2"/>
  <c r="F33" i="2"/>
  <c r="F32" i="2"/>
  <c r="F31" i="2" s="1"/>
  <c r="F30" i="2"/>
  <c r="F29" i="2"/>
  <c r="F28" i="2"/>
  <c r="F27" i="2"/>
  <c r="F26" i="2"/>
  <c r="F23" i="2"/>
  <c r="F22" i="2"/>
  <c r="F21" i="2"/>
  <c r="F20" i="2"/>
  <c r="F19" i="2"/>
  <c r="F18" i="2"/>
  <c r="F17" i="2"/>
  <c r="F16" i="2"/>
  <c r="F15" i="2"/>
  <c r="F12" i="2"/>
  <c r="F14" i="2" l="1"/>
  <c r="F25" i="2"/>
  <c r="F35" i="2"/>
  <c r="G35" i="2" s="1"/>
  <c r="F9" i="2"/>
  <c r="F8" i="2" s="1"/>
  <c r="G14" i="8"/>
  <c r="E54" i="2"/>
  <c r="F54" i="2" s="1"/>
  <c r="H14" i="2"/>
  <c r="A58" i="18"/>
  <c r="A64" i="18"/>
  <c r="A65" i="18"/>
  <c r="A67" i="18"/>
  <c r="A60" i="18"/>
  <c r="A63" i="18"/>
  <c r="A57" i="18"/>
  <c r="A66" i="18"/>
  <c r="A59" i="18"/>
  <c r="A61" i="18"/>
  <c r="A50" i="18"/>
  <c r="A51" i="18"/>
  <c r="A42" i="18"/>
  <c r="A44" i="18"/>
  <c r="A43" i="18"/>
  <c r="A41" i="18"/>
  <c r="A49" i="18"/>
  <c r="A47" i="18"/>
  <c r="A48" i="18"/>
  <c r="A45" i="18"/>
  <c r="F32" i="5"/>
  <c r="N54" i="5"/>
  <c r="J54" i="5"/>
  <c r="M54" i="5"/>
  <c r="E54" i="5"/>
  <c r="I54" i="5"/>
  <c r="L54" i="5"/>
  <c r="O54" i="5"/>
  <c r="G54" i="5"/>
  <c r="E5" i="12"/>
  <c r="D13" i="7"/>
  <c r="D12" i="7" s="1"/>
  <c r="E10" i="7"/>
  <c r="F9" i="8"/>
  <c r="H9" i="8" s="1"/>
  <c r="E60" i="2"/>
  <c r="F60" i="2" s="1"/>
  <c r="N32" i="5"/>
  <c r="H54" i="5"/>
  <c r="K54" i="5"/>
  <c r="D54" i="5"/>
  <c r="E32" i="5"/>
  <c r="J32" i="5"/>
  <c r="K32" i="5"/>
  <c r="M32" i="5"/>
  <c r="L32" i="5"/>
  <c r="O32" i="5"/>
  <c r="G32" i="5"/>
  <c r="O9" i="5"/>
  <c r="G9" i="5"/>
  <c r="J9" i="5"/>
  <c r="H9" i="5"/>
  <c r="C6" i="3"/>
  <c r="E49" i="2"/>
  <c r="F49" i="2" s="1"/>
  <c r="C40" i="6"/>
  <c r="H10" i="7"/>
  <c r="E11" i="7"/>
  <c r="H31" i="2"/>
  <c r="C8" i="3"/>
  <c r="F8" i="3" s="1"/>
  <c r="G8" i="3" s="1"/>
  <c r="H11" i="7"/>
  <c r="D10" i="7"/>
  <c r="C13" i="6"/>
  <c r="O60" i="5" s="1"/>
  <c r="O64" i="5" s="1"/>
  <c r="C18" i="6"/>
  <c r="C8" i="6"/>
  <c r="F12" i="9" s="1"/>
  <c r="F25" i="9" s="1"/>
  <c r="E40" i="6"/>
  <c r="D40" i="6"/>
  <c r="F18" i="6"/>
  <c r="G18" i="6" s="1"/>
  <c r="F8" i="6"/>
  <c r="G8" i="6" s="1"/>
  <c r="F13" i="6"/>
  <c r="G13" i="6" s="1"/>
  <c r="F20" i="9"/>
  <c r="F3" i="9" s="1"/>
  <c r="G38" i="8"/>
  <c r="D18" i="8" s="1"/>
  <c r="H11" i="8"/>
  <c r="H17" i="8"/>
  <c r="C8" i="7"/>
  <c r="D9" i="7"/>
  <c r="G9" i="7" s="1"/>
  <c r="E13" i="7"/>
  <c r="E12" i="7" s="1"/>
  <c r="D11" i="7"/>
  <c r="F54" i="5"/>
  <c r="H32" i="5"/>
  <c r="D32" i="5"/>
  <c r="I32" i="5"/>
  <c r="M9" i="5"/>
  <c r="E9" i="5"/>
  <c r="N9" i="5"/>
  <c r="L9" i="5"/>
  <c r="K9" i="5"/>
  <c r="I9" i="5"/>
  <c r="F9" i="5"/>
  <c r="D9" i="5"/>
  <c r="H9" i="2" l="1"/>
  <c r="F48" i="2"/>
  <c r="G48" i="2" s="1"/>
  <c r="G18" i="8"/>
  <c r="E61" i="2"/>
  <c r="F61" i="2" s="1"/>
  <c r="E8" i="7"/>
  <c r="E14" i="7" s="1"/>
  <c r="C14" i="7"/>
  <c r="G10" i="7"/>
  <c r="I10" i="7" s="1"/>
  <c r="P54" i="5"/>
  <c r="C6" i="15"/>
  <c r="D13" i="8"/>
  <c r="F6" i="3"/>
  <c r="G6" i="3" s="1"/>
  <c r="E5" i="15"/>
  <c r="H8" i="7"/>
  <c r="H14" i="7" s="1"/>
  <c r="G11" i="7"/>
  <c r="I11" i="7" s="1"/>
  <c r="C7" i="3"/>
  <c r="H25" i="2"/>
  <c r="H8" i="3"/>
  <c r="C5" i="15"/>
  <c r="F42" i="2"/>
  <c r="C5" i="3"/>
  <c r="F7" i="2"/>
  <c r="M60" i="5"/>
  <c r="M64" i="5" s="1"/>
  <c r="O38" i="5"/>
  <c r="O42" i="5" s="1"/>
  <c r="G38" i="5"/>
  <c r="G42" i="5" s="1"/>
  <c r="K15" i="5"/>
  <c r="K19" i="5" s="1"/>
  <c r="F16" i="5"/>
  <c r="F20" i="5" s="1"/>
  <c r="E14" i="5"/>
  <c r="E18" i="5" s="1"/>
  <c r="D37" i="5"/>
  <c r="D41" i="5" s="1"/>
  <c r="N38" i="5"/>
  <c r="N42" i="5" s="1"/>
  <c r="L39" i="5"/>
  <c r="L43" i="5" s="1"/>
  <c r="F59" i="5"/>
  <c r="F63" i="5" s="1"/>
  <c r="N16" i="5"/>
  <c r="N20" i="5" s="1"/>
  <c r="J59" i="5"/>
  <c r="J63" i="5" s="1"/>
  <c r="K37" i="5"/>
  <c r="K41" i="5" s="1"/>
  <c r="L14" i="5"/>
  <c r="L18" i="5" s="1"/>
  <c r="K59" i="5"/>
  <c r="K63" i="5" s="1"/>
  <c r="L60" i="5"/>
  <c r="L64" i="5" s="1"/>
  <c r="F38" i="5"/>
  <c r="F42" i="5" s="1"/>
  <c r="I16" i="5"/>
  <c r="I20" i="5" s="1"/>
  <c r="L59" i="5"/>
  <c r="L63" i="5" s="1"/>
  <c r="N14" i="5"/>
  <c r="N18" i="5" s="1"/>
  <c r="F37" i="5"/>
  <c r="F41" i="5" s="1"/>
  <c r="O14" i="5"/>
  <c r="O18" i="5" s="1"/>
  <c r="H15" i="5"/>
  <c r="H19" i="5" s="1"/>
  <c r="M38" i="5"/>
  <c r="M42" i="5" s="1"/>
  <c r="O59" i="5"/>
  <c r="O63" i="5" s="1"/>
  <c r="E38" i="5"/>
  <c r="E42" i="5" s="1"/>
  <c r="F14" i="9"/>
  <c r="F39" i="9" s="1"/>
  <c r="N59" i="5"/>
  <c r="N63" i="5" s="1"/>
  <c r="H14" i="5"/>
  <c r="H18" i="5" s="1"/>
  <c r="K14" i="5"/>
  <c r="K18" i="5" s="1"/>
  <c r="E59" i="5"/>
  <c r="E63" i="5" s="1"/>
  <c r="K60" i="5"/>
  <c r="K64" i="5" s="1"/>
  <c r="D61" i="5"/>
  <c r="D65" i="5" s="1"/>
  <c r="E60" i="5"/>
  <c r="E64" i="5" s="1"/>
  <c r="D60" i="5"/>
  <c r="D64" i="5" s="1"/>
  <c r="H38" i="5"/>
  <c r="H42" i="5" s="1"/>
  <c r="F13" i="9"/>
  <c r="F32" i="9" s="1"/>
  <c r="I15" i="5"/>
  <c r="I19" i="5" s="1"/>
  <c r="J15" i="5"/>
  <c r="J19" i="5" s="1"/>
  <c r="D39" i="5"/>
  <c r="D43" i="5" s="1"/>
  <c r="M61" i="5"/>
  <c r="M65" i="5" s="1"/>
  <c r="C39" i="6"/>
  <c r="C41" i="6" s="1"/>
  <c r="C9" i="11" s="1"/>
  <c r="D12" i="15" s="1"/>
  <c r="N60" i="5"/>
  <c r="N64" i="5" s="1"/>
  <c r="J38" i="5"/>
  <c r="J42" i="5" s="1"/>
  <c r="I38" i="5"/>
  <c r="I42" i="5" s="1"/>
  <c r="D38" i="5"/>
  <c r="D42" i="5" s="1"/>
  <c r="G15" i="5"/>
  <c r="G19" i="5" s="1"/>
  <c r="O16" i="5"/>
  <c r="O20" i="5" s="1"/>
  <c r="D15" i="5"/>
  <c r="D8" i="10" s="1"/>
  <c r="H61" i="5"/>
  <c r="H65" i="5" s="1"/>
  <c r="F60" i="5"/>
  <c r="F64" i="5" s="1"/>
  <c r="E15" i="5"/>
  <c r="E19" i="5" s="1"/>
  <c r="F15" i="5"/>
  <c r="F19" i="5" s="1"/>
  <c r="L15" i="5"/>
  <c r="L19" i="5" s="1"/>
  <c r="O15" i="5"/>
  <c r="O19" i="5" s="1"/>
  <c r="G60" i="5"/>
  <c r="G64" i="5" s="1"/>
  <c r="K61" i="5"/>
  <c r="K65" i="5" s="1"/>
  <c r="K16" i="5"/>
  <c r="K20" i="5" s="1"/>
  <c r="K38" i="5"/>
  <c r="K42" i="5" s="1"/>
  <c r="M15" i="5"/>
  <c r="M19" i="5" s="1"/>
  <c r="N15" i="5"/>
  <c r="N19" i="5" s="1"/>
  <c r="L38" i="5"/>
  <c r="L42" i="5" s="1"/>
  <c r="K39" i="5"/>
  <c r="K43" i="5" s="1"/>
  <c r="E46" i="2"/>
  <c r="F46" i="2" s="1"/>
  <c r="E16" i="5"/>
  <c r="E20" i="5" s="1"/>
  <c r="N39" i="5"/>
  <c r="N43" i="5" s="1"/>
  <c r="J60" i="5"/>
  <c r="J64" i="5" s="1"/>
  <c r="I60" i="5"/>
  <c r="I64" i="5" s="1"/>
  <c r="H60" i="5"/>
  <c r="H64" i="5" s="1"/>
  <c r="L61" i="5"/>
  <c r="L65" i="5" s="1"/>
  <c r="J39" i="5"/>
  <c r="J43" i="5" s="1"/>
  <c r="G39" i="5"/>
  <c r="G43" i="5" s="1"/>
  <c r="E39" i="5"/>
  <c r="E43" i="5" s="1"/>
  <c r="E47" i="2"/>
  <c r="F47" i="2" s="1"/>
  <c r="M16" i="5"/>
  <c r="M20" i="5" s="1"/>
  <c r="J16" i="5"/>
  <c r="J20" i="5" s="1"/>
  <c r="F39" i="5"/>
  <c r="F43" i="5" s="1"/>
  <c r="L16" i="5"/>
  <c r="L20" i="5" s="1"/>
  <c r="I61" i="5"/>
  <c r="I65" i="5" s="1"/>
  <c r="I39" i="5"/>
  <c r="I43" i="5" s="1"/>
  <c r="G61" i="5"/>
  <c r="G65" i="5" s="1"/>
  <c r="D16" i="5"/>
  <c r="N61" i="5"/>
  <c r="N65" i="5" s="1"/>
  <c r="O61" i="5"/>
  <c r="O65" i="5" s="1"/>
  <c r="E61" i="5"/>
  <c r="E65" i="5" s="1"/>
  <c r="F61" i="5"/>
  <c r="F65" i="5" s="1"/>
  <c r="J61" i="5"/>
  <c r="J65" i="5" s="1"/>
  <c r="G16" i="5"/>
  <c r="G20" i="5" s="1"/>
  <c r="O39" i="5"/>
  <c r="O43" i="5" s="1"/>
  <c r="H39" i="5"/>
  <c r="H43" i="5" s="1"/>
  <c r="M39" i="5"/>
  <c r="M43" i="5" s="1"/>
  <c r="H16" i="5"/>
  <c r="H20" i="5" s="1"/>
  <c r="O37" i="5"/>
  <c r="O41" i="5" s="1"/>
  <c r="F14" i="5"/>
  <c r="F18" i="5" s="1"/>
  <c r="M14" i="5"/>
  <c r="M18" i="5" s="1"/>
  <c r="G14" i="5"/>
  <c r="G18" i="5" s="1"/>
  <c r="M37" i="5"/>
  <c r="M41" i="5" s="1"/>
  <c r="I59" i="5"/>
  <c r="I63" i="5" s="1"/>
  <c r="G59" i="5"/>
  <c r="G63" i="5" s="1"/>
  <c r="I37" i="5"/>
  <c r="I41" i="5" s="1"/>
  <c r="D59" i="5"/>
  <c r="D63" i="5" s="1"/>
  <c r="D39" i="6"/>
  <c r="D41" i="6" s="1"/>
  <c r="D9" i="11" s="1"/>
  <c r="E12" i="15" s="1"/>
  <c r="E39" i="6"/>
  <c r="E41" i="6" s="1"/>
  <c r="E9" i="11" s="1"/>
  <c r="F12" i="15" s="1"/>
  <c r="E37" i="5"/>
  <c r="E41" i="5" s="1"/>
  <c r="L37" i="5"/>
  <c r="L41" i="5" s="1"/>
  <c r="H59" i="5"/>
  <c r="H63" i="5" s="1"/>
  <c r="J37" i="5"/>
  <c r="J41" i="5" s="1"/>
  <c r="E45" i="2"/>
  <c r="F45" i="2" s="1"/>
  <c r="M59" i="5"/>
  <c r="M63" i="5" s="1"/>
  <c r="G37" i="5"/>
  <c r="G41" i="5" s="1"/>
  <c r="D14" i="5"/>
  <c r="I14" i="5"/>
  <c r="I18" i="5" s="1"/>
  <c r="J14" i="5"/>
  <c r="J18" i="5" s="1"/>
  <c r="H37" i="5"/>
  <c r="H41" i="5" s="1"/>
  <c r="N37" i="5"/>
  <c r="N41" i="5" s="1"/>
  <c r="F7" i="6"/>
  <c r="G7" i="6" s="1"/>
  <c r="G32" i="6" s="1"/>
  <c r="D8" i="7"/>
  <c r="D14" i="7" s="1"/>
  <c r="G13" i="7"/>
  <c r="P32" i="5"/>
  <c r="P9" i="5"/>
  <c r="F19" i="9" l="1"/>
  <c r="D7" i="10"/>
  <c r="D18" i="5"/>
  <c r="F44" i="2"/>
  <c r="H44" i="2" s="1"/>
  <c r="H64" i="2" s="1"/>
  <c r="H6" i="3"/>
  <c r="F13" i="8"/>
  <c r="H13" i="8" s="1"/>
  <c r="H18" i="8"/>
  <c r="G20" i="8"/>
  <c r="G21" i="8" s="1"/>
  <c r="F7" i="3"/>
  <c r="G7" i="3" s="1"/>
  <c r="F5" i="3"/>
  <c r="G5" i="3" s="1"/>
  <c r="I40" i="5"/>
  <c r="F62" i="5"/>
  <c r="G62" i="5"/>
  <c r="O17" i="5"/>
  <c r="M62" i="5"/>
  <c r="F40" i="5"/>
  <c r="J62" i="5"/>
  <c r="D62" i="5"/>
  <c r="K17" i="5"/>
  <c r="L62" i="5"/>
  <c r="L40" i="5"/>
  <c r="G40" i="5"/>
  <c r="N62" i="5"/>
  <c r="E17" i="5"/>
  <c r="I17" i="5"/>
  <c r="N40" i="5"/>
  <c r="O40" i="5"/>
  <c r="K62" i="5"/>
  <c r="D40" i="5"/>
  <c r="J17" i="5"/>
  <c r="L17" i="5"/>
  <c r="H17" i="5"/>
  <c r="N17" i="5"/>
  <c r="J40" i="5"/>
  <c r="E62" i="5"/>
  <c r="K40" i="5"/>
  <c r="F17" i="5"/>
  <c r="O62" i="5"/>
  <c r="D19" i="5"/>
  <c r="H62" i="5"/>
  <c r="M40" i="5"/>
  <c r="E40" i="5"/>
  <c r="H40" i="5"/>
  <c r="G17" i="5"/>
  <c r="I62" i="5"/>
  <c r="D9" i="10"/>
  <c r="D20" i="5"/>
  <c r="M17" i="5"/>
  <c r="F32" i="6"/>
  <c r="I9" i="7"/>
  <c r="I8" i="7" s="1"/>
  <c r="D8" i="8" s="1"/>
  <c r="E53" i="2" s="1"/>
  <c r="F53" i="2" s="1"/>
  <c r="F52" i="2" s="1"/>
  <c r="G52" i="2" s="1"/>
  <c r="G8" i="7"/>
  <c r="I13" i="7"/>
  <c r="I12" i="7" s="1"/>
  <c r="D16" i="8" s="1"/>
  <c r="G12" i="7"/>
  <c r="C15" i="11" l="1"/>
  <c r="D15" i="11"/>
  <c r="E15" i="11"/>
  <c r="D20" i="8"/>
  <c r="E59" i="2"/>
  <c r="F59" i="2" s="1"/>
  <c r="F58" i="2" s="1"/>
  <c r="G58" i="2" s="1"/>
  <c r="F16" i="8"/>
  <c r="H16" i="8" s="1"/>
  <c r="H20" i="8" s="1"/>
  <c r="D14" i="8"/>
  <c r="F8" i="8"/>
  <c r="H8" i="8" s="1"/>
  <c r="H14" i="8" s="1"/>
  <c r="H7" i="3"/>
  <c r="F7" i="9"/>
  <c r="E3" i="12"/>
  <c r="E10" i="12" s="1"/>
  <c r="F9" i="3"/>
  <c r="D17" i="5"/>
  <c r="D23" i="5" s="1"/>
  <c r="C24" i="5" s="1"/>
  <c r="P40" i="5"/>
  <c r="P62" i="5"/>
  <c r="G14" i="7"/>
  <c r="I14" i="7"/>
  <c r="E22" i="7"/>
  <c r="C22" i="7"/>
  <c r="D22" i="7"/>
  <c r="D23" i="7"/>
  <c r="C23" i="7"/>
  <c r="E23" i="7"/>
  <c r="F20" i="8" l="1"/>
  <c r="F6" i="9"/>
  <c r="E10" i="11"/>
  <c r="D10" i="11"/>
  <c r="C10" i="11"/>
  <c r="F8" i="9"/>
  <c r="D14" i="11"/>
  <c r="E14" i="11"/>
  <c r="C14" i="11"/>
  <c r="D21" i="8"/>
  <c r="F14" i="8"/>
  <c r="F21" i="8" s="1"/>
  <c r="D13" i="11"/>
  <c r="E13" i="11"/>
  <c r="C13" i="11"/>
  <c r="C20" i="15"/>
  <c r="C24" i="15" s="1"/>
  <c r="G31" i="12"/>
  <c r="H9" i="3"/>
  <c r="F9" i="15" s="1"/>
  <c r="H21" i="8"/>
  <c r="H23" i="5" s="1"/>
  <c r="F43" i="2"/>
  <c r="F63" i="2"/>
  <c r="F64" i="2" s="1"/>
  <c r="H7" i="14" s="1"/>
  <c r="H9" i="14" s="1"/>
  <c r="F5" i="9"/>
  <c r="I14" i="8"/>
  <c r="D14" i="12"/>
  <c r="E14" i="12" s="1"/>
  <c r="E24" i="7"/>
  <c r="P17" i="5"/>
  <c r="D24" i="7"/>
  <c r="C24" i="7"/>
  <c r="H65" i="2" l="1"/>
  <c r="G65" i="2"/>
  <c r="F10" i="9"/>
  <c r="M66" i="5"/>
  <c r="M68" i="5" s="1"/>
  <c r="D13" i="15"/>
  <c r="D44" i="5"/>
  <c r="D46" i="5" s="1"/>
  <c r="N23" i="5"/>
  <c r="K66" i="5"/>
  <c r="K68" i="5" s="1"/>
  <c r="F66" i="5"/>
  <c r="F68" i="5" s="1"/>
  <c r="E13" i="15"/>
  <c r="I44" i="5"/>
  <c r="I46" i="5" s="1"/>
  <c r="G44" i="5"/>
  <c r="G46" i="5" s="1"/>
  <c r="O23" i="5"/>
  <c r="H44" i="5"/>
  <c r="H46" i="5" s="1"/>
  <c r="L23" i="5"/>
  <c r="H66" i="5"/>
  <c r="H68" i="5" s="1"/>
  <c r="J66" i="5"/>
  <c r="J68" i="5" s="1"/>
  <c r="F13" i="15"/>
  <c r="F23" i="5"/>
  <c r="F44" i="5"/>
  <c r="F46" i="5" s="1"/>
  <c r="L44" i="5"/>
  <c r="L46" i="5" s="1"/>
  <c r="G66" i="5"/>
  <c r="G68" i="5" s="1"/>
  <c r="K44" i="5"/>
  <c r="K46" i="5" s="1"/>
  <c r="N44" i="5"/>
  <c r="N46" i="5" s="1"/>
  <c r="I23" i="5"/>
  <c r="H24" i="5" s="1"/>
  <c r="L66" i="5"/>
  <c r="L68" i="5" s="1"/>
  <c r="M23" i="5"/>
  <c r="N66" i="5"/>
  <c r="N68" i="5" s="1"/>
  <c r="O44" i="5"/>
  <c r="O46" i="5" s="1"/>
  <c r="J44" i="5"/>
  <c r="J46" i="5" s="1"/>
  <c r="J23" i="5"/>
  <c r="E44" i="5"/>
  <c r="E46" i="5" s="1"/>
  <c r="E23" i="5"/>
  <c r="D24" i="5" s="1"/>
  <c r="K23" i="5"/>
  <c r="M44" i="5"/>
  <c r="M46" i="5" s="1"/>
  <c r="E66" i="5"/>
  <c r="E68" i="5" s="1"/>
  <c r="I66" i="5"/>
  <c r="I68" i="5" s="1"/>
  <c r="D66" i="5"/>
  <c r="D68" i="5" s="1"/>
  <c r="C69" i="5" s="1"/>
  <c r="G23" i="5"/>
  <c r="O66" i="5"/>
  <c r="O68" i="5" s="1"/>
  <c r="G17" i="12"/>
  <c r="G22" i="12"/>
  <c r="G18" i="12"/>
  <c r="G32" i="12"/>
  <c r="G25" i="12"/>
  <c r="G36" i="12"/>
  <c r="G33" i="12"/>
  <c r="G29" i="12"/>
  <c r="G30" i="12"/>
  <c r="G15" i="12"/>
  <c r="G16" i="12"/>
  <c r="G27" i="12"/>
  <c r="G19" i="12"/>
  <c r="G26" i="12"/>
  <c r="G34" i="12"/>
  <c r="G20" i="12"/>
  <c r="G21" i="12"/>
  <c r="G37" i="12"/>
  <c r="G14" i="12"/>
  <c r="F14" i="12" s="1"/>
  <c r="H14" i="12" s="1"/>
  <c r="D15" i="12" s="1"/>
  <c r="E15" i="12" s="1"/>
  <c r="G24" i="12"/>
  <c r="G35" i="12"/>
  <c r="G23" i="12"/>
  <c r="G28" i="12"/>
  <c r="Y42" i="10"/>
  <c r="F24" i="9" l="1"/>
  <c r="F26" i="9" s="1"/>
  <c r="C19" i="14"/>
  <c r="C22" i="14" s="1"/>
  <c r="C8" i="14" s="1"/>
  <c r="C12" i="14" s="1"/>
  <c r="H8" i="14" s="1"/>
  <c r="H13" i="14" s="1"/>
  <c r="C47" i="5"/>
  <c r="D47" i="5"/>
  <c r="G47" i="5"/>
  <c r="M69" i="5"/>
  <c r="F31" i="9"/>
  <c r="F33" i="9" s="1"/>
  <c r="C27" i="10"/>
  <c r="J47" i="5"/>
  <c r="I47" i="5"/>
  <c r="J69" i="5"/>
  <c r="G69" i="5"/>
  <c r="E69" i="5"/>
  <c r="L69" i="5"/>
  <c r="H69" i="5"/>
  <c r="N69" i="5"/>
  <c r="F69" i="5"/>
  <c r="K69" i="5"/>
  <c r="I69" i="5"/>
  <c r="D69" i="5"/>
  <c r="E47" i="5"/>
  <c r="K47" i="5"/>
  <c r="N47" i="5"/>
  <c r="F47" i="5"/>
  <c r="L47" i="5"/>
  <c r="H47" i="5"/>
  <c r="M47" i="5"/>
  <c r="K24" i="5"/>
  <c r="I24" i="5"/>
  <c r="F24" i="5"/>
  <c r="C75" i="5"/>
  <c r="L24" i="5"/>
  <c r="G24" i="5"/>
  <c r="M24" i="5"/>
  <c r="N24" i="5"/>
  <c r="E24" i="5"/>
  <c r="J24" i="5"/>
  <c r="P44" i="5"/>
  <c r="P21" i="5"/>
  <c r="P66" i="5"/>
  <c r="G13" i="12"/>
  <c r="G38" i="12"/>
  <c r="F15" i="12"/>
  <c r="H15" i="12" s="1"/>
  <c r="D16" i="12" s="1"/>
  <c r="Y44" i="10"/>
  <c r="Y46" i="10" s="1"/>
  <c r="F38" i="9" l="1"/>
  <c r="F40" i="9" s="1"/>
  <c r="I38" i="9" s="1"/>
  <c r="P69" i="5"/>
  <c r="E75" i="5"/>
  <c r="I26" i="9"/>
  <c r="I31" i="9"/>
  <c r="E16" i="12"/>
  <c r="P24" i="5" l="1"/>
  <c r="I40" i="9"/>
  <c r="I33" i="9"/>
  <c r="C26" i="4"/>
  <c r="C7" i="10"/>
  <c r="F16" i="12"/>
  <c r="P47" i="5" l="1"/>
  <c r="C7" i="15"/>
  <c r="C27" i="4"/>
  <c r="C8" i="10"/>
  <c r="E7" i="10"/>
  <c r="C18" i="10"/>
  <c r="C45" i="10"/>
  <c r="I26" i="4"/>
  <c r="J26" i="4"/>
  <c r="C30" i="4"/>
  <c r="K26" i="4"/>
  <c r="F26" i="4"/>
  <c r="C34" i="4"/>
  <c r="N26" i="4"/>
  <c r="D26" i="4"/>
  <c r="E26" i="4"/>
  <c r="H26" i="4"/>
  <c r="M26" i="4"/>
  <c r="O26" i="4"/>
  <c r="L26" i="4"/>
  <c r="G26" i="4"/>
  <c r="C9" i="10"/>
  <c r="C28" i="4"/>
  <c r="H16" i="12"/>
  <c r="D17" i="12" s="1"/>
  <c r="C10" i="15" l="1"/>
  <c r="C16" i="15" s="1"/>
  <c r="C25" i="15" s="1"/>
  <c r="D75" i="5"/>
  <c r="H30" i="4"/>
  <c r="L30" i="4"/>
  <c r="G30" i="4"/>
  <c r="K30" i="4"/>
  <c r="E30" i="4"/>
  <c r="I30" i="4"/>
  <c r="M30" i="4"/>
  <c r="N30" i="4"/>
  <c r="F30" i="4"/>
  <c r="O30" i="4"/>
  <c r="D30" i="4"/>
  <c r="J30" i="4"/>
  <c r="C47" i="10"/>
  <c r="E9" i="10"/>
  <c r="C20" i="10"/>
  <c r="E34" i="4"/>
  <c r="I34" i="4"/>
  <c r="O34" i="4"/>
  <c r="H34" i="4"/>
  <c r="M34" i="4"/>
  <c r="J34" i="4"/>
  <c r="F34" i="4"/>
  <c r="K34" i="4"/>
  <c r="N34" i="4"/>
  <c r="G34" i="4"/>
  <c r="L34" i="4"/>
  <c r="D34" i="4"/>
  <c r="C46" i="10"/>
  <c r="E8" i="10"/>
  <c r="C19" i="10"/>
  <c r="M28" i="4"/>
  <c r="K28" i="4"/>
  <c r="I28" i="4"/>
  <c r="G28" i="4"/>
  <c r="E28" i="4"/>
  <c r="C36" i="4"/>
  <c r="C32" i="4"/>
  <c r="L28" i="4"/>
  <c r="H28" i="4"/>
  <c r="D28" i="4"/>
  <c r="N28" i="4"/>
  <c r="F28" i="4"/>
  <c r="O28" i="4"/>
  <c r="J28" i="4"/>
  <c r="C35" i="4"/>
  <c r="J27" i="4"/>
  <c r="I27" i="4"/>
  <c r="K27" i="4"/>
  <c r="O27" i="4"/>
  <c r="H27" i="4"/>
  <c r="M27" i="4"/>
  <c r="G27" i="4"/>
  <c r="F27" i="4"/>
  <c r="C31" i="4"/>
  <c r="N27" i="4"/>
  <c r="E27" i="4"/>
  <c r="L27" i="4"/>
  <c r="D27" i="4"/>
  <c r="E17" i="12"/>
  <c r="F76" i="5" l="1"/>
  <c r="C27" i="15"/>
  <c r="K25" i="4"/>
  <c r="G25" i="4"/>
  <c r="O25" i="4"/>
  <c r="D25" i="4"/>
  <c r="F8" i="10" s="1"/>
  <c r="D19" i="10" s="1"/>
  <c r="E19" i="10" s="1"/>
  <c r="N25" i="4"/>
  <c r="I25" i="4"/>
  <c r="M25" i="4"/>
  <c r="F25" i="4"/>
  <c r="H25" i="4"/>
  <c r="J25" i="4"/>
  <c r="L25" i="4"/>
  <c r="E25" i="4"/>
  <c r="O36" i="4"/>
  <c r="H36" i="4"/>
  <c r="D36" i="4"/>
  <c r="L36" i="4"/>
  <c r="E36" i="4"/>
  <c r="I36" i="4"/>
  <c r="N36" i="4"/>
  <c r="M36" i="4"/>
  <c r="J36" i="4"/>
  <c r="F36" i="4"/>
  <c r="K36" i="4"/>
  <c r="G36" i="4"/>
  <c r="L32" i="4"/>
  <c r="G32" i="4"/>
  <c r="F32" i="4"/>
  <c r="K32" i="4"/>
  <c r="E32" i="4"/>
  <c r="I32" i="4"/>
  <c r="N32" i="4"/>
  <c r="H32" i="4"/>
  <c r="O32" i="4"/>
  <c r="J32" i="4"/>
  <c r="D32" i="4"/>
  <c r="M32" i="4"/>
  <c r="L35" i="4"/>
  <c r="H35" i="4"/>
  <c r="D35" i="4"/>
  <c r="I35" i="4"/>
  <c r="O35" i="4"/>
  <c r="E35" i="4"/>
  <c r="J35" i="4"/>
  <c r="M35" i="4"/>
  <c r="K35" i="4"/>
  <c r="F35" i="4"/>
  <c r="G35" i="4"/>
  <c r="N35" i="4"/>
  <c r="O31" i="4"/>
  <c r="D31" i="4"/>
  <c r="K31" i="4"/>
  <c r="F31" i="4"/>
  <c r="G31" i="4"/>
  <c r="H31" i="4"/>
  <c r="E31" i="4"/>
  <c r="I31" i="4"/>
  <c r="J31" i="4"/>
  <c r="N31" i="4"/>
  <c r="M31" i="4"/>
  <c r="L31" i="4"/>
  <c r="F17" i="12"/>
  <c r="F9" i="10" l="1"/>
  <c r="D20" i="10" s="1"/>
  <c r="E20" i="10" s="1"/>
  <c r="H29" i="4"/>
  <c r="E33" i="4"/>
  <c r="F7" i="10"/>
  <c r="D18" i="10" s="1"/>
  <c r="E18" i="10" s="1"/>
  <c r="H33" i="4"/>
  <c r="J29" i="4"/>
  <c r="O29" i="4"/>
  <c r="G33" i="4"/>
  <c r="F33" i="4"/>
  <c r="L29" i="4"/>
  <c r="K33" i="4"/>
  <c r="O33" i="4"/>
  <c r="G29" i="4"/>
  <c r="L33" i="4"/>
  <c r="D29" i="4"/>
  <c r="I29" i="4"/>
  <c r="N29" i="4"/>
  <c r="M33" i="4"/>
  <c r="E29" i="4"/>
  <c r="J33" i="4"/>
  <c r="F29" i="4"/>
  <c r="N33" i="4"/>
  <c r="P25" i="4"/>
  <c r="C7" i="11" s="1"/>
  <c r="I33" i="4"/>
  <c r="K29" i="4"/>
  <c r="M29" i="4"/>
  <c r="D33" i="4"/>
  <c r="H17" i="12"/>
  <c r="D18" i="12" s="1"/>
  <c r="C11" i="11" l="1"/>
  <c r="C16" i="11" s="1"/>
  <c r="E21" i="10"/>
  <c r="C28" i="10" s="1"/>
  <c r="F10" i="10"/>
  <c r="P29" i="4"/>
  <c r="D7" i="11" s="1"/>
  <c r="P33" i="4"/>
  <c r="E7" i="11" s="1"/>
  <c r="E11" i="11" s="1"/>
  <c r="D11" i="15"/>
  <c r="E18" i="12"/>
  <c r="C30" i="10" l="1"/>
  <c r="E11" i="15"/>
  <c r="D11" i="11"/>
  <c r="D16" i="11" s="1"/>
  <c r="E16" i="11"/>
  <c r="E18" i="11" s="1"/>
  <c r="F11" i="15"/>
  <c r="F18" i="12"/>
  <c r="E37" i="10" l="1"/>
  <c r="E45" i="10" s="1"/>
  <c r="E38" i="10"/>
  <c r="D38" i="10" s="1"/>
  <c r="D46" i="10" s="1"/>
  <c r="E39" i="10"/>
  <c r="D39" i="10" s="1"/>
  <c r="D47" i="10" s="1"/>
  <c r="E19" i="11"/>
  <c r="F14" i="15" s="1"/>
  <c r="F15" i="15" s="1"/>
  <c r="H18" i="12"/>
  <c r="D19" i="12" s="1"/>
  <c r="D37" i="10" l="1"/>
  <c r="D45" i="10" s="1"/>
  <c r="D48" i="10" s="1"/>
  <c r="F37" i="10"/>
  <c r="F45" i="10" s="1"/>
  <c r="F38" i="10"/>
  <c r="F46" i="10" s="1"/>
  <c r="F39" i="10"/>
  <c r="F47" i="10" s="1"/>
  <c r="E47" i="10"/>
  <c r="E40" i="10"/>
  <c r="E46" i="10"/>
  <c r="E20" i="11"/>
  <c r="E19" i="12"/>
  <c r="F19" i="12" s="1"/>
  <c r="H19" i="12" s="1"/>
  <c r="D20" i="12" s="1"/>
  <c r="D40" i="10" l="1"/>
  <c r="E48" i="10"/>
  <c r="F48" i="10"/>
  <c r="F40" i="10"/>
  <c r="E20" i="12"/>
  <c r="F20" i="12" s="1"/>
  <c r="H20" i="12" s="1"/>
  <c r="D21" i="12" s="1"/>
  <c r="E21" i="12" l="1"/>
  <c r="F21" i="12" s="1"/>
  <c r="H21" i="12" s="1"/>
  <c r="D22" i="12" s="1"/>
  <c r="E22" i="12" l="1"/>
  <c r="F22" i="12" s="1"/>
  <c r="H22" i="12" s="1"/>
  <c r="D23" i="12" s="1"/>
  <c r="E23" i="12" l="1"/>
  <c r="F23" i="12" s="1"/>
  <c r="H23" i="12" s="1"/>
  <c r="D24" i="12" s="1"/>
  <c r="E24" i="12" l="1"/>
  <c r="F24" i="12" s="1"/>
  <c r="H24" i="12" s="1"/>
  <c r="D25" i="12" s="1"/>
  <c r="E25" i="12" l="1"/>
  <c r="F25" i="12" l="1"/>
  <c r="J18" i="12"/>
  <c r="E13" i="12"/>
  <c r="C18" i="11" l="1"/>
  <c r="C19" i="11" s="1"/>
  <c r="D22" i="15"/>
  <c r="D23" i="15" s="1"/>
  <c r="F13" i="12"/>
  <c r="K14" i="12"/>
  <c r="D21" i="15" s="1"/>
  <c r="H25" i="12"/>
  <c r="D26" i="12" s="1"/>
  <c r="D24" i="15" l="1"/>
  <c r="D14" i="15"/>
  <c r="D15" i="15" s="1"/>
  <c r="E26" i="12"/>
  <c r="C20" i="11" l="1"/>
  <c r="F26" i="12"/>
  <c r="H26" i="12" l="1"/>
  <c r="D27" i="12" s="1"/>
  <c r="E27" i="12" l="1"/>
  <c r="F27" i="12" l="1"/>
  <c r="H27" i="12" l="1"/>
  <c r="D28" i="12" s="1"/>
  <c r="E28" i="12" l="1"/>
  <c r="F28" i="12" l="1"/>
  <c r="H28" i="12" l="1"/>
  <c r="D29" i="12" s="1"/>
  <c r="E29" i="12" l="1"/>
  <c r="F29" i="12" l="1"/>
  <c r="H29" i="12" l="1"/>
  <c r="D30" i="12" s="1"/>
  <c r="E30" i="12" l="1"/>
  <c r="F30" i="12" l="1"/>
  <c r="H30" i="12" l="1"/>
  <c r="D31" i="12" s="1"/>
  <c r="E31" i="12" l="1"/>
  <c r="F31" i="12" s="1"/>
  <c r="H31" i="12" s="1"/>
  <c r="D32" i="12" s="1"/>
  <c r="E32" i="12" l="1"/>
  <c r="F32" i="12" s="1"/>
  <c r="H32" i="12" s="1"/>
  <c r="D33" i="12" s="1"/>
  <c r="E33" i="12" l="1"/>
  <c r="F33" i="12" s="1"/>
  <c r="H33" i="12" s="1"/>
  <c r="D34" i="12" s="1"/>
  <c r="E34" i="12" l="1"/>
  <c r="F34" i="12" s="1"/>
  <c r="H34" i="12" s="1"/>
  <c r="D35" i="12" s="1"/>
  <c r="E35" i="12" l="1"/>
  <c r="F35" i="12" s="1"/>
  <c r="H35" i="12" s="1"/>
  <c r="D36" i="12" s="1"/>
  <c r="E36" i="12" l="1"/>
  <c r="F36" i="12" s="1"/>
  <c r="H36" i="12" s="1"/>
  <c r="D37" i="12" s="1"/>
  <c r="E37" i="12" l="1"/>
  <c r="F37" i="12" l="1"/>
  <c r="J20" i="12"/>
  <c r="E38" i="12"/>
  <c r="E22" i="15" l="1"/>
  <c r="E23" i="15" s="1"/>
  <c r="D18" i="11"/>
  <c r="F38" i="12"/>
  <c r="K16" i="12"/>
  <c r="E21" i="15" s="1"/>
  <c r="H37" i="12"/>
  <c r="D23" i="16" l="1"/>
  <c r="H23" i="16"/>
  <c r="D19" i="11"/>
  <c r="E14" i="15" s="1"/>
  <c r="E15" i="15" s="1"/>
  <c r="E24" i="15"/>
  <c r="D20" i="11" l="1"/>
  <c r="E7" i="15" l="1"/>
  <c r="E10" i="15" s="1"/>
  <c r="E16" i="15" s="1"/>
  <c r="D7" i="15" l="1"/>
  <c r="E25" i="15"/>
  <c r="E27" i="15"/>
  <c r="F8" i="15" l="1"/>
  <c r="F10" i="15" s="1"/>
  <c r="F16" i="15" s="1"/>
  <c r="D10" i="15"/>
  <c r="D16" i="15" s="1"/>
  <c r="F25" i="15" l="1"/>
  <c r="F27" i="15"/>
  <c r="H12" i="16"/>
  <c r="H25" i="16" s="1"/>
  <c r="H14" i="16"/>
  <c r="D14" i="16"/>
  <c r="D25" i="15"/>
  <c r="D27" i="15"/>
  <c r="D12" i="16"/>
  <c r="D25" i="16" s="1"/>
  <c r="H27" i="16" l="1"/>
  <c r="D27" i="16"/>
  <c r="F56" i="18" s="1"/>
  <c r="C56" i="18"/>
  <c r="C40" i="18"/>
  <c r="C24" i="18"/>
  <c r="G7" i="1"/>
  <c r="I4" i="18"/>
  <c r="H7" i="1"/>
  <c r="D40" i="18"/>
  <c r="D56" i="18"/>
  <c r="D24" i="18"/>
  <c r="J4" i="18"/>
  <c r="L4" i="18" l="1"/>
  <c r="F40" i="18"/>
  <c r="F24" i="18"/>
  <c r="J7" i="1"/>
  <c r="E56" i="18"/>
  <c r="E40" i="18"/>
  <c r="I7" i="1"/>
  <c r="K4" i="18"/>
  <c r="E24" i="18"/>
</calcChain>
</file>

<file path=xl/sharedStrings.xml><?xml version="1.0" encoding="utf-8"?>
<sst xmlns="http://schemas.openxmlformats.org/spreadsheetml/2006/main" count="704" uniqueCount="442">
  <si>
    <t>Devaluación del dólar</t>
  </si>
  <si>
    <t>Inflacion USA</t>
  </si>
  <si>
    <t>nominal anual</t>
  </si>
  <si>
    <t>Inflacion Peru</t>
  </si>
  <si>
    <t xml:space="preserve"> nominal anual</t>
  </si>
  <si>
    <t>Horizonte Evaluación</t>
  </si>
  <si>
    <t>años</t>
  </si>
  <si>
    <t>TEA</t>
  </si>
  <si>
    <t>Dólares</t>
  </si>
  <si>
    <t>Impuesto I</t>
  </si>
  <si>
    <t>0-S/. 66,000</t>
  </si>
  <si>
    <t>Impuesto II</t>
  </si>
  <si>
    <t>Mayor a 66,000</t>
  </si>
  <si>
    <t>Valor de venta A</t>
  </si>
  <si>
    <t>Valor de venta B</t>
  </si>
  <si>
    <t>Valor de venta C</t>
  </si>
  <si>
    <t>Mano de Obra A</t>
  </si>
  <si>
    <t>Costo unit.modelo</t>
  </si>
  <si>
    <t>Mano de Obra B</t>
  </si>
  <si>
    <t>Mano de Obra C</t>
  </si>
  <si>
    <t>Valor hilado de alpaca</t>
  </si>
  <si>
    <t>por 100 gramos</t>
  </si>
  <si>
    <t>Tipo de cambio Dólar</t>
  </si>
  <si>
    <t>RUBRO</t>
  </si>
  <si>
    <t>INVERSIÓN INICIAL</t>
  </si>
  <si>
    <t>FINANCIAMIENTO</t>
  </si>
  <si>
    <t>Unidad de Medida</t>
  </si>
  <si>
    <t>Unidad Requerida</t>
  </si>
  <si>
    <t>Valor Unitario</t>
  </si>
  <si>
    <t>Total</t>
  </si>
  <si>
    <t>Capital Propio</t>
  </si>
  <si>
    <t>Préstamo</t>
  </si>
  <si>
    <t>ACTIVO FIJO</t>
  </si>
  <si>
    <t>A. TANGIBLES</t>
  </si>
  <si>
    <t xml:space="preserve">Maquinarias y equipos </t>
  </si>
  <si>
    <t>Máquina de coser recta</t>
  </si>
  <si>
    <t>Unidad</t>
  </si>
  <si>
    <t>Balanza</t>
  </si>
  <si>
    <t>Herramientas y utensilios</t>
  </si>
  <si>
    <t>Papel para patronaje</t>
  </si>
  <si>
    <t>Marcadores</t>
  </si>
  <si>
    <t>Agujas Nº 8</t>
  </si>
  <si>
    <t>Agujas Nº 4.5</t>
  </si>
  <si>
    <t>Agujas Nº 5.5</t>
  </si>
  <si>
    <t>Agujas Nº 5</t>
  </si>
  <si>
    <t>Cintas métricas</t>
  </si>
  <si>
    <t>Juego de reglas</t>
  </si>
  <si>
    <t>Tijeras</t>
  </si>
  <si>
    <t>Muebles y  enseres</t>
  </si>
  <si>
    <t>Mesas redondas de plástico</t>
  </si>
  <si>
    <t>Sillas de plástico</t>
  </si>
  <si>
    <t>Sillas</t>
  </si>
  <si>
    <t>Estante de madera</t>
  </si>
  <si>
    <t>Equipo informatico</t>
  </si>
  <si>
    <t>Equipo de cómputo</t>
  </si>
  <si>
    <t>Impresora</t>
  </si>
  <si>
    <t>Laptop</t>
  </si>
  <si>
    <t>B. INTANGIBLES</t>
  </si>
  <si>
    <t>Constitución y formalización</t>
  </si>
  <si>
    <t>Licencias</t>
  </si>
  <si>
    <t>Certificaciones</t>
  </si>
  <si>
    <t>Capacitaciones (tejedoras)</t>
  </si>
  <si>
    <t>Promocion</t>
  </si>
  <si>
    <t>Implementación y puesta en marcha</t>
  </si>
  <si>
    <t>TOTAL DE ACTIVO FIJO</t>
  </si>
  <si>
    <t>Materia prima</t>
  </si>
  <si>
    <t>Modelo A</t>
  </si>
  <si>
    <t>Modelo B</t>
  </si>
  <si>
    <t>Modelo C</t>
  </si>
  <si>
    <t>Mano de obra</t>
  </si>
  <si>
    <t>Gastos de Administracion</t>
  </si>
  <si>
    <t>Sueldos del personal</t>
  </si>
  <si>
    <t>Alquiler de local</t>
  </si>
  <si>
    <t>Servicios: Agua, luz, telefono e internet</t>
  </si>
  <si>
    <t>Mantenimiento y reparaciones.</t>
  </si>
  <si>
    <t>Utiles de oficina</t>
  </si>
  <si>
    <t>Gastos de Ventas</t>
  </si>
  <si>
    <t>Costos de envío</t>
  </si>
  <si>
    <t>Promoción</t>
  </si>
  <si>
    <t>Otros</t>
  </si>
  <si>
    <t>TOTAL DE CAPITAL DE TRABAJO</t>
  </si>
  <si>
    <t>TOTAL DE INVERSIÓN</t>
  </si>
  <si>
    <t>CUADRO N° 04</t>
  </si>
  <si>
    <t>TABLA DE DEPRECIACIONES Y VALOR DE RECUPERO</t>
  </si>
  <si>
    <t>Valor de compra</t>
  </si>
  <si>
    <t>Vida útil (años)</t>
  </si>
  <si>
    <t>Tasa de Depreciacion</t>
  </si>
  <si>
    <t>Depreciación anual</t>
  </si>
  <si>
    <t>Depreciación Acumulada</t>
  </si>
  <si>
    <t>Valor de Recupero</t>
  </si>
  <si>
    <t>Maquinaria y equipos</t>
  </si>
  <si>
    <t>Equipos informaticos</t>
  </si>
  <si>
    <t>Muebles y enseres</t>
  </si>
  <si>
    <t>Año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</si>
  <si>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</si>
  <si>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</si>
  <si>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</si>
  <si>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</si>
  <si>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</si>
  <si>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</si>
  <si>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</si>
  <si>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</si>
  <si>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</si>
  <si>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</si>
  <si>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</si>
  <si>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</si>
  <si>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</si>
  <si>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A</t>
  </si>
  <si>
    <t>B</t>
  </si>
  <si>
    <t>C</t>
  </si>
  <si>
    <t>CUADRO N° 05</t>
  </si>
  <si>
    <t>VARIACION DE CAPITAL DE TRABAJO AÑO 1</t>
  </si>
  <si>
    <t>MES</t>
  </si>
  <si>
    <t>Unidades</t>
  </si>
  <si>
    <t>CV Unitario</t>
  </si>
  <si>
    <t>Capital de Trabajo</t>
  </si>
  <si>
    <t>Variacion KW</t>
  </si>
  <si>
    <t>COSTO UNITARIO</t>
  </si>
  <si>
    <t>UNIDADES REQUERIDAS</t>
  </si>
  <si>
    <t xml:space="preserve">COSTO </t>
  </si>
  <si>
    <t>FIJO</t>
  </si>
  <si>
    <t>VARIABLE</t>
  </si>
  <si>
    <t>COSTOS DE PRODUCCION O VENTAS</t>
  </si>
  <si>
    <t xml:space="preserve"> Materia Prima Directa</t>
  </si>
  <si>
    <t xml:space="preserve">Modelo A </t>
  </si>
  <si>
    <t>Hilado de alpaca</t>
  </si>
  <si>
    <t>Hilos para costura</t>
  </si>
  <si>
    <t>Embalaje</t>
  </si>
  <si>
    <t xml:space="preserve"> Mano de Obra Directa</t>
  </si>
  <si>
    <t>Tejedora y costura</t>
  </si>
  <si>
    <t>TOTAL COSTOS DE PRODUCCION</t>
  </si>
  <si>
    <t>Flete</t>
  </si>
  <si>
    <t>RECUPERO KW</t>
  </si>
  <si>
    <t>REGIMEN LABORAL PEQUEÑA EMPRESA</t>
  </si>
  <si>
    <t>Cargo</t>
  </si>
  <si>
    <t>Básico mes</t>
  </si>
  <si>
    <t>Anual</t>
  </si>
  <si>
    <t>Beneficios(*)</t>
  </si>
  <si>
    <t>N° Trab.</t>
  </si>
  <si>
    <t>Sub Total</t>
  </si>
  <si>
    <t>Essalud (***)</t>
  </si>
  <si>
    <t>Area de Administración</t>
  </si>
  <si>
    <t>Gerente General</t>
  </si>
  <si>
    <t>Sub gerente de Logística</t>
  </si>
  <si>
    <t>Diseñador y control de calidad</t>
  </si>
  <si>
    <t>Area de Ventas</t>
  </si>
  <si>
    <t>Sub Gerente de Ventas y Marketing</t>
  </si>
  <si>
    <t>(*) Gratificación Medio sueldo en julio y diciembre + Medio sueldo CTS (1.5 sueldo)</t>
  </si>
  <si>
    <t>(***) Aporte patronal 9%</t>
  </si>
  <si>
    <t>PRESUPUESTO DE REMUNERACIONES  PROYECTADO</t>
  </si>
  <si>
    <t>AREAS</t>
  </si>
  <si>
    <t>PERIODOS</t>
  </si>
  <si>
    <t>ADMINISTRACION</t>
  </si>
  <si>
    <t>VENTAS</t>
  </si>
  <si>
    <t>GASTOS DE ADMINISTRACION</t>
  </si>
  <si>
    <t>Amortizacion de Intangibles</t>
  </si>
  <si>
    <t>TOTAL GASTOS DE ADMINISTRACION</t>
  </si>
  <si>
    <t>GASTOS DE VENTAS</t>
  </si>
  <si>
    <t>TOTAL GASTOS DE VENTAS</t>
  </si>
  <si>
    <t>TOTAL GASTOS OPERATIVOS</t>
  </si>
  <si>
    <t>PRESUPUESTO ANUAL DE PROMOCION</t>
  </si>
  <si>
    <t>RUBROS</t>
  </si>
  <si>
    <t>Unidad Medida</t>
  </si>
  <si>
    <t>Cantidad</t>
  </si>
  <si>
    <t>N° veces</t>
  </si>
  <si>
    <t xml:space="preserve">COSTO
 ANUAL
 </t>
  </si>
  <si>
    <t>. Spots en radio</t>
  </si>
  <si>
    <t>. Spots en television</t>
  </si>
  <si>
    <t>• Gigantografias</t>
  </si>
  <si>
    <t>• Mandiles</t>
  </si>
  <si>
    <t>• Polos</t>
  </si>
  <si>
    <t>• Bolsas</t>
  </si>
  <si>
    <t>. Redes sociales</t>
  </si>
  <si>
    <t>• Tarjetas personales</t>
  </si>
  <si>
    <t>• mantenimiento de la pagina Web.</t>
  </si>
  <si>
    <t>• tripticos</t>
  </si>
  <si>
    <t>COSTO TOTAL UNITARIO- CTU</t>
  </si>
  <si>
    <t>CTU =  CFU + CVU</t>
  </si>
  <si>
    <t>Costo fijo mes</t>
  </si>
  <si>
    <t>Gastos administrativos fijos</t>
  </si>
  <si>
    <t>Donde:</t>
  </si>
  <si>
    <t>Depreciación activo fijo</t>
  </si>
  <si>
    <t>Amortización de intangibles</t>
  </si>
  <si>
    <t xml:space="preserve">Costo Fijo Unitario (CFU) =  </t>
  </si>
  <si>
    <t>Costo Fijo Total</t>
  </si>
  <si>
    <t>Gastos de ventas fijos</t>
  </si>
  <si>
    <t>N° Unidades Producidas</t>
  </si>
  <si>
    <t>CIF fijos</t>
  </si>
  <si>
    <t>Total Costo Fijo</t>
  </si>
  <si>
    <t>Costo variable mes</t>
  </si>
  <si>
    <t xml:space="preserve">Costo Variable Unitario (CFU) =  </t>
  </si>
  <si>
    <t>Costo Variable Total</t>
  </si>
  <si>
    <t>MP A</t>
  </si>
  <si>
    <t>MP B</t>
  </si>
  <si>
    <t>MP C</t>
  </si>
  <si>
    <t>MOD A</t>
  </si>
  <si>
    <t>MOD B</t>
  </si>
  <si>
    <t>MOD C</t>
  </si>
  <si>
    <t>VALOR  DE VENTA ( Vv)</t>
  </si>
  <si>
    <t>Total Costo Variable</t>
  </si>
  <si>
    <t>Unidades totales</t>
  </si>
  <si>
    <t>Vv = CTU + G</t>
  </si>
  <si>
    <t>Costos Unitarios</t>
  </si>
  <si>
    <t>Nº de Unidades</t>
  </si>
  <si>
    <t>G = Ganancia</t>
  </si>
  <si>
    <t>Costo fijo unitario,CFU</t>
  </si>
  <si>
    <t>PRECIO</t>
  </si>
  <si>
    <t>Costo variable unitario, CVU</t>
  </si>
  <si>
    <t>Elementos:</t>
  </si>
  <si>
    <t>Costo total unitario, CTU</t>
  </si>
  <si>
    <t>1.- Los costos de produccion</t>
  </si>
  <si>
    <t>2.- Precio de venta de la competencia</t>
  </si>
  <si>
    <t>3.- Expectativas de precio de compra de pontenciales consumidores</t>
  </si>
  <si>
    <t>PUNTO DE EQULIBRIO PARA VARIOS PRODUCTOS</t>
  </si>
  <si>
    <t>PRODUCTO</t>
  </si>
  <si>
    <t>CVU</t>
  </si>
  <si>
    <t>MgCU</t>
  </si>
  <si>
    <t>% del Total
Ventas</t>
  </si>
  <si>
    <t>CVU = Costo variable Unitario para cada producto</t>
  </si>
  <si>
    <t>MgCU = Margen de Contribución Unitario (PRECIO - CVU)</t>
  </si>
  <si>
    <t>MARGEN DE CONTRIBUCIÓN PROMEDIO PONDERADO</t>
  </si>
  <si>
    <t>PRODUCTOS</t>
  </si>
  <si>
    <t>PESO</t>
  </si>
  <si>
    <t>MgCU (*)
ponderado</t>
  </si>
  <si>
    <t>MODELO A</t>
  </si>
  <si>
    <t>MODELO B</t>
  </si>
  <si>
    <t>MODELO C</t>
  </si>
  <si>
    <t>MgCU PONDERADO</t>
  </si>
  <si>
    <t>MgCU = Margen de Contribución Unitario</t>
  </si>
  <si>
    <t>(*) Se obtiene  de MgCU* PESO</t>
  </si>
  <si>
    <t>PUNTO DE EQUILIBRIO TOTAL COMBINADO</t>
  </si>
  <si>
    <t xml:space="preserve">   PE =</t>
  </si>
  <si>
    <t>PE =</t>
  </si>
  <si>
    <t>El PE se calcula en función a las veces por el peso en % de C/U</t>
  </si>
  <si>
    <t>PUNTO DE EQUILIBRIO EN UNIDADES POR PRODUCTO</t>
  </si>
  <si>
    <t>UNIDAD
DE MEDIDA</t>
  </si>
  <si>
    <t>CANTIDAD ANUAL</t>
  </si>
  <si>
    <t>CANTIDAD MENSUAL</t>
  </si>
  <si>
    <t>CANTIDAD DIARIA</t>
  </si>
  <si>
    <t>e.)</t>
  </si>
  <si>
    <t>Punto de equilibrio contable</t>
  </si>
  <si>
    <t>Costo fijo total</t>
  </si>
  <si>
    <t>Precio de venta</t>
  </si>
  <si>
    <t>Costo variable unitario</t>
  </si>
  <si>
    <t>PUNTO DE EQUILIBRIO EN DOLARES  POR PRODUCTO</t>
  </si>
  <si>
    <t>Margen de contribución</t>
  </si>
  <si>
    <t>DOLARES POR AÑO</t>
  </si>
  <si>
    <t>DOLARES POR MES</t>
  </si>
  <si>
    <t>DOLARES POR DIA</t>
  </si>
  <si>
    <t>Punto de equilibrio</t>
  </si>
  <si>
    <t>Unidades/mes</t>
  </si>
  <si>
    <t>soles/mes</t>
  </si>
  <si>
    <t>(-) Costo de ventas</t>
  </si>
  <si>
    <t>Costos de produccion</t>
  </si>
  <si>
    <t>Depreciacion Activo Fijo</t>
  </si>
  <si>
    <t>Utilidad Bruta</t>
  </si>
  <si>
    <t>(-) Gastos operativos</t>
  </si>
  <si>
    <t>Gastos administrativos</t>
  </si>
  <si>
    <t>Gastos de ventas</t>
  </si>
  <si>
    <t>Amortizacion de intangibles</t>
  </si>
  <si>
    <t>Utilidad Operativa</t>
  </si>
  <si>
    <t>Intereses</t>
  </si>
  <si>
    <t>Utilidad Imponible</t>
  </si>
  <si>
    <t>Impuesto a la renta (*)</t>
  </si>
  <si>
    <t>Utilidad Neta</t>
  </si>
  <si>
    <t>PROYECCION DE COSTOS DE PRODUCCIÓN</t>
  </si>
  <si>
    <t>DESCRIPCION</t>
  </si>
  <si>
    <t>A. COSTOS DE PRODUCCION</t>
  </si>
  <si>
    <t xml:space="preserve"> Materia prima  e insumos</t>
  </si>
  <si>
    <t xml:space="preserve"> Mano de Obra</t>
  </si>
  <si>
    <t>c.) Tabla de amortizacion de la deuda</t>
  </si>
  <si>
    <t>Prestamo =</t>
  </si>
  <si>
    <t>tasa efectiva anual</t>
  </si>
  <si>
    <t>tasa efectiva mensual</t>
  </si>
  <si>
    <t>TEM real =</t>
  </si>
  <si>
    <t>n =</t>
  </si>
  <si>
    <t>Cuota  =</t>
  </si>
  <si>
    <t>Trimestres</t>
  </si>
  <si>
    <t>Saldo inicial</t>
  </si>
  <si>
    <t>Interes</t>
  </si>
  <si>
    <t>CAPITAL</t>
  </si>
  <si>
    <t>CUOTA</t>
  </si>
  <si>
    <t>Saldo final</t>
  </si>
  <si>
    <t>Tota Año 1</t>
  </si>
  <si>
    <t>Capital 12 meses</t>
  </si>
  <si>
    <t>Total año 2</t>
  </si>
  <si>
    <t>TEM</t>
  </si>
  <si>
    <r>
      <t xml:space="preserve">Kurt = Rf usa+ </t>
    </r>
    <r>
      <rPr>
        <sz val="12"/>
        <color indexed="8"/>
        <rFont val="Symbol"/>
        <family val="1"/>
        <charset val="2"/>
      </rPr>
      <t>b</t>
    </r>
    <r>
      <rPr>
        <sz val="12"/>
        <color indexed="8"/>
        <rFont val="Times New Roman"/>
        <family val="1"/>
      </rPr>
      <t xml:space="preserve">u total </t>
    </r>
    <r>
      <rPr>
        <vertAlign val="subscript"/>
        <sz val="12"/>
        <color indexed="8"/>
        <rFont val="Times New Roman"/>
        <family val="1"/>
      </rPr>
      <t>ME</t>
    </r>
    <r>
      <rPr>
        <sz val="12"/>
        <color indexed="8"/>
        <rFont val="Times New Roman"/>
        <family val="1"/>
      </rPr>
      <t>* (Rm- Rf)</t>
    </r>
    <r>
      <rPr>
        <vertAlign val="subscript"/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 xml:space="preserve">usa+ Rp </t>
    </r>
    <r>
      <rPr>
        <vertAlign val="subscript"/>
        <sz val="12"/>
        <color indexed="8"/>
        <rFont val="Times New Roman"/>
        <family val="1"/>
      </rPr>
      <t>PERU</t>
    </r>
    <r>
      <rPr>
        <sz val="12"/>
        <color indexed="8"/>
        <rFont val="Times New Roman"/>
        <family val="1"/>
      </rPr>
      <t xml:space="preserve"> </t>
    </r>
  </si>
  <si>
    <t>Donde</t>
  </si>
  <si>
    <t>Rf usa =</t>
  </si>
  <si>
    <t>promedio geométrico 1928-2020</t>
  </si>
  <si>
    <t>βu total ME =</t>
  </si>
  <si>
    <t>Beta total desapalancado para vestir</t>
  </si>
  <si>
    <t>(Rm-Rf) =</t>
  </si>
  <si>
    <t>Rp =</t>
  </si>
  <si>
    <t>Promedio 2020</t>
  </si>
  <si>
    <t>Kurt =</t>
  </si>
  <si>
    <t>COK desapalancado con Riesgo Total</t>
  </si>
  <si>
    <t>COK Apalancado con riesgo total</t>
  </si>
  <si>
    <t>Costo Promedio Ponderado de Capital con riesgo total</t>
  </si>
  <si>
    <r>
      <t xml:space="preserve">Kert = Rfusa + </t>
    </r>
    <r>
      <rPr>
        <b/>
        <sz val="12"/>
        <color indexed="8"/>
        <rFont val="Symbol"/>
        <family val="1"/>
        <charset val="2"/>
      </rPr>
      <t>b</t>
    </r>
    <r>
      <rPr>
        <b/>
        <sz val="12"/>
        <color indexed="8"/>
        <rFont val="Times New Roman"/>
        <family val="1"/>
      </rPr>
      <t xml:space="preserve">rl total </t>
    </r>
    <r>
      <rPr>
        <b/>
        <vertAlign val="subscript"/>
        <sz val="10"/>
        <color indexed="8"/>
        <rFont val="Times New Roman"/>
        <family val="1"/>
      </rPr>
      <t>PERU</t>
    </r>
    <r>
      <rPr>
        <b/>
        <sz val="12"/>
        <color indexed="8"/>
        <rFont val="Times New Roman"/>
        <family val="1"/>
      </rPr>
      <t xml:space="preserve">* (Rm- Rf )usa+ Rp </t>
    </r>
    <r>
      <rPr>
        <b/>
        <vertAlign val="subscript"/>
        <sz val="10"/>
        <color indexed="8"/>
        <rFont val="Times New Roman"/>
        <family val="1"/>
      </rPr>
      <t xml:space="preserve">PERU </t>
    </r>
    <r>
      <rPr>
        <b/>
        <sz val="12"/>
        <color indexed="8"/>
        <rFont val="Times New Roman"/>
        <family val="1"/>
      </rPr>
      <t xml:space="preserve">                                                </t>
    </r>
  </si>
  <si>
    <r>
      <t>Kwacc rt= E/V * Kert + D/V * K</t>
    </r>
    <r>
      <rPr>
        <b/>
        <sz val="10"/>
        <color indexed="8"/>
        <rFont val="Times New Roman"/>
        <family val="1"/>
      </rPr>
      <t xml:space="preserve">d </t>
    </r>
    <r>
      <rPr>
        <b/>
        <sz val="12"/>
        <color indexed="8"/>
        <rFont val="Times New Roman"/>
        <family val="1"/>
      </rPr>
      <t xml:space="preserve">* 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Times New Roman"/>
        <family val="1"/>
      </rPr>
      <t>1 – t</t>
    </r>
    <r>
      <rPr>
        <b/>
        <sz val="12"/>
        <color indexed="8"/>
        <rFont val="Times New Roman"/>
        <family val="1"/>
      </rPr>
      <t>)</t>
    </r>
    <r>
      <rPr>
        <sz val="12"/>
        <color indexed="8"/>
        <rFont val="Times New Roman"/>
        <family val="1"/>
      </rPr>
      <t xml:space="preserve">                                                             </t>
    </r>
  </si>
  <si>
    <t>Dónde:</t>
  </si>
  <si>
    <t>Rfusa =</t>
  </si>
  <si>
    <r>
      <t>E/V*</t>
    </r>
    <r>
      <rPr>
        <b/>
        <i/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=</t>
    </r>
  </si>
  <si>
    <t>capital</t>
  </si>
  <si>
    <r>
      <t>b</t>
    </r>
    <r>
      <rPr>
        <sz val="12"/>
        <color indexed="8"/>
        <rFont val="Times New Roman"/>
        <family val="1"/>
      </rPr>
      <t>rl total</t>
    </r>
    <r>
      <rPr>
        <vertAlign val="subscript"/>
        <sz val="10"/>
        <color indexed="8"/>
        <rFont val="Times New Roman"/>
        <family val="1"/>
      </rPr>
      <t xml:space="preserve"> PERU</t>
    </r>
    <r>
      <rPr>
        <sz val="12"/>
        <color indexed="8"/>
        <rFont val="Times New Roman"/>
        <family val="1"/>
      </rPr>
      <t xml:space="preserve">= </t>
    </r>
  </si>
  <si>
    <t>Kert =</t>
  </si>
  <si>
    <t>(Rm – Rf)usa =</t>
  </si>
  <si>
    <r>
      <t>D/V*</t>
    </r>
    <r>
      <rPr>
        <b/>
        <i/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 xml:space="preserve">= </t>
    </r>
  </si>
  <si>
    <t>deuda</t>
  </si>
  <si>
    <t xml:space="preserve">Rp = </t>
  </si>
  <si>
    <r>
      <t>K</t>
    </r>
    <r>
      <rPr>
        <b/>
        <sz val="10"/>
        <color indexed="8"/>
        <rFont val="Times New Roman"/>
        <family val="1"/>
      </rPr>
      <t xml:space="preserve">d </t>
    </r>
    <r>
      <rPr>
        <b/>
        <sz val="12"/>
        <color indexed="8"/>
        <rFont val="Times New Roman"/>
        <family val="1"/>
      </rPr>
      <t>=</t>
    </r>
    <r>
      <rPr>
        <sz val="12"/>
        <color indexed="8"/>
        <rFont val="Times New Roman"/>
        <family val="1"/>
      </rPr>
      <t xml:space="preserve"> </t>
    </r>
  </si>
  <si>
    <r>
      <t xml:space="preserve">t* </t>
    </r>
    <r>
      <rPr>
        <sz val="12"/>
        <color indexed="8"/>
        <rFont val="Times New Roman"/>
        <family val="1"/>
      </rPr>
      <t xml:space="preserve">= </t>
    </r>
  </si>
  <si>
    <t>Kwacc</t>
  </si>
  <si>
    <t>Beta reapalancado para el proyecto</t>
  </si>
  <si>
    <r>
      <t xml:space="preserve">             b</t>
    </r>
    <r>
      <rPr>
        <b/>
        <vertAlign val="subscript"/>
        <sz val="12"/>
        <color indexed="8"/>
        <rFont val="Arial"/>
        <family val="2"/>
      </rPr>
      <t xml:space="preserve">rl total  </t>
    </r>
    <r>
      <rPr>
        <b/>
        <sz val="12"/>
        <color indexed="8"/>
        <rFont val="Arial"/>
        <family val="2"/>
      </rPr>
      <t xml:space="preserve">=  </t>
    </r>
    <r>
      <rPr>
        <b/>
        <sz val="12"/>
        <color indexed="8"/>
        <rFont val="Symbol"/>
        <family val="1"/>
        <charset val="2"/>
      </rPr>
      <t>b</t>
    </r>
    <r>
      <rPr>
        <b/>
        <vertAlign val="subscript"/>
        <sz val="12"/>
        <color indexed="8"/>
        <rFont val="Arial"/>
        <family val="2"/>
      </rPr>
      <t>u total ME *</t>
    </r>
    <r>
      <rPr>
        <b/>
        <sz val="12"/>
        <color indexed="8"/>
        <rFont val="Arial"/>
        <family val="2"/>
      </rPr>
      <t>( 1+(D/E*)*( 1-t))</t>
    </r>
    <r>
      <rPr>
        <b/>
        <vertAlign val="subscript"/>
        <sz val="12"/>
        <color indexed="8"/>
        <rFont val="Arial"/>
        <family val="2"/>
      </rPr>
      <t xml:space="preserve">PERU                                                                             </t>
    </r>
    <r>
      <rPr>
        <sz val="12"/>
        <color indexed="8"/>
        <rFont val="Arial"/>
        <family val="2"/>
      </rPr>
      <t xml:space="preserve"> </t>
    </r>
  </si>
  <si>
    <r>
      <t>Donde:</t>
    </r>
    <r>
      <rPr>
        <sz val="12"/>
        <color indexed="8"/>
        <rFont val="Arial"/>
        <family val="2"/>
      </rPr>
      <t xml:space="preserve">         </t>
    </r>
    <r>
      <rPr>
        <sz val="12"/>
        <color indexed="8"/>
        <rFont val="Symbol"/>
        <family val="1"/>
        <charset val="2"/>
      </rPr>
      <t xml:space="preserve">                                                                      </t>
    </r>
  </si>
  <si>
    <r>
      <t>b</t>
    </r>
    <r>
      <rPr>
        <vertAlign val="subscript"/>
        <sz val="12"/>
        <color indexed="8"/>
        <rFont val="Arial"/>
        <family val="2"/>
      </rPr>
      <t xml:space="preserve">u total ME </t>
    </r>
    <r>
      <rPr>
        <sz val="12"/>
        <color indexed="8"/>
        <rFont val="Times New Roman"/>
        <family val="1"/>
      </rPr>
      <t xml:space="preserve">= </t>
    </r>
  </si>
  <si>
    <r>
      <t>D/E*</t>
    </r>
    <r>
      <rPr>
        <vertAlign val="subscript"/>
        <sz val="12"/>
        <color indexed="8"/>
        <rFont val="Times New Roman"/>
        <family val="1"/>
      </rPr>
      <t xml:space="preserve">PERU </t>
    </r>
    <r>
      <rPr>
        <sz val="12"/>
        <color indexed="8"/>
        <rFont val="Times New Roman"/>
        <family val="1"/>
      </rPr>
      <t xml:space="preserve">= </t>
    </r>
  </si>
  <si>
    <t xml:space="preserve">t* = </t>
  </si>
  <si>
    <t xml:space="preserve">βrl total perú </t>
  </si>
  <si>
    <t>Año 0</t>
  </si>
  <si>
    <t>Año 1</t>
  </si>
  <si>
    <t>Año 2</t>
  </si>
  <si>
    <t>Año 3</t>
  </si>
  <si>
    <t>Ingresos por ventas</t>
  </si>
  <si>
    <t>Costos de produccion (*)</t>
  </si>
  <si>
    <t>Escudo fiscal de intereses</t>
  </si>
  <si>
    <t>EVALUACIÓN ECONÓMICA</t>
  </si>
  <si>
    <r>
      <t>Ki</t>
    </r>
    <r>
      <rPr>
        <b/>
        <sz val="12"/>
        <color indexed="8"/>
        <rFont val="Times New Roman"/>
        <family val="1"/>
      </rPr>
      <t xml:space="preserve"> real</t>
    </r>
    <r>
      <rPr>
        <b/>
        <sz val="18"/>
        <color indexed="8"/>
        <rFont val="Times New Roman"/>
        <family val="1"/>
      </rPr>
      <t xml:space="preserve">  =  </t>
    </r>
    <r>
      <rPr>
        <b/>
        <u/>
        <sz val="18"/>
        <color indexed="8"/>
        <rFont val="Times New Roman"/>
        <family val="1"/>
      </rPr>
      <t xml:space="preserve">(1+ Ki </t>
    </r>
    <r>
      <rPr>
        <b/>
        <u/>
        <sz val="12"/>
        <color indexed="8"/>
        <rFont val="Times New Roman"/>
        <family val="1"/>
      </rPr>
      <t>nominal</t>
    </r>
    <r>
      <rPr>
        <b/>
        <sz val="18"/>
        <color indexed="8"/>
        <rFont val="Times New Roman"/>
        <family val="1"/>
      </rPr>
      <t xml:space="preserve">) - 1                                                                               </t>
    </r>
  </si>
  <si>
    <t>Devaluación dólar</t>
  </si>
  <si>
    <t>VANE =</t>
  </si>
  <si>
    <t>dólares</t>
  </si>
  <si>
    <t>TIRE =</t>
  </si>
  <si>
    <t>EVALUACIÓN FINANCIERA</t>
  </si>
  <si>
    <t>TEA nominal</t>
  </si>
  <si>
    <t>TEA real</t>
  </si>
  <si>
    <t>VAEFI =</t>
  </si>
  <si>
    <t>VAN Ajustado =VANF=</t>
  </si>
  <si>
    <t>TIRF Ajustado =</t>
  </si>
  <si>
    <t>VANE</t>
  </si>
  <si>
    <t>TIRE</t>
  </si>
  <si>
    <t>VANF</t>
  </si>
  <si>
    <t>TIRF</t>
  </si>
  <si>
    <t>Escritorios</t>
  </si>
  <si>
    <t>Màquina remalladora</t>
  </si>
  <si>
    <t>Máquina tejedora artesanal</t>
  </si>
  <si>
    <r>
      <t xml:space="preserve">1. </t>
    </r>
    <r>
      <rPr>
        <sz val="10"/>
        <rFont val="Arial"/>
        <family val="2"/>
      </rPr>
      <t>Sensibilidad de</t>
    </r>
    <r>
      <rPr>
        <b/>
        <sz val="10"/>
        <rFont val="Arial"/>
        <family val="2"/>
      </rPr>
      <t xml:space="preserve"> valor de venta A</t>
    </r>
  </si>
  <si>
    <t>Valor de Venta</t>
  </si>
  <si>
    <r>
      <t xml:space="preserve">1. </t>
    </r>
    <r>
      <rPr>
        <sz val="10"/>
        <rFont val="Arial"/>
        <family val="2"/>
      </rPr>
      <t>Sensibilidad de</t>
    </r>
    <r>
      <rPr>
        <b/>
        <sz val="10"/>
        <rFont val="Arial"/>
        <family val="2"/>
      </rPr>
      <t xml:space="preserve"> valor de venta B</t>
    </r>
  </si>
  <si>
    <r>
      <t xml:space="preserve">2. </t>
    </r>
    <r>
      <rPr>
        <sz val="10"/>
        <rFont val="Arial"/>
        <family val="2"/>
      </rPr>
      <t>Sensibilidad de</t>
    </r>
    <r>
      <rPr>
        <b/>
        <sz val="10"/>
        <rFont val="Arial"/>
        <family val="2"/>
      </rPr>
      <t xml:space="preserve"> valor del hilado</t>
    </r>
  </si>
  <si>
    <t>precio</t>
  </si>
  <si>
    <t>Precio</t>
  </si>
  <si>
    <t>Análisis de sensibilidad unidimensional</t>
  </si>
  <si>
    <t>Probable</t>
  </si>
  <si>
    <t>Pesimista</t>
  </si>
  <si>
    <t>Creado por ASUS el 01/03/2021
Modificado por ASUS el 01/03/2021</t>
  </si>
  <si>
    <t>Optimista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</si>
  <si>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</si>
  <si>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</si>
  <si>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</si>
  <si>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</si>
  <si>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</si>
  <si>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</si>
  <si>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</si>
  <si>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Creado por ASUS el 01/03/2021</t>
  </si>
  <si>
    <t>CUADRO N°03</t>
  </si>
  <si>
    <t>PRESUPUESTO DE INVERSIÓN Y FINANCIAMIENTO</t>
  </si>
  <si>
    <t>CUADRO N° 01</t>
  </si>
  <si>
    <t>Proyeccion de ventas en unidades</t>
  </si>
  <si>
    <t>CUADRO N° 02</t>
  </si>
  <si>
    <t>VARIACION DE CAPITAL DE TRABAJO AÑO 2</t>
  </si>
  <si>
    <t>VARIACION DE CAPITAL DE TRABAJO AÑO 3</t>
  </si>
  <si>
    <t xml:space="preserve">RESUMEN DEL CAPITAL DE TRABAJO </t>
  </si>
  <si>
    <t>Valor del Hilado</t>
  </si>
  <si>
    <t>RESUMEN</t>
  </si>
  <si>
    <t>FLUJO DE CAJA ECONOMICO Y FINANCIERO</t>
  </si>
  <si>
    <t>(*) Sueldos en régimen labora pequeña empresa</t>
  </si>
  <si>
    <t>(**) Régimen tributario MYPE Tributario</t>
  </si>
  <si>
    <t>Ventas precios FOB</t>
  </si>
  <si>
    <t>Devaluacion $ =</t>
  </si>
  <si>
    <t>Devaluación Mes =</t>
  </si>
  <si>
    <t>EMPRESA NO DIVERSIFICADA</t>
  </si>
  <si>
    <t>βu ME =</t>
  </si>
  <si>
    <t>Beta des apalancado promedio para vestir ME (2018-2020)</t>
  </si>
  <si>
    <r>
      <t xml:space="preserve">Kurs = Rf usa+ </t>
    </r>
    <r>
      <rPr>
        <sz val="12"/>
        <color indexed="8"/>
        <rFont val="Symbol"/>
        <family val="1"/>
        <charset val="2"/>
      </rPr>
      <t>b</t>
    </r>
    <r>
      <rPr>
        <sz val="12"/>
        <color indexed="8"/>
        <rFont val="Times New Roman"/>
        <family val="1"/>
      </rPr>
      <t>u</t>
    </r>
    <r>
      <rPr>
        <vertAlign val="subscript"/>
        <sz val="12"/>
        <color indexed="8"/>
        <rFont val="Times New Roman"/>
        <family val="1"/>
      </rPr>
      <t>ME</t>
    </r>
    <r>
      <rPr>
        <sz val="12"/>
        <color indexed="8"/>
        <rFont val="Times New Roman"/>
        <family val="1"/>
      </rPr>
      <t>* (Rm- Rf)</t>
    </r>
    <r>
      <rPr>
        <vertAlign val="subscript"/>
        <sz val="12"/>
        <color indexed="8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 xml:space="preserve">usa+ </t>
    </r>
    <r>
      <rPr>
        <sz val="12"/>
        <color indexed="8"/>
        <rFont val="Calibri"/>
        <family val="2"/>
      </rPr>
      <t>λ</t>
    </r>
    <r>
      <rPr>
        <sz val="12"/>
        <color indexed="8"/>
        <rFont val="Times New Roman"/>
        <family val="1"/>
      </rPr>
      <t xml:space="preserve">Rp </t>
    </r>
    <r>
      <rPr>
        <vertAlign val="subscript"/>
        <sz val="12"/>
        <color indexed="8"/>
        <rFont val="Times New Roman"/>
        <family val="1"/>
      </rPr>
      <t>PERU</t>
    </r>
    <r>
      <rPr>
        <sz val="12"/>
        <color indexed="8"/>
        <rFont val="Times New Roman"/>
        <family val="1"/>
      </rPr>
      <t xml:space="preserve"> </t>
    </r>
  </si>
  <si>
    <t>λ =</t>
  </si>
  <si>
    <t>EMPRESA DIVERSIFICADA</t>
  </si>
  <si>
    <t xml:space="preserve">REGIMEN TRIBUTARIO MYPE TRIBUTARIO </t>
  </si>
  <si>
    <t>COK DES APALANCADO CON RIESGO TOTAL</t>
  </si>
  <si>
    <t>COK DES APALANCADO CON RIESGO SISTEMATICO</t>
  </si>
  <si>
    <t>Kurs =</t>
  </si>
  <si>
    <t>Sueldo de personal</t>
  </si>
  <si>
    <t>Tasas y Criterios</t>
  </si>
  <si>
    <t>Valor</t>
  </si>
  <si>
    <t>anual</t>
  </si>
  <si>
    <t>Kurt nominal en dólares</t>
  </si>
  <si>
    <t>Kurs nominal en dólares</t>
  </si>
  <si>
    <t>Kurt  real</t>
  </si>
  <si>
    <t>Kurs real</t>
  </si>
  <si>
    <t>Activo fijo tangible</t>
  </si>
  <si>
    <t>Activo fijo intangible</t>
  </si>
  <si>
    <t>Capital de trabajo</t>
  </si>
  <si>
    <t>Recupero de capital de trabajo</t>
  </si>
  <si>
    <t>Recupero de activo fijo tangible</t>
  </si>
  <si>
    <t>Flujo de Inversión y Liquidación</t>
  </si>
  <si>
    <t>Flujo Operativo</t>
  </si>
  <si>
    <t>Flujo de Caja Economico, FCE</t>
  </si>
  <si>
    <t xml:space="preserve">Capital </t>
  </si>
  <si>
    <t>Interés</t>
  </si>
  <si>
    <t>Flujo de Caja de la Deuda, FCD</t>
  </si>
  <si>
    <t>Flujo de Caja Financiero, FCF</t>
  </si>
  <si>
    <t>Gastos operativos (*)</t>
  </si>
  <si>
    <t>Impuestos (**)</t>
  </si>
  <si>
    <t>FCF Ajustado</t>
  </si>
  <si>
    <t>(*) Régimen laboral pequeña empresa</t>
  </si>
  <si>
    <t>(**) Régimen MYPE Tributario</t>
  </si>
  <si>
    <t>TC dólar fin de año</t>
  </si>
  <si>
    <t>soles/dólar</t>
  </si>
  <si>
    <t>soles por dólar</t>
  </si>
  <si>
    <t>( 1 + dev)</t>
  </si>
  <si>
    <t>VARIACIÓN KW</t>
  </si>
  <si>
    <t>PRESUPUESTO ANUAL DE  REMUNERACIONES EN DOLARES</t>
  </si>
  <si>
    <t>GASTOS OPERATIVOS MENSUAL</t>
  </si>
  <si>
    <t>COSTO UNITARIO: LOTE DE 150/MES</t>
  </si>
  <si>
    <t>CAPITAL DE TRABAJO (150 unida -AÑO 1)</t>
  </si>
  <si>
    <t>Para flujo de caja año 1</t>
  </si>
  <si>
    <t>para flujo año 2</t>
  </si>
  <si>
    <t>Para flujo en año 0</t>
  </si>
  <si>
    <t>Unidades  combinadas/mes</t>
  </si>
  <si>
    <t>ESTADO DE RESULTADOS ECONÓMICO REAL EN DOLARES</t>
  </si>
  <si>
    <t xml:space="preserve"> mas de 18333.33</t>
  </si>
  <si>
    <t>Proyeccion de ventas reales en dólares</t>
  </si>
  <si>
    <t>COSTOS DE PRODUCCIÓN O DE VENTAS 50 unidades</t>
  </si>
  <si>
    <t>nominal</t>
  </si>
  <si>
    <t>Gastos Operativos variables</t>
  </si>
  <si>
    <t>CV producción Unitario</t>
  </si>
  <si>
    <t>CV producción total</t>
  </si>
  <si>
    <t>Gastos Operativos</t>
  </si>
  <si>
    <t>CV  de producción total</t>
  </si>
  <si>
    <t>Gatos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</si>
</sst>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000"/>
    <numFmt numFmtId="165" formatCode="0.000"/>
    <numFmt numFmtId="166" formatCode="0.0"/>
    <numFmt numFmtId="167" formatCode="#,##0.00000"/>
    <numFmt numFmtId="168" formatCode="[$S/.-280A]\ #,##0.00"/>
    <numFmt numFmtId="169" formatCode="[$$-540A]#,##0.00"/>
    <numFmt numFmtId="170" formatCode="0.0%"/>
    <numFmt numFmtId="171" formatCode="#,##0.00\ _€"/>
    <numFmt numFmtId="172" formatCode="#,##0\ _€"/>
    <numFmt numFmtId="173" formatCode="_ * #,##0_ ;_ * \-#,##0_ ;_ * &quot;-&quot;??_ ;_ @_ "/>
    <numFmt numFmtId="174" formatCode="_-* #,##0\ _€_-;\-* #,##0\ _€_-;_-* &quot;-&quot;??\ _€_-;_-@_-"/>
    <numFmt numFmtId="175" formatCode="#,##0\ _€;[Red]\-#,##0\ _€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color theme="1"/>
      <name val="Times New Roman"/>
      <family val="1"/>
    </font>
    <font>
      <b/>
      <sz val="11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2"/>
      <color rgb="FF000000"/>
      <name val="Times New Roman"/>
      <family val="1"/>
    </font>
    <font>
      <sz val="12"/>
      <color indexed="8"/>
      <name val="Symbol"/>
      <family val="1"/>
      <charset val="2"/>
    </font>
    <font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sz val="10"/>
      <name val="Calibri"/>
      <family val="2"/>
    </font>
    <font>
      <b/>
      <sz val="12"/>
      <color rgb="FF000000"/>
      <name val="Times New Roman"/>
      <family val="1"/>
    </font>
    <font>
      <b/>
      <sz val="12"/>
      <color indexed="8"/>
      <name val="Symbol"/>
      <family val="1"/>
      <charset val="2"/>
    </font>
    <font>
      <b/>
      <sz val="12"/>
      <color indexed="8"/>
      <name val="Times New Roman"/>
      <family val="1"/>
    </font>
    <font>
      <b/>
      <vertAlign val="subscript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rgb="FF000000"/>
      <name val="Symbol"/>
      <family val="1"/>
      <charset val="2"/>
    </font>
    <font>
      <vertAlign val="subscript"/>
      <sz val="10"/>
      <color indexed="8"/>
      <name val="Times New Roman"/>
      <family val="1"/>
    </font>
    <font>
      <b/>
      <sz val="12"/>
      <color rgb="FF000000"/>
      <name val="Symbol"/>
      <family val="1"/>
      <charset val="2"/>
    </font>
    <font>
      <b/>
      <vertAlign val="subscript"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vertAlign val="subscript"/>
      <sz val="12"/>
      <color indexed="8"/>
      <name val="Arial"/>
      <family val="2"/>
    </font>
    <font>
      <b/>
      <sz val="18"/>
      <color rgb="FF000000"/>
      <name val="Times New Roman"/>
      <family val="1"/>
    </font>
    <font>
      <b/>
      <sz val="18"/>
      <color indexed="8"/>
      <name val="Times New Roman"/>
      <family val="1"/>
    </font>
    <font>
      <b/>
      <u/>
      <sz val="18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3">
    <xf numFmtId="0" fontId="0" fillId="0" borderId="0" xfId="0"/>
    <xf numFmtId="0" fontId="3" fillId="0" borderId="0" xfId="0" applyFont="1"/>
    <xf numFmtId="0" fontId="3" fillId="0" borderId="1" xfId="0" applyFont="1" applyBorder="1"/>
    <xf numFmtId="9" fontId="3" fillId="0" borderId="1" xfId="2" applyFon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2" fontId="2" fillId="0" borderId="1" xfId="0" applyNumberFormat="1" applyFont="1" applyBorder="1"/>
    <xf numFmtId="2" fontId="0" fillId="0" borderId="7" xfId="0" applyNumberFormat="1" applyBorder="1"/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/>
    <xf numFmtId="2" fontId="4" fillId="4" borderId="5" xfId="0" applyNumberFormat="1" applyFont="1" applyFill="1" applyBorder="1"/>
    <xf numFmtId="0" fontId="0" fillId="0" borderId="1" xfId="0" applyBorder="1" applyAlignment="1">
      <alignment wrapText="1"/>
    </xf>
    <xf numFmtId="9" fontId="6" fillId="0" borderId="7" xfId="2" applyFont="1" applyBorder="1" applyAlignment="1">
      <alignment wrapText="1"/>
    </xf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/>
    <xf numFmtId="3" fontId="4" fillId="0" borderId="1" xfId="0" applyNumberFormat="1" applyFont="1" applyBorder="1"/>
    <xf numFmtId="4" fontId="4" fillId="0" borderId="17" xfId="0" applyNumberFormat="1" applyFont="1" applyBorder="1"/>
    <xf numFmtId="0" fontId="6" fillId="0" borderId="8" xfId="0" applyFont="1" applyBorder="1"/>
    <xf numFmtId="3" fontId="6" fillId="0" borderId="1" xfId="0" applyNumberFormat="1" applyFont="1" applyBorder="1"/>
    <xf numFmtId="4" fontId="6" fillId="0" borderId="17" xfId="0" applyNumberFormat="1" applyFont="1" applyBorder="1"/>
    <xf numFmtId="2" fontId="6" fillId="0" borderId="1" xfId="0" applyNumberFormat="1" applyFont="1" applyBorder="1"/>
    <xf numFmtId="4" fontId="6" fillId="0" borderId="1" xfId="0" applyNumberFormat="1" applyFont="1" applyBorder="1"/>
    <xf numFmtId="1" fontId="6" fillId="0" borderId="1" xfId="0" applyNumberFormat="1" applyFont="1" applyBorder="1"/>
    <xf numFmtId="2" fontId="4" fillId="0" borderId="1" xfId="0" applyNumberFormat="1" applyFont="1" applyBorder="1"/>
    <xf numFmtId="4" fontId="4" fillId="0" borderId="1" xfId="0" applyNumberFormat="1" applyFont="1" applyBorder="1"/>
    <xf numFmtId="1" fontId="4" fillId="0" borderId="1" xfId="0" applyNumberFormat="1" applyFont="1" applyBorder="1"/>
    <xf numFmtId="1" fontId="0" fillId="0" borderId="0" xfId="0" applyNumberFormat="1"/>
    <xf numFmtId="0" fontId="8" fillId="0" borderId="1" xfId="0" applyFont="1" applyBorder="1"/>
    <xf numFmtId="0" fontId="4" fillId="2" borderId="0" xfId="0" applyFont="1" applyFill="1" applyAlignment="1">
      <alignment horizontal="center"/>
    </xf>
    <xf numFmtId="0" fontId="7" fillId="0" borderId="0" xfId="0" applyFont="1" applyBorder="1"/>
    <xf numFmtId="0" fontId="6" fillId="0" borderId="8" xfId="0" applyFont="1" applyBorder="1" applyAlignment="1">
      <alignment horizontal="center"/>
    </xf>
    <xf numFmtId="4" fontId="0" fillId="0" borderId="1" xfId="0" applyNumberFormat="1" applyBorder="1"/>
    <xf numFmtId="0" fontId="0" fillId="8" borderId="0" xfId="0" applyFill="1"/>
    <xf numFmtId="0" fontId="0" fillId="2" borderId="0" xfId="0" applyFill="1" applyAlignment="1">
      <alignment horizontal="center"/>
    </xf>
    <xf numFmtId="0" fontId="4" fillId="4" borderId="1" xfId="0" applyFont="1" applyFill="1" applyBorder="1"/>
    <xf numFmtId="0" fontId="4" fillId="9" borderId="8" xfId="0" applyFont="1" applyFill="1" applyBorder="1"/>
    <xf numFmtId="0" fontId="4" fillId="9" borderId="1" xfId="0" applyFont="1" applyFill="1" applyBorder="1"/>
    <xf numFmtId="0" fontId="6" fillId="2" borderId="8" xfId="0" applyFont="1" applyFill="1" applyBorder="1"/>
    <xf numFmtId="2" fontId="6" fillId="2" borderId="1" xfId="0" applyNumberFormat="1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6" xfId="0" applyFont="1" applyFill="1" applyBorder="1"/>
    <xf numFmtId="2" fontId="4" fillId="9" borderId="1" xfId="0" applyNumberFormat="1" applyFont="1" applyFill="1" applyBorder="1"/>
    <xf numFmtId="2" fontId="4" fillId="4" borderId="1" xfId="0" applyNumberFormat="1" applyFont="1" applyFill="1" applyBorder="1"/>
    <xf numFmtId="0" fontId="6" fillId="2" borderId="0" xfId="0" applyFont="1" applyFill="1"/>
    <xf numFmtId="0" fontId="10" fillId="8" borderId="0" xfId="0" applyFont="1" applyFill="1"/>
    <xf numFmtId="4" fontId="11" fillId="8" borderId="0" xfId="0" applyNumberFormat="1" applyFont="1" applyFill="1" applyAlignment="1">
      <alignment horizontal="center"/>
    </xf>
    <xf numFmtId="4" fontId="0" fillId="2" borderId="0" xfId="0" applyNumberFormat="1" applyFill="1"/>
    <xf numFmtId="4" fontId="4" fillId="0" borderId="0" xfId="0" applyNumberFormat="1" applyFont="1" applyAlignment="1">
      <alignment horizontal="center"/>
    </xf>
    <xf numFmtId="4" fontId="4" fillId="2" borderId="0" xfId="0" applyNumberFormat="1" applyFont="1" applyFill="1"/>
    <xf numFmtId="3" fontId="4" fillId="4" borderId="19" xfId="0" applyNumberFormat="1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/>
    </xf>
    <xf numFmtId="3" fontId="4" fillId="4" borderId="20" xfId="0" applyNumberFormat="1" applyFont="1" applyFill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2" borderId="0" xfId="0" applyNumberFormat="1" applyFont="1" applyFill="1" applyAlignment="1">
      <alignment horizontal="center"/>
    </xf>
    <xf numFmtId="0" fontId="4" fillId="2" borderId="8" xfId="0" applyFont="1" applyFill="1" applyBorder="1"/>
    <xf numFmtId="4" fontId="0" fillId="8" borderId="1" xfId="0" applyNumberFormat="1" applyFill="1" applyBorder="1" applyAlignment="1">
      <alignment horizontal="left"/>
    </xf>
    <xf numFmtId="4" fontId="0" fillId="0" borderId="0" xfId="0" applyNumberFormat="1" applyAlignment="1">
      <alignment horizontal="center"/>
    </xf>
    <xf numFmtId="4" fontId="0" fillId="2" borderId="0" xfId="0" applyNumberFormat="1" applyFill="1" applyAlignment="1">
      <alignment horizontal="center"/>
    </xf>
    <xf numFmtId="0" fontId="4" fillId="8" borderId="9" xfId="0" applyFont="1" applyFill="1" applyBorder="1"/>
    <xf numFmtId="4" fontId="0" fillId="8" borderId="10" xfId="0" applyNumberFormat="1" applyFill="1" applyBorder="1" applyAlignment="1">
      <alignment horizontal="left"/>
    </xf>
    <xf numFmtId="0" fontId="4" fillId="4" borderId="3" xfId="0" applyFont="1" applyFill="1" applyBorder="1" applyAlignment="1">
      <alignment horizontal="center"/>
    </xf>
    <xf numFmtId="4" fontId="4" fillId="4" borderId="4" xfId="0" applyNumberFormat="1" applyFont="1" applyFill="1" applyBorder="1" applyAlignment="1">
      <alignment horizontal="center"/>
    </xf>
    <xf numFmtId="4" fontId="4" fillId="2" borderId="0" xfId="0" applyNumberFormat="1" applyFont="1" applyFill="1" applyAlignment="1">
      <alignment horizontal="center"/>
    </xf>
    <xf numFmtId="0" fontId="6" fillId="0" borderId="0" xfId="0" applyFont="1"/>
    <xf numFmtId="0" fontId="4" fillId="4" borderId="19" xfId="0" applyFont="1" applyFill="1" applyBorder="1" applyAlignment="1">
      <alignment horizontal="center"/>
    </xf>
    <xf numFmtId="3" fontId="4" fillId="8" borderId="3" xfId="0" applyNumberFormat="1" applyFont="1" applyFill="1" applyBorder="1" applyAlignment="1">
      <alignment horizontal="left"/>
    </xf>
    <xf numFmtId="3" fontId="6" fillId="8" borderId="4" xfId="0" applyNumberFormat="1" applyFont="1" applyFill="1" applyBorder="1"/>
    <xf numFmtId="0" fontId="0" fillId="8" borderId="5" xfId="0" applyFill="1" applyBorder="1"/>
    <xf numFmtId="3" fontId="6" fillId="8" borderId="6" xfId="0" applyNumberFormat="1" applyFont="1" applyFill="1" applyBorder="1" applyAlignment="1">
      <alignment horizontal="left"/>
    </xf>
    <xf numFmtId="4" fontId="6" fillId="8" borderId="7" xfId="0" applyNumberFormat="1" applyFont="1" applyFill="1" applyBorder="1"/>
    <xf numFmtId="3" fontId="6" fillId="8" borderId="7" xfId="0" applyNumberFormat="1" applyFont="1" applyFill="1" applyBorder="1"/>
    <xf numFmtId="4" fontId="0" fillId="2" borderId="17" xfId="0" applyNumberFormat="1" applyFill="1" applyBorder="1"/>
    <xf numFmtId="3" fontId="6" fillId="8" borderId="8" xfId="0" applyNumberFormat="1" applyFont="1" applyFill="1" applyBorder="1" applyAlignment="1">
      <alignment horizontal="left"/>
    </xf>
    <xf numFmtId="4" fontId="6" fillId="8" borderId="1" xfId="0" applyNumberFormat="1" applyFont="1" applyFill="1" applyBorder="1"/>
    <xf numFmtId="3" fontId="6" fillId="8" borderId="1" xfId="0" applyNumberFormat="1" applyFont="1" applyFill="1" applyBorder="1"/>
    <xf numFmtId="3" fontId="6" fillId="8" borderId="9" xfId="0" applyNumberFormat="1" applyFont="1" applyFill="1" applyBorder="1" applyAlignment="1">
      <alignment horizontal="left"/>
    </xf>
    <xf numFmtId="4" fontId="6" fillId="8" borderId="10" xfId="0" applyNumberFormat="1" applyFont="1" applyFill="1" applyBorder="1"/>
    <xf numFmtId="3" fontId="6" fillId="8" borderId="10" xfId="0" applyNumberFormat="1" applyFont="1" applyFill="1" applyBorder="1"/>
    <xf numFmtId="3" fontId="4" fillId="8" borderId="3" xfId="0" applyNumberFormat="1" applyFont="1" applyFill="1" applyBorder="1"/>
    <xf numFmtId="3" fontId="4" fillId="8" borderId="4" xfId="0" applyNumberFormat="1" applyFont="1" applyFill="1" applyBorder="1"/>
    <xf numFmtId="167" fontId="0" fillId="8" borderId="0" xfId="0" applyNumberFormat="1" applyFill="1"/>
    <xf numFmtId="3" fontId="4" fillId="8" borderId="6" xfId="0" applyNumberFormat="1" applyFont="1" applyFill="1" applyBorder="1" applyAlignment="1">
      <alignment horizontal="left"/>
    </xf>
    <xf numFmtId="0" fontId="0" fillId="8" borderId="25" xfId="0" applyFill="1" applyBorder="1"/>
    <xf numFmtId="3" fontId="0" fillId="8" borderId="17" xfId="0" applyNumberFormat="1" applyFill="1" applyBorder="1"/>
    <xf numFmtId="3" fontId="6" fillId="8" borderId="8" xfId="0" applyNumberFormat="1" applyFont="1" applyFill="1" applyBorder="1"/>
    <xf numFmtId="3" fontId="6" fillId="8" borderId="9" xfId="0" applyNumberFormat="1" applyFont="1" applyFill="1" applyBorder="1"/>
    <xf numFmtId="3" fontId="0" fillId="8" borderId="26" xfId="0" applyNumberFormat="1" applyFill="1" applyBorder="1"/>
    <xf numFmtId="3" fontId="4" fillId="4" borderId="3" xfId="0" applyNumberFormat="1" applyFont="1" applyFill="1" applyBorder="1"/>
    <xf numFmtId="3" fontId="4" fillId="4" borderId="4" xfId="0" applyNumberFormat="1" applyFont="1" applyFill="1" applyBorder="1"/>
    <xf numFmtId="3" fontId="0" fillId="8" borderId="0" xfId="0" applyNumberFormat="1" applyFill="1"/>
    <xf numFmtId="0" fontId="6" fillId="8" borderId="0" xfId="0" applyFont="1" applyFill="1"/>
    <xf numFmtId="0" fontId="12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168" fontId="4" fillId="0" borderId="16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8" fontId="4" fillId="0" borderId="17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8" fontId="6" fillId="0" borderId="17" xfId="0" applyNumberFormat="1" applyFont="1" applyBorder="1" applyAlignment="1">
      <alignment horizontal="right" vertical="center"/>
    </xf>
    <xf numFmtId="2" fontId="6" fillId="0" borderId="1" xfId="0" applyNumberFormat="1" applyFont="1" applyBorder="1" applyAlignment="1">
      <alignment horizontal="center" vertical="center"/>
    </xf>
    <xf numFmtId="169" fontId="6" fillId="0" borderId="17" xfId="0" applyNumberFormat="1" applyFont="1" applyBorder="1" applyAlignment="1">
      <alignment horizontal="right" vertical="center"/>
    </xf>
    <xf numFmtId="0" fontId="12" fillId="0" borderId="8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168" fontId="6" fillId="0" borderId="20" xfId="0" applyNumberFormat="1" applyFont="1" applyBorder="1" applyAlignment="1">
      <alignment horizontal="right" vertical="center"/>
    </xf>
    <xf numFmtId="0" fontId="4" fillId="10" borderId="29" xfId="0" applyFont="1" applyFill="1" applyBorder="1" applyAlignment="1">
      <alignment horizontal="center" vertical="center"/>
    </xf>
    <xf numFmtId="2" fontId="4" fillId="10" borderId="2" xfId="0" applyNumberFormat="1" applyFont="1" applyFill="1" applyBorder="1" applyAlignment="1">
      <alignment vertical="center"/>
    </xf>
    <xf numFmtId="2" fontId="4" fillId="10" borderId="2" xfId="0" applyNumberFormat="1" applyFont="1" applyFill="1" applyBorder="1" applyAlignment="1">
      <alignment horizontal="center" vertical="center"/>
    </xf>
    <xf numFmtId="43" fontId="0" fillId="8" borderId="0" xfId="1" applyFont="1" applyFill="1" applyBorder="1"/>
    <xf numFmtId="3" fontId="0" fillId="0" borderId="1" xfId="0" applyNumberFormat="1" applyBorder="1"/>
    <xf numFmtId="3" fontId="0" fillId="0" borderId="0" xfId="0" applyNumberFormat="1" applyAlignment="1">
      <alignment horizontal="left"/>
    </xf>
    <xf numFmtId="0" fontId="4" fillId="0" borderId="32" xfId="0" applyFont="1" applyBorder="1" applyAlignment="1">
      <alignment horizontal="center"/>
    </xf>
    <xf numFmtId="0" fontId="4" fillId="4" borderId="14" xfId="0" applyFont="1" applyFill="1" applyBorder="1"/>
    <xf numFmtId="2" fontId="4" fillId="4" borderId="16" xfId="0" applyNumberFormat="1" applyFont="1" applyFill="1" applyBorder="1" applyAlignment="1">
      <alignment horizontal="center"/>
    </xf>
    <xf numFmtId="2" fontId="0" fillId="0" borderId="0" xfId="0" applyNumberFormat="1"/>
    <xf numFmtId="2" fontId="0" fillId="0" borderId="17" xfId="0" applyNumberFormat="1" applyBorder="1"/>
    <xf numFmtId="2" fontId="0" fillId="0" borderId="33" xfId="0" applyNumberFormat="1" applyBorder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1" xfId="0" applyFont="1" applyBorder="1"/>
    <xf numFmtId="3" fontId="0" fillId="0" borderId="33" xfId="0" applyNumberFormat="1" applyBorder="1"/>
    <xf numFmtId="0" fontId="4" fillId="3" borderId="8" xfId="0" applyFont="1" applyFill="1" applyBorder="1"/>
    <xf numFmtId="2" fontId="4" fillId="3" borderId="17" xfId="0" applyNumberFormat="1" applyFont="1" applyFill="1" applyBorder="1"/>
    <xf numFmtId="0" fontId="4" fillId="4" borderId="8" xfId="0" applyFont="1" applyFill="1" applyBorder="1"/>
    <xf numFmtId="2" fontId="4" fillId="4" borderId="17" xfId="0" applyNumberFormat="1" applyFont="1" applyFill="1" applyBorder="1" applyAlignment="1">
      <alignment horizontal="center"/>
    </xf>
    <xf numFmtId="4" fontId="0" fillId="0" borderId="0" xfId="0" applyNumberFormat="1"/>
    <xf numFmtId="0" fontId="4" fillId="4" borderId="30" xfId="0" applyFont="1" applyFill="1" applyBorder="1"/>
    <xf numFmtId="9" fontId="4" fillId="0" borderId="0" xfId="0" applyNumberFormat="1" applyFont="1"/>
    <xf numFmtId="0" fontId="4" fillId="0" borderId="0" xfId="0" applyFont="1"/>
    <xf numFmtId="0" fontId="6" fillId="0" borderId="14" xfId="0" applyFont="1" applyBorder="1"/>
    <xf numFmtId="3" fontId="0" fillId="0" borderId="16" xfId="0" applyNumberFormat="1" applyBorder="1"/>
    <xf numFmtId="0" fontId="6" fillId="0" borderId="30" xfId="0" applyFont="1" applyBorder="1"/>
    <xf numFmtId="2" fontId="0" fillId="0" borderId="31" xfId="0" applyNumberFormat="1" applyBorder="1"/>
    <xf numFmtId="0" fontId="6" fillId="0" borderId="18" xfId="0" applyFont="1" applyBorder="1"/>
    <xf numFmtId="2" fontId="6" fillId="0" borderId="20" xfId="0" applyNumberFormat="1" applyFont="1" applyBorder="1"/>
    <xf numFmtId="10" fontId="0" fillId="0" borderId="0" xfId="0" applyNumberFormat="1"/>
    <xf numFmtId="2" fontId="4" fillId="4" borderId="5" xfId="0" applyNumberFormat="1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170" fontId="0" fillId="0" borderId="25" xfId="2" applyNumberFormat="1" applyFont="1" applyBorder="1"/>
    <xf numFmtId="0" fontId="4" fillId="12" borderId="32" xfId="0" applyFont="1" applyFill="1" applyBorder="1" applyAlignment="1">
      <alignment horizontal="center"/>
    </xf>
    <xf numFmtId="0" fontId="0" fillId="12" borderId="30" xfId="0" applyFill="1" applyBorder="1"/>
    <xf numFmtId="2" fontId="0" fillId="12" borderId="35" xfId="0" applyNumberFormat="1" applyFill="1" applyBorder="1"/>
    <xf numFmtId="170" fontId="4" fillId="12" borderId="5" xfId="2" applyNumberFormat="1" applyFont="1" applyFill="1" applyBorder="1"/>
    <xf numFmtId="0" fontId="7" fillId="2" borderId="0" xfId="0" applyFont="1" applyFill="1" applyAlignment="1">
      <alignment horizontal="left" vertical="center"/>
    </xf>
    <xf numFmtId="2" fontId="0" fillId="2" borderId="0" xfId="0" applyNumberFormat="1" applyFill="1"/>
    <xf numFmtId="170" fontId="6" fillId="2" borderId="0" xfId="2" applyNumberFormat="1" applyFont="1" applyFill="1" applyBorder="1"/>
    <xf numFmtId="0" fontId="7" fillId="2" borderId="0" xfId="0" applyFont="1" applyFill="1"/>
    <xf numFmtId="0" fontId="6" fillId="0" borderId="6" xfId="0" applyFont="1" applyBorder="1"/>
    <xf numFmtId="10" fontId="0" fillId="0" borderId="7" xfId="0" applyNumberFormat="1" applyBorder="1"/>
    <xf numFmtId="2" fontId="0" fillId="0" borderId="25" xfId="0" applyNumberFormat="1" applyBorder="1"/>
    <xf numFmtId="10" fontId="0" fillId="0" borderId="1" xfId="0" applyNumberFormat="1" applyBorder="1"/>
    <xf numFmtId="164" fontId="4" fillId="8" borderId="0" xfId="0" applyNumberFormat="1" applyFont="1" applyFill="1"/>
    <xf numFmtId="0" fontId="4" fillId="2" borderId="0" xfId="0" applyFont="1" applyFill="1"/>
    <xf numFmtId="0" fontId="0" fillId="2" borderId="0" xfId="0" applyFill="1" applyAlignment="1">
      <alignment horizontal="right"/>
    </xf>
    <xf numFmtId="1" fontId="0" fillId="2" borderId="0" xfId="0" applyNumberFormat="1" applyFill="1"/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2" fontId="6" fillId="8" borderId="1" xfId="0" applyNumberFormat="1" applyFont="1" applyFill="1" applyBorder="1" applyAlignment="1">
      <alignment horizontal="center"/>
    </xf>
    <xf numFmtId="1" fontId="0" fillId="8" borderId="1" xfId="2" applyNumberFormat="1" applyFont="1" applyFill="1" applyBorder="1" applyAlignment="1">
      <alignment horizontal="center"/>
    </xf>
    <xf numFmtId="1" fontId="0" fillId="0" borderId="1" xfId="0" applyNumberFormat="1" applyBorder="1"/>
    <xf numFmtId="0" fontId="6" fillId="0" borderId="10" xfId="0" applyFont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1" fontId="4" fillId="10" borderId="4" xfId="0" applyNumberFormat="1" applyFont="1" applyFill="1" applyBorder="1" applyAlignment="1">
      <alignment horizontal="center"/>
    </xf>
    <xf numFmtId="2" fontId="4" fillId="2" borderId="0" xfId="0" applyNumberFormat="1" applyFont="1" applyFill="1"/>
    <xf numFmtId="1" fontId="4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2" fontId="0" fillId="8" borderId="1" xfId="0" applyNumberFormat="1" applyFill="1" applyBorder="1" applyAlignment="1">
      <alignment horizontal="center"/>
    </xf>
    <xf numFmtId="171" fontId="0" fillId="8" borderId="1" xfId="2" applyNumberFormat="1" applyFont="1" applyFill="1" applyBorder="1" applyAlignment="1">
      <alignment horizontal="center"/>
    </xf>
    <xf numFmtId="171" fontId="0" fillId="0" borderId="1" xfId="0" applyNumberFormat="1" applyBorder="1"/>
    <xf numFmtId="2" fontId="4" fillId="2" borderId="0" xfId="0" applyNumberFormat="1" applyFont="1" applyFill="1" applyAlignment="1">
      <alignment horizontal="center"/>
    </xf>
    <xf numFmtId="171" fontId="0" fillId="8" borderId="10" xfId="2" applyNumberFormat="1" applyFont="1" applyFill="1" applyBorder="1" applyAlignment="1">
      <alignment horizontal="center"/>
    </xf>
    <xf numFmtId="171" fontId="0" fillId="0" borderId="10" xfId="0" applyNumberFormat="1" applyBorder="1"/>
    <xf numFmtId="171" fontId="4" fillId="10" borderId="4" xfId="0" applyNumberFormat="1" applyFon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171" fontId="4" fillId="0" borderId="1" xfId="0" applyNumberFormat="1" applyFont="1" applyBorder="1"/>
    <xf numFmtId="0" fontId="0" fillId="0" borderId="8" xfId="0" applyBorder="1"/>
    <xf numFmtId="171" fontId="0" fillId="0" borderId="19" xfId="0" applyNumberFormat="1" applyBorder="1"/>
    <xf numFmtId="0" fontId="4" fillId="4" borderId="24" xfId="0" applyFont="1" applyFill="1" applyBorder="1" applyAlignment="1">
      <alignment horizontal="center"/>
    </xf>
    <xf numFmtId="171" fontId="4" fillId="4" borderId="28" xfId="0" applyNumberFormat="1" applyFont="1" applyFill="1" applyBorder="1" applyAlignment="1">
      <alignment horizontal="right"/>
    </xf>
    <xf numFmtId="0" fontId="14" fillId="8" borderId="0" xfId="0" applyFont="1" applyFill="1" applyAlignment="1">
      <alignment horizontal="center"/>
    </xf>
    <xf numFmtId="171" fontId="0" fillId="8" borderId="0" xfId="0" applyNumberFormat="1" applyFill="1"/>
    <xf numFmtId="0" fontId="4" fillId="8" borderId="6" xfId="0" applyFont="1" applyFill="1" applyBorder="1" applyAlignment="1">
      <alignment horizontal="left"/>
    </xf>
    <xf numFmtId="4" fontId="6" fillId="8" borderId="7" xfId="0" applyNumberFormat="1" applyFont="1" applyFill="1" applyBorder="1" applyAlignment="1">
      <alignment horizontal="center"/>
    </xf>
    <xf numFmtId="3" fontId="4" fillId="8" borderId="18" xfId="0" applyNumberFormat="1" applyFont="1" applyFill="1" applyBorder="1"/>
    <xf numFmtId="4" fontId="6" fillId="8" borderId="19" xfId="0" applyNumberFormat="1" applyFont="1" applyFill="1" applyBorder="1"/>
    <xf numFmtId="9" fontId="0" fillId="0" borderId="1" xfId="0" applyNumberFormat="1" applyBorder="1"/>
    <xf numFmtId="10" fontId="6" fillId="2" borderId="0" xfId="2" applyNumberFormat="1" applyFont="1" applyFill="1"/>
    <xf numFmtId="170" fontId="6" fillId="2" borderId="0" xfId="2" applyNumberFormat="1" applyFont="1" applyFill="1"/>
    <xf numFmtId="10" fontId="6" fillId="2" borderId="0" xfId="0" applyNumberFormat="1" applyFont="1" applyFill="1"/>
    <xf numFmtId="166" fontId="0" fillId="2" borderId="0" xfId="0" applyNumberFormat="1" applyFill="1"/>
    <xf numFmtId="0" fontId="4" fillId="9" borderId="14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/>
    </xf>
    <xf numFmtId="166" fontId="4" fillId="3" borderId="7" xfId="0" applyNumberFormat="1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7" xfId="0" applyNumberFormat="1" applyBorder="1"/>
    <xf numFmtId="0" fontId="4" fillId="3" borderId="1" xfId="0" applyFont="1" applyFill="1" applyBorder="1"/>
    <xf numFmtId="1" fontId="4" fillId="3" borderId="1" xfId="0" applyNumberFormat="1" applyFont="1" applyFill="1" applyBorder="1"/>
    <xf numFmtId="1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10" fontId="6" fillId="14" borderId="0" xfId="2" applyNumberFormat="1" applyFont="1" applyFill="1"/>
    <xf numFmtId="0" fontId="19" fillId="0" borderId="0" xfId="0" applyFont="1"/>
    <xf numFmtId="10" fontId="0" fillId="0" borderId="0" xfId="2" applyNumberFormat="1" applyFont="1"/>
    <xf numFmtId="0" fontId="4" fillId="5" borderId="0" xfId="0" applyFont="1" applyFill="1"/>
    <xf numFmtId="10" fontId="4" fillId="5" borderId="0" xfId="2" applyNumberFormat="1" applyFont="1" applyFill="1"/>
    <xf numFmtId="0" fontId="20" fillId="0" borderId="0" xfId="0" applyFont="1"/>
    <xf numFmtId="0" fontId="20" fillId="0" borderId="0" xfId="0" applyFont="1" applyAlignment="1">
      <alignment vertical="center"/>
    </xf>
    <xf numFmtId="10" fontId="6" fillId="0" borderId="0" xfId="2" applyNumberFormat="1" applyFont="1" applyFill="1"/>
    <xf numFmtId="0" fontId="26" fillId="0" borderId="0" xfId="0" applyFont="1" applyAlignment="1">
      <alignment vertical="center"/>
    </xf>
    <xf numFmtId="43" fontId="0" fillId="0" borderId="0" xfId="0" applyNumberFormat="1"/>
    <xf numFmtId="0" fontId="0" fillId="15" borderId="0" xfId="0" applyFill="1"/>
    <xf numFmtId="0" fontId="20" fillId="5" borderId="0" xfId="0" applyFont="1" applyFill="1" applyAlignment="1">
      <alignment vertical="center"/>
    </xf>
    <xf numFmtId="10" fontId="4" fillId="5" borderId="0" xfId="0" applyNumberFormat="1" applyFont="1" applyFill="1"/>
    <xf numFmtId="10" fontId="6" fillId="0" borderId="0" xfId="0" applyNumberFormat="1" applyFont="1"/>
    <xf numFmtId="0" fontId="28" fillId="0" borderId="0" xfId="0" applyFont="1" applyAlignment="1">
      <alignment vertical="center"/>
    </xf>
    <xf numFmtId="171" fontId="0" fillId="0" borderId="0" xfId="0" applyNumberFormat="1"/>
    <xf numFmtId="0" fontId="33" fillId="0" borderId="0" xfId="0" applyFont="1" applyAlignment="1">
      <alignment horizontal="left" vertical="center" readingOrder="1"/>
    </xf>
    <xf numFmtId="0" fontId="33" fillId="0" borderId="0" xfId="0" applyFont="1"/>
    <xf numFmtId="10" fontId="3" fillId="0" borderId="1" xfId="0" applyNumberFormat="1" applyFont="1" applyBorder="1"/>
    <xf numFmtId="4" fontId="3" fillId="0" borderId="1" xfId="0" applyNumberFormat="1" applyFont="1" applyBorder="1"/>
    <xf numFmtId="9" fontId="3" fillId="0" borderId="1" xfId="2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9" fontId="3" fillId="0" borderId="0" xfId="0" applyNumberFormat="1" applyFont="1"/>
    <xf numFmtId="2" fontId="3" fillId="0" borderId="0" xfId="0" applyNumberFormat="1" applyFont="1"/>
    <xf numFmtId="0" fontId="3" fillId="5" borderId="1" xfId="0" applyFont="1" applyFill="1" applyBorder="1"/>
    <xf numFmtId="2" fontId="3" fillId="0" borderId="0" xfId="2" applyNumberFormat="1" applyFont="1" applyFill="1"/>
    <xf numFmtId="2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9" fontId="3" fillId="17" borderId="1" xfId="0" applyNumberFormat="1" applyFont="1" applyFill="1" applyBorder="1"/>
    <xf numFmtId="10" fontId="3" fillId="17" borderId="1" xfId="0" applyNumberFormat="1" applyFont="1" applyFill="1" applyBorder="1"/>
    <xf numFmtId="10" fontId="3" fillId="5" borderId="1" xfId="0" applyNumberFormat="1" applyFont="1" applyFill="1" applyBorder="1"/>
    <xf numFmtId="3" fontId="0" fillId="13" borderId="1" xfId="0" applyNumberFormat="1" applyFill="1" applyBorder="1" applyAlignment="1">
      <alignment horizontal="center"/>
    </xf>
    <xf numFmtId="9" fontId="6" fillId="13" borderId="1" xfId="2" applyFont="1" applyFill="1" applyBorder="1" applyAlignment="1">
      <alignment horizontal="center"/>
    </xf>
    <xf numFmtId="170" fontId="6" fillId="13" borderId="1" xfId="2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70" fontId="4" fillId="5" borderId="1" xfId="2" applyNumberFormat="1" applyFont="1" applyFill="1" applyBorder="1" applyAlignment="1">
      <alignment horizontal="center"/>
    </xf>
    <xf numFmtId="3" fontId="6" fillId="13" borderId="1" xfId="0" applyNumberFormat="1" applyFont="1" applyFill="1" applyBorder="1" applyAlignment="1">
      <alignment horizontal="center"/>
    </xf>
    <xf numFmtId="2" fontId="3" fillId="0" borderId="1" xfId="0" applyNumberFormat="1" applyFont="1" applyBorder="1"/>
    <xf numFmtId="2" fontId="3" fillId="5" borderId="1" xfId="0" applyNumberFormat="1" applyFont="1" applyFill="1" applyBorder="1"/>
    <xf numFmtId="3" fontId="0" fillId="0" borderId="7" xfId="0" applyNumberFormat="1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 wrapText="1"/>
    </xf>
    <xf numFmtId="0" fontId="3" fillId="9" borderId="1" xfId="0" applyFont="1" applyFill="1" applyBorder="1"/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10" fontId="4" fillId="9" borderId="1" xfId="0" applyNumberFormat="1" applyFont="1" applyFill="1" applyBorder="1" applyAlignment="1">
      <alignment horizontal="center" vertical="center"/>
    </xf>
    <xf numFmtId="9" fontId="4" fillId="9" borderId="1" xfId="2" applyFont="1" applyFill="1" applyBorder="1" applyAlignment="1">
      <alignment horizontal="center" vertical="center"/>
    </xf>
    <xf numFmtId="166" fontId="3" fillId="5" borderId="1" xfId="0" applyNumberFormat="1" applyFont="1" applyFill="1" applyBorder="1"/>
    <xf numFmtId="9" fontId="0" fillId="5" borderId="1" xfId="2" applyFon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9" fontId="6" fillId="5" borderId="1" xfId="2" applyFont="1" applyFill="1" applyBorder="1" applyAlignment="1">
      <alignment horizontal="center"/>
    </xf>
    <xf numFmtId="10" fontId="6" fillId="13" borderId="1" xfId="2" applyNumberFormat="1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 vertical="center" wrapText="1"/>
    </xf>
    <xf numFmtId="9" fontId="0" fillId="13" borderId="1" xfId="2" applyFont="1" applyFill="1" applyBorder="1" applyAlignment="1">
      <alignment horizontal="center"/>
    </xf>
    <xf numFmtId="9" fontId="4" fillId="5" borderId="1" xfId="2" applyFont="1" applyFill="1" applyBorder="1" applyAlignment="1">
      <alignment horizontal="center"/>
    </xf>
    <xf numFmtId="170" fontId="4" fillId="9" borderId="1" xfId="2" applyNumberFormat="1" applyFont="1" applyFill="1" applyBorder="1" applyAlignment="1">
      <alignment horizontal="center" vertical="center"/>
    </xf>
    <xf numFmtId="166" fontId="4" fillId="9" borderId="1" xfId="0" applyNumberFormat="1" applyFon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/>
    </xf>
    <xf numFmtId="166" fontId="3" fillId="4" borderId="1" xfId="0" applyNumberFormat="1" applyFont="1" applyFill="1" applyBorder="1"/>
    <xf numFmtId="9" fontId="0" fillId="4" borderId="1" xfId="2" applyFon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9" fontId="6" fillId="4" borderId="1" xfId="2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9" fontId="4" fillId="4" borderId="1" xfId="2" applyFont="1" applyFill="1" applyBorder="1" applyAlignment="1">
      <alignment horizontal="center"/>
    </xf>
    <xf numFmtId="9" fontId="3" fillId="4" borderId="1" xfId="2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8" fillId="0" borderId="0" xfId="0" applyFont="1"/>
    <xf numFmtId="9" fontId="3" fillId="0" borderId="0" xfId="0" applyNumberFormat="1" applyFont="1" applyFill="1"/>
    <xf numFmtId="0" fontId="0" fillId="0" borderId="0" xfId="0" applyFill="1" applyBorder="1" applyAlignment="1"/>
    <xf numFmtId="9" fontId="0" fillId="0" borderId="0" xfId="0" applyNumberFormat="1" applyFill="1" applyBorder="1" applyAlignment="1"/>
    <xf numFmtId="4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37" xfId="0" applyFill="1" applyBorder="1" applyAlignment="1"/>
    <xf numFmtId="0" fontId="37" fillId="20" borderId="34" xfId="0" applyFont="1" applyFill="1" applyBorder="1" applyAlignment="1">
      <alignment horizontal="right"/>
    </xf>
    <xf numFmtId="0" fontId="37" fillId="20" borderId="36" xfId="0" applyFont="1" applyFill="1" applyBorder="1" applyAlignment="1">
      <alignment horizontal="right"/>
    </xf>
    <xf numFmtId="9" fontId="0" fillId="22" borderId="0" xfId="0" applyNumberFormat="1" applyFill="1" applyBorder="1" applyAlignment="1"/>
    <xf numFmtId="0" fontId="38" fillId="0" borderId="0" xfId="0" applyFont="1" applyFill="1" applyBorder="1" applyAlignment="1">
      <alignment vertical="top" wrapText="1"/>
    </xf>
    <xf numFmtId="2" fontId="3" fillId="0" borderId="1" xfId="0" applyNumberFormat="1" applyFont="1" applyFill="1" applyBorder="1" applyAlignment="1">
      <alignment horizontal="right"/>
    </xf>
    <xf numFmtId="166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0" xfId="0" applyFont="1" applyBorder="1"/>
    <xf numFmtId="9" fontId="3" fillId="0" borderId="0" xfId="2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  <xf numFmtId="9" fontId="3" fillId="17" borderId="7" xfId="0" applyNumberFormat="1" applyFont="1" applyFill="1" applyBorder="1"/>
    <xf numFmtId="10" fontId="3" fillId="5" borderId="7" xfId="0" applyNumberFormat="1" applyFont="1" applyFill="1" applyBorder="1"/>
    <xf numFmtId="9" fontId="3" fillId="0" borderId="0" xfId="0" applyNumberFormat="1" applyFont="1" applyBorder="1"/>
    <xf numFmtId="10" fontId="3" fillId="0" borderId="1" xfId="2" applyNumberFormat="1" applyFont="1" applyBorder="1"/>
    <xf numFmtId="10" fontId="0" fillId="0" borderId="2" xfId="0" applyNumberFormat="1" applyFill="1" applyBorder="1" applyAlignment="1"/>
    <xf numFmtId="0" fontId="39" fillId="20" borderId="36" xfId="0" applyFont="1" applyFill="1" applyBorder="1" applyAlignment="1">
      <alignment horizontal="left"/>
    </xf>
    <xf numFmtId="0" fontId="39" fillId="20" borderId="34" xfId="0" applyFont="1" applyFill="1" applyBorder="1" applyAlignment="1">
      <alignment horizontal="left"/>
    </xf>
    <xf numFmtId="0" fontId="40" fillId="21" borderId="0" xfId="0" applyFont="1" applyFill="1" applyBorder="1" applyAlignment="1">
      <alignment horizontal="left"/>
    </xf>
    <xf numFmtId="0" fontId="41" fillId="21" borderId="37" xfId="0" applyFont="1" applyFill="1" applyBorder="1" applyAlignment="1">
      <alignment horizontal="left"/>
    </xf>
    <xf numFmtId="0" fontId="40" fillId="21" borderId="2" xfId="0" applyFont="1" applyFill="1" applyBorder="1" applyAlignment="1">
      <alignment horizontal="left"/>
    </xf>
    <xf numFmtId="0" fontId="2" fillId="19" borderId="1" xfId="0" applyFont="1" applyFill="1" applyBorder="1"/>
    <xf numFmtId="0" fontId="0" fillId="19" borderId="1" xfId="0" applyFill="1" applyBorder="1"/>
    <xf numFmtId="2" fontId="0" fillId="19" borderId="1" xfId="0" applyNumberFormat="1" applyFill="1" applyBorder="1"/>
    <xf numFmtId="0" fontId="2" fillId="11" borderId="1" xfId="0" applyFont="1" applyFill="1" applyBorder="1"/>
    <xf numFmtId="0" fontId="4" fillId="14" borderId="11" xfId="0" applyFont="1" applyFill="1" applyBorder="1" applyAlignment="1">
      <alignment horizontal="center" vertical="center" wrapText="1"/>
    </xf>
    <xf numFmtId="0" fontId="4" fillId="14" borderId="12" xfId="0" applyFont="1" applyFill="1" applyBorder="1" applyAlignment="1">
      <alignment horizontal="center" vertical="center" wrapText="1"/>
    </xf>
    <xf numFmtId="0" fontId="4" fillId="14" borderId="13" xfId="0" applyFont="1" applyFill="1" applyBorder="1" applyAlignment="1">
      <alignment horizontal="center" vertical="center" wrapText="1"/>
    </xf>
    <xf numFmtId="0" fontId="0" fillId="15" borderId="1" xfId="0" applyFill="1" applyBorder="1"/>
    <xf numFmtId="3" fontId="0" fillId="23" borderId="7" xfId="0" applyNumberFormat="1" applyFill="1" applyBorder="1" applyAlignment="1">
      <alignment horizontal="center" vertical="center" wrapText="1"/>
    </xf>
    <xf numFmtId="3" fontId="0" fillId="23" borderId="25" xfId="0" applyNumberFormat="1" applyFill="1" applyBorder="1" applyAlignment="1">
      <alignment horizontal="center" vertical="center" wrapText="1"/>
    </xf>
    <xf numFmtId="3" fontId="0" fillId="23" borderId="1" xfId="0" applyNumberForma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1" fontId="0" fillId="19" borderId="1" xfId="0" applyNumberForma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wrapText="1"/>
    </xf>
    <xf numFmtId="0" fontId="3" fillId="19" borderId="1" xfId="0" applyFont="1" applyFill="1" applyBorder="1"/>
    <xf numFmtId="0" fontId="8" fillId="14" borderId="1" xfId="0" applyFont="1" applyFill="1" applyBorder="1" applyAlignment="1">
      <alignment horizontal="center" wrapText="1"/>
    </xf>
    <xf numFmtId="4" fontId="6" fillId="19" borderId="17" xfId="0" applyNumberFormat="1" applyFont="1" applyFill="1" applyBorder="1"/>
    <xf numFmtId="0" fontId="5" fillId="24" borderId="3" xfId="0" applyFont="1" applyFill="1" applyBorder="1" applyAlignment="1">
      <alignment horizontal="center" vertical="center" wrapText="1"/>
    </xf>
    <xf numFmtId="0" fontId="4" fillId="24" borderId="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2" fontId="4" fillId="24" borderId="4" xfId="0" applyNumberFormat="1" applyFont="1" applyFill="1" applyBorder="1" applyAlignment="1">
      <alignment wrapText="1"/>
    </xf>
    <xf numFmtId="0" fontId="4" fillId="24" borderId="4" xfId="0" applyFont="1" applyFill="1" applyBorder="1" applyAlignment="1">
      <alignment wrapText="1"/>
    </xf>
    <xf numFmtId="0" fontId="43" fillId="14" borderId="1" xfId="0" applyFont="1" applyFill="1" applyBorder="1" applyAlignment="1">
      <alignment horizontal="center"/>
    </xf>
    <xf numFmtId="0" fontId="44" fillId="5" borderId="0" xfId="0" applyFont="1" applyFill="1"/>
    <xf numFmtId="170" fontId="3" fillId="0" borderId="1" xfId="2" applyNumberFormat="1" applyFont="1" applyBorder="1" applyAlignment="1">
      <alignment horizontal="right"/>
    </xf>
    <xf numFmtId="1" fontId="2" fillId="11" borderId="1" xfId="0" applyNumberFormat="1" applyFont="1" applyFill="1" applyBorder="1"/>
    <xf numFmtId="0" fontId="6" fillId="2" borderId="0" xfId="0" applyFont="1" applyFill="1" applyBorder="1" applyAlignment="1">
      <alignment horizontal="left"/>
    </xf>
    <xf numFmtId="171" fontId="4" fillId="2" borderId="0" xfId="0" applyNumberFormat="1" applyFont="1" applyFill="1" applyBorder="1" applyAlignment="1">
      <alignment horizontal="right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72" fontId="4" fillId="2" borderId="0" xfId="0" applyNumberFormat="1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71" fontId="0" fillId="2" borderId="0" xfId="0" applyNumberFormat="1" applyFill="1" applyBorder="1"/>
    <xf numFmtId="4" fontId="6" fillId="2" borderId="0" xfId="0" applyNumberFormat="1" applyFont="1" applyFill="1" applyBorder="1"/>
    <xf numFmtId="0" fontId="3" fillId="2" borderId="0" xfId="0" applyFont="1" applyFill="1" applyBorder="1"/>
    <xf numFmtId="0" fontId="4" fillId="4" borderId="5" xfId="0" applyFont="1" applyFill="1" applyBorder="1" applyAlignment="1">
      <alignment horizontal="center"/>
    </xf>
    <xf numFmtId="4" fontId="6" fillId="8" borderId="25" xfId="0" applyNumberFormat="1" applyFont="1" applyFill="1" applyBorder="1" applyAlignment="1">
      <alignment horizontal="center"/>
    </xf>
    <xf numFmtId="171" fontId="0" fillId="8" borderId="0" xfId="0" applyNumberFormat="1" applyFill="1" applyBorder="1"/>
    <xf numFmtId="4" fontId="6" fillId="8" borderId="17" xfId="0" applyNumberFormat="1" applyFont="1" applyFill="1" applyBorder="1"/>
    <xf numFmtId="4" fontId="6" fillId="8" borderId="20" xfId="0" applyNumberFormat="1" applyFont="1" applyFill="1" applyBorder="1"/>
    <xf numFmtId="4" fontId="4" fillId="2" borderId="1" xfId="0" applyNumberFormat="1" applyFont="1" applyFill="1" applyBorder="1"/>
    <xf numFmtId="2" fontId="6" fillId="5" borderId="1" xfId="0" applyNumberFormat="1" applyFont="1" applyFill="1" applyBorder="1"/>
    <xf numFmtId="165" fontId="3" fillId="0" borderId="1" xfId="0" applyNumberFormat="1" applyFont="1" applyBorder="1"/>
    <xf numFmtId="2" fontId="8" fillId="0" borderId="1" xfId="0" applyNumberFormat="1" applyFont="1" applyBorder="1"/>
    <xf numFmtId="2" fontId="3" fillId="19" borderId="1" xfId="0" applyNumberFormat="1" applyFont="1" applyFill="1" applyBorder="1"/>
    <xf numFmtId="171" fontId="0" fillId="2" borderId="1" xfId="0" applyNumberFormat="1" applyFill="1" applyBorder="1"/>
    <xf numFmtId="166" fontId="4" fillId="9" borderId="1" xfId="0" applyNumberFormat="1" applyFont="1" applyFill="1" applyBorder="1"/>
    <xf numFmtId="0" fontId="4" fillId="9" borderId="1" xfId="0" applyFont="1" applyFill="1" applyBorder="1" applyAlignment="1">
      <alignment horizontal="center"/>
    </xf>
    <xf numFmtId="4" fontId="6" fillId="8" borderId="25" xfId="0" applyNumberFormat="1" applyFont="1" applyFill="1" applyBorder="1"/>
    <xf numFmtId="166" fontId="0" fillId="0" borderId="0" xfId="0" applyNumberFormat="1"/>
    <xf numFmtId="0" fontId="6" fillId="2" borderId="0" xfId="0" applyFont="1" applyFill="1" applyBorder="1"/>
    <xf numFmtId="0" fontId="0" fillId="2" borderId="0" xfId="0" applyFill="1" applyBorder="1"/>
    <xf numFmtId="10" fontId="0" fillId="2" borderId="0" xfId="0" applyNumberFormat="1" applyFill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 applyAlignment="1">
      <alignment horizontal="center"/>
    </xf>
    <xf numFmtId="10" fontId="6" fillId="2" borderId="0" xfId="2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170" fontId="6" fillId="2" borderId="0" xfId="2" applyNumberFormat="1" applyFont="1" applyFill="1" applyBorder="1" applyAlignment="1">
      <alignment horizontal="center"/>
    </xf>
    <xf numFmtId="175" fontId="0" fillId="2" borderId="0" xfId="0" applyNumberForma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0" fillId="2" borderId="37" xfId="0" applyFill="1" applyBorder="1"/>
    <xf numFmtId="0" fontId="2" fillId="2" borderId="37" xfId="0" applyFont="1" applyFill="1" applyBorder="1" applyAlignment="1">
      <alignment horizontal="center"/>
    </xf>
    <xf numFmtId="0" fontId="6" fillId="2" borderId="37" xfId="0" applyFont="1" applyFill="1" applyBorder="1"/>
    <xf numFmtId="0" fontId="4" fillId="2" borderId="37" xfId="0" applyFont="1" applyFill="1" applyBorder="1"/>
    <xf numFmtId="174" fontId="2" fillId="2" borderId="37" xfId="0" applyNumberFormat="1" applyFont="1" applyFill="1" applyBorder="1" applyAlignment="1">
      <alignment horizontal="center"/>
    </xf>
    <xf numFmtId="170" fontId="2" fillId="2" borderId="37" xfId="0" applyNumberFormat="1" applyFont="1" applyFill="1" applyBorder="1" applyAlignment="1">
      <alignment horizontal="center"/>
    </xf>
    <xf numFmtId="0" fontId="0" fillId="2" borderId="0" xfId="0" applyFont="1" applyFill="1" applyBorder="1"/>
    <xf numFmtId="0" fontId="0" fillId="2" borderId="37" xfId="0" applyFont="1" applyFill="1" applyBorder="1"/>
    <xf numFmtId="173" fontId="4" fillId="2" borderId="37" xfId="1" applyNumberFormat="1" applyFont="1" applyFill="1" applyBorder="1" applyAlignment="1">
      <alignment horizontal="center"/>
    </xf>
    <xf numFmtId="10" fontId="2" fillId="2" borderId="37" xfId="0" applyNumberFormat="1" applyFont="1" applyFill="1" applyBorder="1" applyAlignment="1">
      <alignment horizontal="center"/>
    </xf>
    <xf numFmtId="173" fontId="4" fillId="2" borderId="37" xfId="1" applyNumberFormat="1" applyFont="1" applyFill="1" applyBorder="1" applyAlignment="1">
      <alignment horizontal="left"/>
    </xf>
    <xf numFmtId="172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7" fillId="2" borderId="0" xfId="0" applyFont="1" applyFill="1" applyBorder="1"/>
    <xf numFmtId="0" fontId="46" fillId="2" borderId="0" xfId="0" applyFont="1" applyFill="1" applyBorder="1"/>
    <xf numFmtId="172" fontId="46" fillId="2" borderId="0" xfId="0" applyNumberFormat="1" applyFont="1" applyFill="1" applyBorder="1" applyAlignment="1">
      <alignment horizontal="center"/>
    </xf>
    <xf numFmtId="0" fontId="46" fillId="2" borderId="37" xfId="0" applyFont="1" applyFill="1" applyBorder="1"/>
    <xf numFmtId="172" fontId="46" fillId="2" borderId="37" xfId="0" applyNumberFormat="1" applyFont="1" applyFill="1" applyBorder="1" applyAlignment="1">
      <alignment horizontal="center"/>
    </xf>
    <xf numFmtId="1" fontId="46" fillId="2" borderId="37" xfId="0" applyNumberFormat="1" applyFont="1" applyFill="1" applyBorder="1" applyAlignment="1">
      <alignment horizontal="center"/>
    </xf>
    <xf numFmtId="0" fontId="46" fillId="2" borderId="3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" fontId="4" fillId="5" borderId="17" xfId="0" applyNumberFormat="1" applyFont="1" applyFill="1" applyBorder="1"/>
    <xf numFmtId="0" fontId="4" fillId="0" borderId="9" xfId="0" applyFont="1" applyBorder="1"/>
    <xf numFmtId="1" fontId="4" fillId="0" borderId="10" xfId="0" applyNumberFormat="1" applyFont="1" applyBorder="1"/>
    <xf numFmtId="4" fontId="4" fillId="2" borderId="10" xfId="0" applyNumberFormat="1" applyFont="1" applyFill="1" applyBorder="1"/>
    <xf numFmtId="4" fontId="4" fillId="0" borderId="10" xfId="0" applyNumberFormat="1" applyFont="1" applyBorder="1"/>
    <xf numFmtId="4" fontId="6" fillId="0" borderId="26" xfId="0" applyNumberFormat="1" applyFont="1" applyBorder="1"/>
    <xf numFmtId="0" fontId="4" fillId="0" borderId="3" xfId="0" applyFont="1" applyBorder="1"/>
    <xf numFmtId="2" fontId="4" fillId="5" borderId="4" xfId="0" applyNumberFormat="1" applyFont="1" applyFill="1" applyBorder="1"/>
    <xf numFmtId="1" fontId="4" fillId="5" borderId="4" xfId="0" applyNumberFormat="1" applyFont="1" applyFill="1" applyBorder="1"/>
    <xf numFmtId="4" fontId="4" fillId="5" borderId="5" xfId="0" applyNumberFormat="1" applyFont="1" applyFill="1" applyBorder="1"/>
    <xf numFmtId="0" fontId="2" fillId="0" borderId="0" xfId="0" applyFont="1" applyFill="1" applyBorder="1" applyAlignment="1">
      <alignment horizontal="center"/>
    </xf>
    <xf numFmtId="4" fontId="0" fillId="0" borderId="0" xfId="0" applyNumberFormat="1" applyFill="1" applyBorder="1"/>
    <xf numFmtId="0" fontId="0" fillId="0" borderId="0" xfId="0" applyFill="1" applyBorder="1"/>
    <xf numFmtId="4" fontId="2" fillId="0" borderId="0" xfId="0" applyNumberFormat="1" applyFont="1" applyFill="1" applyBorder="1"/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4" fontId="0" fillId="0" borderId="17" xfId="0" applyNumberFormat="1" applyBorder="1"/>
    <xf numFmtId="0" fontId="0" fillId="0" borderId="18" xfId="0" applyBorder="1"/>
    <xf numFmtId="0" fontId="0" fillId="0" borderId="19" xfId="0" applyBorder="1"/>
    <xf numFmtId="4" fontId="0" fillId="0" borderId="20" xfId="0" applyNumberFormat="1" applyBorder="1"/>
    <xf numFmtId="0" fontId="0" fillId="0" borderId="32" xfId="0" applyBorder="1"/>
    <xf numFmtId="1" fontId="0" fillId="0" borderId="7" xfId="0" applyNumberFormat="1" applyBorder="1" applyAlignment="1">
      <alignment wrapText="1"/>
    </xf>
    <xf numFmtId="1" fontId="0" fillId="0" borderId="7" xfId="0" applyNumberFormat="1" applyBorder="1" applyAlignment="1">
      <alignment horizontal="right" wrapText="1"/>
    </xf>
    <xf numFmtId="1" fontId="0" fillId="0" borderId="1" xfId="0" applyNumberFormat="1" applyBorder="1" applyAlignment="1">
      <alignment horizontal="right" wrapText="1"/>
    </xf>
    <xf numFmtId="1" fontId="0" fillId="0" borderId="1" xfId="0" applyNumberFormat="1" applyBorder="1" applyAlignment="1">
      <alignment wrapText="1"/>
    </xf>
    <xf numFmtId="0" fontId="47" fillId="2" borderId="38" xfId="0" applyFont="1" applyFill="1" applyBorder="1"/>
    <xf numFmtId="172" fontId="3" fillId="2" borderId="38" xfId="0" applyNumberFormat="1" applyFont="1" applyFill="1" applyBorder="1" applyAlignment="1">
      <alignment horizontal="center"/>
    </xf>
    <xf numFmtId="0" fontId="46" fillId="2" borderId="36" xfId="0" applyFont="1" applyFill="1" applyBorder="1"/>
    <xf numFmtId="172" fontId="46" fillId="2" borderId="36" xfId="0" applyNumberFormat="1" applyFont="1" applyFill="1" applyBorder="1" applyAlignment="1">
      <alignment horizontal="center"/>
    </xf>
    <xf numFmtId="166" fontId="2" fillId="0" borderId="1" xfId="0" applyNumberFormat="1" applyFont="1" applyBorder="1"/>
    <xf numFmtId="2" fontId="0" fillId="2" borderId="0" xfId="0" applyNumberFormat="1" applyFill="1" applyAlignment="1">
      <alignment horizontal="center"/>
    </xf>
    <xf numFmtId="10" fontId="3" fillId="0" borderId="1" xfId="2" applyNumberFormat="1" applyFont="1" applyBorder="1" applyAlignment="1">
      <alignment horizontal="right"/>
    </xf>
    <xf numFmtId="0" fontId="0" fillId="23" borderId="1" xfId="0" applyFill="1" applyBorder="1" applyAlignment="1">
      <alignment horizontal="center"/>
    </xf>
    <xf numFmtId="2" fontId="2" fillId="5" borderId="1" xfId="0" applyNumberFormat="1" applyFont="1" applyFill="1" applyBorder="1"/>
    <xf numFmtId="1" fontId="2" fillId="5" borderId="1" xfId="0" applyNumberFormat="1" applyFont="1" applyFill="1" applyBorder="1"/>
    <xf numFmtId="1" fontId="4" fillId="5" borderId="4" xfId="0" applyNumberFormat="1" applyFont="1" applyFill="1" applyBorder="1" applyAlignment="1">
      <alignment wrapText="1"/>
    </xf>
    <xf numFmtId="1" fontId="4" fillId="5" borderId="5" xfId="0" applyNumberFormat="1" applyFont="1" applyFill="1" applyBorder="1" applyAlignment="1">
      <alignment wrapText="1"/>
    </xf>
    <xf numFmtId="165" fontId="3" fillId="5" borderId="1" xfId="0" applyNumberFormat="1" applyFont="1" applyFill="1" applyBorder="1"/>
    <xf numFmtId="0" fontId="4" fillId="18" borderId="36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42" fillId="2" borderId="0" xfId="0" applyFont="1" applyFill="1" applyAlignment="1">
      <alignment horizontal="center"/>
    </xf>
    <xf numFmtId="0" fontId="43" fillId="14" borderId="22" xfId="0" applyFont="1" applyFill="1" applyBorder="1" applyAlignment="1">
      <alignment horizontal="center"/>
    </xf>
    <xf numFmtId="0" fontId="43" fillId="14" borderId="37" xfId="0" applyFont="1" applyFill="1" applyBorder="1" applyAlignment="1">
      <alignment horizontal="center"/>
    </xf>
    <xf numFmtId="0" fontId="43" fillId="14" borderId="23" xfId="0" applyFont="1" applyFill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14" borderId="22" xfId="0" applyFont="1" applyFill="1" applyBorder="1" applyAlignment="1">
      <alignment horizontal="center" wrapText="1"/>
    </xf>
    <xf numFmtId="0" fontId="8" fillId="14" borderId="23" xfId="0" applyFont="1" applyFill="1" applyBorder="1" applyAlignment="1">
      <alignment horizontal="center" wrapText="1"/>
    </xf>
    <xf numFmtId="0" fontId="8" fillId="14" borderId="10" xfId="0" applyFont="1" applyFill="1" applyBorder="1" applyAlignment="1">
      <alignment horizontal="center" wrapText="1"/>
    </xf>
    <xf numFmtId="0" fontId="8" fillId="14" borderId="7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/>
    </xf>
    <xf numFmtId="4" fontId="11" fillId="8" borderId="0" xfId="0" applyNumberFormat="1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" fontId="4" fillId="4" borderId="15" xfId="0" applyNumberFormat="1" applyFont="1" applyFill="1" applyBorder="1" applyAlignment="1">
      <alignment horizontal="center"/>
    </xf>
    <xf numFmtId="4" fontId="4" fillId="4" borderId="16" xfId="0" applyNumberFormat="1" applyFont="1" applyFill="1" applyBorder="1" applyAlignment="1">
      <alignment horizontal="center"/>
    </xf>
    <xf numFmtId="3" fontId="4" fillId="8" borderId="0" xfId="0" applyNumberFormat="1" applyFont="1" applyFill="1" applyAlignment="1">
      <alignment horizontal="left"/>
    </xf>
    <xf numFmtId="0" fontId="4" fillId="10" borderId="14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justify" vertical="center"/>
    </xf>
    <xf numFmtId="0" fontId="0" fillId="0" borderId="27" xfId="0" applyBorder="1"/>
    <xf numFmtId="0" fontId="0" fillId="0" borderId="28" xfId="0" applyBorder="1"/>
    <xf numFmtId="0" fontId="4" fillId="10" borderId="12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center" vertical="center" wrapText="1"/>
    </xf>
    <xf numFmtId="168" fontId="4" fillId="10" borderId="16" xfId="0" applyNumberFormat="1" applyFont="1" applyFill="1" applyBorder="1" applyAlignment="1">
      <alignment horizontal="center" vertical="center" wrapText="1"/>
    </xf>
    <xf numFmtId="168" fontId="4" fillId="10" borderId="17" xfId="0" applyNumberFormat="1" applyFont="1" applyFill="1" applyBorder="1" applyAlignment="1">
      <alignment horizontal="center" vertical="center" wrapText="1"/>
    </xf>
    <xf numFmtId="168" fontId="4" fillId="10" borderId="20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justify" vertical="center"/>
    </xf>
    <xf numFmtId="0" fontId="4" fillId="4" borderId="19" xfId="0" applyFont="1" applyFill="1" applyBorder="1" applyAlignment="1">
      <alignment horizontal="justify" vertic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3" fillId="11" borderId="30" xfId="0" applyFont="1" applyFill="1" applyBorder="1" applyAlignment="1">
      <alignment horizontal="center"/>
    </xf>
    <xf numFmtId="0" fontId="13" fillId="11" borderId="31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7" borderId="30" xfId="0" applyFont="1" applyFill="1" applyBorder="1" applyAlignment="1">
      <alignment horizontal="center"/>
    </xf>
    <xf numFmtId="0" fontId="4" fillId="7" borderId="35" xfId="0" applyFont="1" applyFill="1" applyBorder="1" applyAlignment="1">
      <alignment horizontal="center"/>
    </xf>
    <xf numFmtId="0" fontId="4" fillId="7" borderId="3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2" fillId="25" borderId="30" xfId="0" applyFont="1" applyFill="1" applyBorder="1" applyAlignment="1">
      <alignment horizontal="center"/>
    </xf>
    <xf numFmtId="0" fontId="2" fillId="25" borderId="35" xfId="0" applyFont="1" applyFill="1" applyBorder="1" applyAlignment="1">
      <alignment horizontal="center"/>
    </xf>
    <xf numFmtId="0" fontId="2" fillId="25" borderId="31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13" borderId="30" xfId="0" applyFont="1" applyFill="1" applyBorder="1" applyAlignment="1">
      <alignment horizontal="center"/>
    </xf>
    <xf numFmtId="0" fontId="4" fillId="13" borderId="35" xfId="0" applyFont="1" applyFill="1" applyBorder="1" applyAlignment="1">
      <alignment horizontal="center"/>
    </xf>
    <xf numFmtId="0" fontId="4" fillId="13" borderId="31" xfId="0" applyFont="1" applyFill="1" applyBorder="1" applyAlignment="1">
      <alignment horizontal="center"/>
    </xf>
    <xf numFmtId="0" fontId="20" fillId="16" borderId="30" xfId="0" applyFont="1" applyFill="1" applyBorder="1" applyAlignment="1">
      <alignment horizontal="center" vertical="center"/>
    </xf>
    <xf numFmtId="0" fontId="20" fillId="16" borderId="35" xfId="0" applyFont="1" applyFill="1" applyBorder="1" applyAlignment="1">
      <alignment horizontal="center" vertical="center"/>
    </xf>
    <xf numFmtId="0" fontId="20" fillId="16" borderId="31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/>
    </xf>
    <xf numFmtId="0" fontId="2" fillId="9" borderId="31" xfId="0" applyFont="1" applyFill="1" applyBorder="1" applyAlignment="1">
      <alignment horizontal="center"/>
    </xf>
    <xf numFmtId="0" fontId="48" fillId="0" borderId="0" xfId="0" applyFont="1" applyAlignment="1">
      <alignment horizontal="center"/>
    </xf>
    <xf numFmtId="0" fontId="4" fillId="3" borderId="24" xfId="0" applyFont="1" applyFill="1" applyBorder="1"/>
    <xf numFmtId="2" fontId="4" fillId="3" borderId="39" xfId="0" applyNumberFormat="1" applyFont="1" applyFill="1" applyBorder="1"/>
    <xf numFmtId="0" fontId="6" fillId="0" borderId="3" xfId="0" applyFont="1" applyBorder="1"/>
    <xf numFmtId="3" fontId="0" fillId="0" borderId="31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G16"/>
  <sheetViews>
    <sheetView showGridLines="0" workbookViewId="0">
      <selection activeCell="B2" sqref="B2:G13"/>
    </sheetView>
  </sheetViews>
  <sheetFormatPr baseColWidth="10" defaultRowHeight="15" outlineLevelRow="1" outlineLevelCol="1" x14ac:dyDescent="0.25"/>
  <cols>
    <col min="3" max="3" width="5.140625" bestFit="1" customWidth="1"/>
    <col min="4" max="7" width="14.5703125" bestFit="1" customWidth="1" outlineLevel="1"/>
  </cols>
  <sheetData>
    <row r="1" spans="2:7" ht="15.75" thickBot="1" x14ac:dyDescent="0.3"/>
    <row r="2" spans="2:7" ht="15.75" x14ac:dyDescent="0.25">
      <c r="B2" s="318" t="s">
        <v>359</v>
      </c>
      <c r="C2" s="318"/>
      <c r="D2" s="302"/>
      <c r="E2" s="302"/>
      <c r="F2" s="302"/>
      <c r="G2" s="302"/>
    </row>
    <row r="3" spans="2:7" ht="15.75" collapsed="1" x14ac:dyDescent="0.25">
      <c r="B3" s="317"/>
      <c r="C3" s="317"/>
      <c r="D3" s="303" t="s">
        <v>361</v>
      </c>
      <c r="E3" s="303" t="s">
        <v>355</v>
      </c>
      <c r="F3" s="303" t="s">
        <v>356</v>
      </c>
      <c r="G3" s="303" t="s">
        <v>358</v>
      </c>
    </row>
    <row r="4" spans="2:7" ht="45" hidden="1" outlineLevel="1" x14ac:dyDescent="0.25">
      <c r="B4" s="319"/>
      <c r="C4" s="319"/>
      <c r="D4" s="297"/>
      <c r="E4" s="305" t="s">
        <v>366</v>
      </c>
      <c r="F4" s="305" t="s">
        <v>357</v>
      </c>
      <c r="G4" s="305" t="s">
        <v>366</v>
      </c>
    </row>
    <row r="5" spans="2:7" x14ac:dyDescent="0.25">
      <c r="B5" s="320" t="s">
        <v>360</v>
      </c>
      <c r="C5" s="320"/>
      <c r="D5" s="301"/>
      <c r="E5" s="301"/>
      <c r="F5" s="301"/>
      <c r="G5" s="301"/>
    </row>
    <row r="6" spans="2:7" outlineLevel="1" x14ac:dyDescent="0.25">
      <c r="B6" s="319" t="s">
        <v>13</v>
      </c>
      <c r="C6" s="319"/>
      <c r="D6" s="298">
        <v>0</v>
      </c>
      <c r="E6" s="304">
        <v>1.4154</v>
      </c>
      <c r="F6" s="304">
        <v>-0.3</v>
      </c>
      <c r="G6" s="304">
        <v>0.22</v>
      </c>
    </row>
    <row r="7" spans="2:7" outlineLevel="1" x14ac:dyDescent="0.25">
      <c r="B7" s="319" t="s">
        <v>14</v>
      </c>
      <c r="C7" s="319"/>
      <c r="D7" s="298">
        <v>0</v>
      </c>
      <c r="E7" s="304">
        <v>1.1113</v>
      </c>
      <c r="F7" s="304">
        <v>-0.4</v>
      </c>
      <c r="G7" s="304">
        <v>0.21</v>
      </c>
    </row>
    <row r="8" spans="2:7" outlineLevel="1" x14ac:dyDescent="0.25">
      <c r="B8" s="319" t="s">
        <v>20</v>
      </c>
      <c r="C8" s="319"/>
      <c r="D8" s="298">
        <v>0</v>
      </c>
      <c r="E8" s="304">
        <v>7.8E-2</v>
      </c>
      <c r="F8" s="304">
        <v>0.25</v>
      </c>
      <c r="G8" s="304">
        <v>-0.2</v>
      </c>
    </row>
    <row r="9" spans="2:7" x14ac:dyDescent="0.25">
      <c r="B9" s="320" t="s">
        <v>362</v>
      </c>
      <c r="C9" s="320"/>
      <c r="D9" s="301"/>
      <c r="E9" s="301"/>
      <c r="F9" s="301"/>
      <c r="G9" s="301"/>
    </row>
    <row r="10" spans="2:7" outlineLevel="1" x14ac:dyDescent="0.25">
      <c r="B10" s="319" t="s">
        <v>341</v>
      </c>
      <c r="C10" s="319"/>
      <c r="D10" s="299">
        <v>63367.973971320302</v>
      </c>
      <c r="E10" s="299">
        <v>63367.973971320302</v>
      </c>
      <c r="F10" s="299">
        <v>-74307.555780639304</v>
      </c>
      <c r="G10" s="299">
        <v>157678.03228802999</v>
      </c>
    </row>
    <row r="11" spans="2:7" outlineLevel="1" x14ac:dyDescent="0.25">
      <c r="B11" s="319" t="s">
        <v>342</v>
      </c>
      <c r="C11" s="319"/>
      <c r="D11" s="300">
        <v>1.0967658851981399</v>
      </c>
      <c r="E11" s="300">
        <v>1.0967658851981399</v>
      </c>
      <c r="F11" s="300">
        <v>-0.29306032136919302</v>
      </c>
      <c r="G11" s="300">
        <v>2.6096637874152901</v>
      </c>
    </row>
    <row r="12" spans="2:7" outlineLevel="1" x14ac:dyDescent="0.25">
      <c r="B12" s="319" t="s">
        <v>343</v>
      </c>
      <c r="C12" s="319"/>
      <c r="D12" s="299">
        <v>63977.637449278802</v>
      </c>
      <c r="E12" s="299">
        <v>63977.637449278802</v>
      </c>
      <c r="F12" s="299">
        <v>-73630.469619330397</v>
      </c>
      <c r="G12" s="299">
        <v>158233.75761930901</v>
      </c>
    </row>
    <row r="13" spans="2:7" ht="15.75" outlineLevel="1" thickBot="1" x14ac:dyDescent="0.3">
      <c r="B13" s="321" t="s">
        <v>344</v>
      </c>
      <c r="C13" s="321"/>
      <c r="D13" s="316">
        <v>1.10990571739916</v>
      </c>
      <c r="E13" s="316">
        <v>1.10990571739916</v>
      </c>
      <c r="F13" s="316">
        <v>-0.29178944783227201</v>
      </c>
      <c r="G13" s="316">
        <v>2.6259238055173499</v>
      </c>
    </row>
    <row r="14" spans="2:7" x14ac:dyDescent="0.25">
      <c r="B14" t="s">
        <v>363</v>
      </c>
    </row>
    <row r="15" spans="2:7" x14ac:dyDescent="0.25">
      <c r="B15" t="s">
        <v>364</v>
      </c>
    </row>
    <row r="16" spans="2:7" x14ac:dyDescent="0.25">
      <c r="B16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67"/>
  <sheetViews>
    <sheetView workbookViewId="0">
      <selection activeCell="A54" sqref="A54:F67"/>
    </sheetView>
  </sheetViews>
  <sheetFormatPr baseColWidth="10" defaultRowHeight="15" x14ac:dyDescent="0.25"/>
  <cols>
    <col min="1" max="1" width="11.42578125" style="1"/>
    <col min="2" max="2" width="21.28515625" style="1" customWidth="1"/>
    <col min="3" max="3" width="14.28515625" style="1" customWidth="1"/>
    <col min="4" max="5" width="11.42578125" style="1" customWidth="1"/>
    <col min="6" max="8" width="11.42578125" style="1"/>
    <col min="9" max="12" width="15.28515625" style="1" customWidth="1"/>
    <col min="13" max="16384" width="11.42578125" style="1"/>
  </cols>
  <sheetData>
    <row r="2" spans="2:13" x14ac:dyDescent="0.25">
      <c r="B2" s="256" t="s">
        <v>13</v>
      </c>
      <c r="C2" s="312">
        <v>0</v>
      </c>
      <c r="D2" s="313">
        <v>-0.42944896646577102</v>
      </c>
    </row>
    <row r="3" spans="2:13" x14ac:dyDescent="0.25">
      <c r="B3" s="256" t="s">
        <v>14</v>
      </c>
      <c r="C3" s="257">
        <v>0</v>
      </c>
      <c r="D3" s="259">
        <v>-0.54121821371003198</v>
      </c>
      <c r="I3" s="2" t="s">
        <v>341</v>
      </c>
      <c r="J3" s="2" t="s">
        <v>342</v>
      </c>
      <c r="K3" s="2" t="s">
        <v>343</v>
      </c>
      <c r="L3" s="2" t="s">
        <v>344</v>
      </c>
    </row>
    <row r="4" spans="2:13" x14ac:dyDescent="0.25">
      <c r="B4" s="256" t="s">
        <v>15</v>
      </c>
      <c r="C4" s="257">
        <v>0</v>
      </c>
      <c r="D4" s="258">
        <v>-0.60776287015730401</v>
      </c>
      <c r="I4" s="247">
        <f>+Rentabilidad!D12</f>
        <v>34909.530047920693</v>
      </c>
      <c r="J4" s="246">
        <f>+Rentabilidad!D14</f>
        <v>0.80359061383593833</v>
      </c>
      <c r="K4" s="247">
        <f>+Rentabilidad!D25</f>
        <v>35367.598259157225</v>
      </c>
      <c r="L4" s="315">
        <f>+Rentabilidad!D27</f>
        <v>0.81298368586921943</v>
      </c>
    </row>
    <row r="5" spans="2:13" x14ac:dyDescent="0.25">
      <c r="B5" s="256" t="s">
        <v>16</v>
      </c>
      <c r="C5" s="257">
        <v>0</v>
      </c>
      <c r="D5" s="258">
        <v>2.0285860870626502</v>
      </c>
    </row>
    <row r="6" spans="2:13" x14ac:dyDescent="0.25">
      <c r="B6" s="256" t="s">
        <v>18</v>
      </c>
      <c r="C6" s="257">
        <v>0</v>
      </c>
      <c r="D6" s="258">
        <v>2.2565632823031199</v>
      </c>
    </row>
    <row r="7" spans="2:13" x14ac:dyDescent="0.25">
      <c r="B7" s="256" t="s">
        <v>19</v>
      </c>
      <c r="C7" s="257">
        <v>0</v>
      </c>
      <c r="D7" s="258">
        <v>2.82127837220348</v>
      </c>
      <c r="K7" s="298"/>
      <c r="L7" s="298"/>
    </row>
    <row r="8" spans="2:13" x14ac:dyDescent="0.25">
      <c r="B8" s="256" t="s">
        <v>20</v>
      </c>
      <c r="C8" s="257">
        <v>0</v>
      </c>
      <c r="D8" s="259">
        <v>0.34013939998750597</v>
      </c>
      <c r="K8" s="298"/>
      <c r="L8" s="298"/>
    </row>
    <row r="9" spans="2:13" x14ac:dyDescent="0.25">
      <c r="B9" s="256"/>
      <c r="C9" s="310"/>
      <c r="D9" s="256"/>
      <c r="F9" s="314"/>
      <c r="G9" s="309"/>
      <c r="K9" s="298"/>
      <c r="L9" s="298"/>
    </row>
    <row r="10" spans="2:13" x14ac:dyDescent="0.25">
      <c r="C10" s="311"/>
      <c r="D10" s="256"/>
      <c r="I10" s="250"/>
      <c r="J10" s="253"/>
      <c r="K10" s="254"/>
      <c r="L10" s="296"/>
      <c r="M10" s="254"/>
    </row>
    <row r="11" spans="2:13" x14ac:dyDescent="0.25">
      <c r="C11" s="311"/>
      <c r="D11" s="256"/>
      <c r="I11" s="250"/>
      <c r="J11" s="254"/>
      <c r="K11" s="254"/>
      <c r="L11" s="296"/>
      <c r="M11" s="254"/>
    </row>
    <row r="12" spans="2:13" x14ac:dyDescent="0.25">
      <c r="C12" s="311"/>
      <c r="D12" s="256"/>
      <c r="I12" s="250"/>
      <c r="J12" s="251"/>
      <c r="K12" s="251"/>
      <c r="L12" s="250"/>
      <c r="M12" s="251"/>
    </row>
    <row r="13" spans="2:13" x14ac:dyDescent="0.25">
      <c r="C13" s="311"/>
      <c r="D13" s="256"/>
    </row>
    <row r="14" spans="2:13" x14ac:dyDescent="0.25">
      <c r="C14" s="311"/>
      <c r="D14" s="256"/>
    </row>
    <row r="15" spans="2:13" x14ac:dyDescent="0.25">
      <c r="C15" s="311"/>
      <c r="D15" s="256"/>
    </row>
    <row r="16" spans="2:13" x14ac:dyDescent="0.25">
      <c r="C16" s="311"/>
      <c r="D16" s="256"/>
    </row>
    <row r="17" spans="1:7" x14ac:dyDescent="0.25">
      <c r="B17" s="256" t="s">
        <v>22</v>
      </c>
      <c r="C17" s="311"/>
      <c r="D17" s="256"/>
      <c r="F17" s="256"/>
      <c r="G17" s="256"/>
    </row>
    <row r="20" spans="1:7" x14ac:dyDescent="0.25">
      <c r="A20" s="295" t="s">
        <v>354</v>
      </c>
    </row>
    <row r="22" spans="1:7" x14ac:dyDescent="0.25">
      <c r="A22" s="444" t="s">
        <v>348</v>
      </c>
      <c r="B22" s="444"/>
      <c r="C22" s="444"/>
      <c r="D22" s="444"/>
      <c r="E22" s="444"/>
      <c r="F22" s="444"/>
    </row>
    <row r="23" spans="1:7" x14ac:dyDescent="0.25">
      <c r="A23" s="445" t="s">
        <v>352</v>
      </c>
      <c r="B23" s="280" t="s">
        <v>349</v>
      </c>
      <c r="C23" s="272" t="s">
        <v>341</v>
      </c>
      <c r="D23" s="272" t="s">
        <v>342</v>
      </c>
      <c r="E23" s="272" t="s">
        <v>343</v>
      </c>
      <c r="F23" s="272" t="s">
        <v>344</v>
      </c>
    </row>
    <row r="24" spans="1:7" x14ac:dyDescent="0.25">
      <c r="A24" s="445"/>
      <c r="B24" s="280"/>
      <c r="C24" s="272">
        <f>+Rentabilidad!D12</f>
        <v>34909.530047920693</v>
      </c>
      <c r="D24" s="273">
        <f>+Rentabilidad!D14</f>
        <v>0.80359061383593833</v>
      </c>
      <c r="E24" s="272">
        <f>+Rentabilidad!D25</f>
        <v>35367.598259157225</v>
      </c>
      <c r="F24" s="274">
        <f>+Rentabilidad!D27</f>
        <v>0.81298368586921943</v>
      </c>
    </row>
    <row r="25" spans="1:7" x14ac:dyDescent="0.25">
      <c r="A25" s="266">
        <f t="shared" ref="A25:A28" si="0">+$A$30*(1+B25)</f>
        <v>70.768480172839503</v>
      </c>
      <c r="B25" s="281">
        <v>-0.5</v>
      </c>
      <c r="C25" s="260">
        <f t="dataTable" ref="C25:F35" dt2D="0" dtr="0" r1="C2"/>
        <v>-30774.25765906768</v>
      </c>
      <c r="D25" s="261">
        <v>-0.37141330998638455</v>
      </c>
      <c r="E25" s="260">
        <v>-30316.189447831148</v>
      </c>
      <c r="F25" s="261">
        <v>-0.36642657239543575</v>
      </c>
    </row>
    <row r="26" spans="1:7" x14ac:dyDescent="0.25">
      <c r="A26" s="266">
        <f t="shared" si="0"/>
        <v>80.754059008520343</v>
      </c>
      <c r="B26" s="281">
        <f>+D2</f>
        <v>-0.42944896646577102</v>
      </c>
      <c r="C26" s="260">
        <v>-21506.139440725809</v>
      </c>
      <c r="D26" s="261">
        <v>-0.19520001990055191</v>
      </c>
      <c r="E26" s="260">
        <v>-21048.071229489276</v>
      </c>
      <c r="F26" s="261">
        <v>-0.1891818662167698</v>
      </c>
    </row>
    <row r="27" spans="1:7" x14ac:dyDescent="0.25">
      <c r="A27" s="266">
        <f t="shared" si="0"/>
        <v>99.075872241975304</v>
      </c>
      <c r="B27" s="281">
        <v>-0.3</v>
      </c>
      <c r="C27" s="260">
        <v>-4500.7425762723433</v>
      </c>
      <c r="D27" s="261">
        <v>0.11570894744003568</v>
      </c>
      <c r="E27" s="260">
        <v>-4042.6743650358108</v>
      </c>
      <c r="F27" s="261">
        <v>0.12313614966707598</v>
      </c>
    </row>
    <row r="28" spans="1:7" x14ac:dyDescent="0.25">
      <c r="A28" s="266">
        <f t="shared" si="0"/>
        <v>113.2295682765432</v>
      </c>
      <c r="B28" s="281">
        <v>-0.2</v>
      </c>
      <c r="C28" s="260">
        <v>8636.0149651253851</v>
      </c>
      <c r="D28" s="261">
        <v>0.34864872153216186</v>
      </c>
      <c r="E28" s="260">
        <v>9094.0831763619171</v>
      </c>
      <c r="F28" s="261">
        <v>0.35687980787914575</v>
      </c>
    </row>
    <row r="29" spans="1:7" x14ac:dyDescent="0.25">
      <c r="A29" s="266">
        <f>+$A$30*(1+B29)</f>
        <v>127.38326431111111</v>
      </c>
      <c r="B29" s="281">
        <v>-0.1</v>
      </c>
      <c r="C29" s="260">
        <v>21772.772506523168</v>
      </c>
      <c r="D29" s="261">
        <v>0.57752917353490996</v>
      </c>
      <c r="E29" s="260">
        <v>22230.8407177597</v>
      </c>
      <c r="F29" s="261">
        <v>0.58640028086588214</v>
      </c>
    </row>
    <row r="30" spans="1:7" x14ac:dyDescent="0.25">
      <c r="A30" s="267">
        <f>+Resumen!C13</f>
        <v>141.53696034567901</v>
      </c>
      <c r="B30" s="282">
        <v>0</v>
      </c>
      <c r="C30" s="263">
        <v>34909.530047920693</v>
      </c>
      <c r="D30" s="264">
        <v>0.80359061383593833</v>
      </c>
      <c r="E30" s="263">
        <v>35367.598259157225</v>
      </c>
      <c r="F30" s="264">
        <v>0.81298368586921943</v>
      </c>
    </row>
    <row r="31" spans="1:7" x14ac:dyDescent="0.25">
      <c r="A31" s="266">
        <f>+$A$30*(1+B31)</f>
        <v>155.69065638024691</v>
      </c>
      <c r="B31" s="261">
        <v>0.1</v>
      </c>
      <c r="C31" s="265">
        <v>48046.287589318468</v>
      </c>
      <c r="D31" s="262">
        <v>1.0276380383444503</v>
      </c>
      <c r="E31" s="265">
        <v>48504.355800555</v>
      </c>
      <c r="F31" s="262">
        <v>1.0374649674929768</v>
      </c>
    </row>
    <row r="32" spans="1:7" x14ac:dyDescent="0.25">
      <c r="A32" s="266">
        <f t="shared" ref="A32:A35" si="1">+$A$30*(1+B32)</f>
        <v>169.84435241481481</v>
      </c>
      <c r="B32" s="261">
        <v>0.2</v>
      </c>
      <c r="C32" s="265">
        <v>61183.045130716084</v>
      </c>
      <c r="D32" s="262">
        <v>1.2502099982027315</v>
      </c>
      <c r="E32" s="265">
        <v>61641.113341952616</v>
      </c>
      <c r="F32" s="262">
        <v>1.260403143894326</v>
      </c>
    </row>
    <row r="33" spans="1:6" x14ac:dyDescent="0.25">
      <c r="A33" s="266">
        <f t="shared" si="1"/>
        <v>183.99804844938271</v>
      </c>
      <c r="B33" s="261">
        <v>0.30000000000000004</v>
      </c>
      <c r="C33" s="260">
        <v>74319.802672113859</v>
      </c>
      <c r="D33" s="261">
        <v>1.4716770302533573</v>
      </c>
      <c r="E33" s="260">
        <v>74777.870883350392</v>
      </c>
      <c r="F33" s="261">
        <v>1.4821832686642162</v>
      </c>
    </row>
    <row r="34" spans="1:6" x14ac:dyDescent="0.25">
      <c r="A34" s="266">
        <f t="shared" si="1"/>
        <v>198.15174448395061</v>
      </c>
      <c r="B34" s="261">
        <v>0.4</v>
      </c>
      <c r="C34" s="260">
        <v>87456.560213511577</v>
      </c>
      <c r="D34" s="261">
        <v>1.6923005405972447</v>
      </c>
      <c r="E34" s="260">
        <v>87914.628424748109</v>
      </c>
      <c r="F34" s="261">
        <v>1.7030773627269227</v>
      </c>
    </row>
    <row r="35" spans="1:6" x14ac:dyDescent="0.25">
      <c r="A35" s="266">
        <f t="shared" si="1"/>
        <v>212.30544051851851</v>
      </c>
      <c r="B35" s="261">
        <v>0.5</v>
      </c>
      <c r="C35" s="260">
        <v>100593.31775490921</v>
      </c>
      <c r="D35" s="279">
        <v>1.9122690878489923</v>
      </c>
      <c r="E35" s="260">
        <v>101051.38596614574</v>
      </c>
      <c r="F35" s="279">
        <v>1.9232819432097212</v>
      </c>
    </row>
    <row r="38" spans="1:6" x14ac:dyDescent="0.25">
      <c r="A38" s="444" t="s">
        <v>350</v>
      </c>
      <c r="B38" s="444"/>
      <c r="C38" s="444"/>
      <c r="D38" s="444"/>
      <c r="E38" s="444"/>
      <c r="F38" s="444"/>
    </row>
    <row r="39" spans="1:6" x14ac:dyDescent="0.25">
      <c r="A39" s="445" t="s">
        <v>353</v>
      </c>
      <c r="B39" s="271" t="s">
        <v>349</v>
      </c>
      <c r="C39" s="272" t="s">
        <v>341</v>
      </c>
      <c r="D39" s="272" t="s">
        <v>342</v>
      </c>
      <c r="E39" s="272" t="s">
        <v>343</v>
      </c>
      <c r="F39" s="272" t="s">
        <v>344</v>
      </c>
    </row>
    <row r="40" spans="1:6" x14ac:dyDescent="0.25">
      <c r="A40" s="445"/>
      <c r="B40" s="271"/>
      <c r="C40" s="272">
        <f>+Rentabilidad!D12</f>
        <v>34909.530047920693</v>
      </c>
      <c r="D40" s="273">
        <f>+Rentabilidad!D14</f>
        <v>0.80359061383593833</v>
      </c>
      <c r="E40" s="272">
        <f>+Rentabilidad!D25</f>
        <v>35367.598259157225</v>
      </c>
      <c r="F40" s="283">
        <f>+Rentabilidad!D27</f>
        <v>0.81298368586921943</v>
      </c>
    </row>
    <row r="41" spans="1:6" x14ac:dyDescent="0.25">
      <c r="A41" s="2">
        <f t="shared" ref="A41:A44" si="2">+$A$46*(1+B41)</f>
        <v>38.895229454321097</v>
      </c>
      <c r="B41" s="281">
        <v>-0.65</v>
      </c>
      <c r="C41" s="260">
        <f t="dataTable" ref="C41:F51" dt2D="0" dtr="0" r1="C3" ca="1"/>
        <v>-32491.616073276855</v>
      </c>
      <c r="D41" s="261">
        <v>-0.41061985354308816</v>
      </c>
      <c r="E41" s="260">
        <v>-32033.547862040323</v>
      </c>
      <c r="F41" s="261">
        <v>-0.40582339275509671</v>
      </c>
    </row>
    <row r="42" spans="1:6" x14ac:dyDescent="0.25">
      <c r="A42" s="2">
        <f t="shared" si="2"/>
        <v>44.451690804938409</v>
      </c>
      <c r="B42" s="281">
        <v>-0.6</v>
      </c>
      <c r="C42" s="260">
        <v>-27306.912525492353</v>
      </c>
      <c r="D42" s="261">
        <v>-0.30886926857667163</v>
      </c>
      <c r="E42" s="260">
        <v>-26848.844314255821</v>
      </c>
      <c r="F42" s="261">
        <v>-0.30343348174086116</v>
      </c>
    </row>
    <row r="43" spans="1:6" x14ac:dyDescent="0.25">
      <c r="A43" s="2">
        <f t="shared" si="2"/>
        <v>50.984065277747469</v>
      </c>
      <c r="B43" s="281">
        <f>+D3</f>
        <v>-0.54121821371003198</v>
      </c>
      <c r="C43" s="260">
        <v>-21211.589807038319</v>
      </c>
      <c r="D43" s="261">
        <v>-0.19224661008741029</v>
      </c>
      <c r="E43" s="260">
        <v>-20753.521595801787</v>
      </c>
      <c r="F43" s="261">
        <v>-0.18616175566741222</v>
      </c>
    </row>
    <row r="44" spans="1:6" x14ac:dyDescent="0.25">
      <c r="A44" s="2">
        <f t="shared" si="2"/>
        <v>77.790458908642194</v>
      </c>
      <c r="B44" s="281">
        <v>-0.3</v>
      </c>
      <c r="C44" s="260">
        <v>3801.3087612141826</v>
      </c>
      <c r="D44" s="261">
        <v>0.26364954999632495</v>
      </c>
      <c r="E44" s="260">
        <v>4259.3769724507156</v>
      </c>
      <c r="F44" s="261">
        <v>0.27162706552992955</v>
      </c>
    </row>
    <row r="45" spans="1:6" x14ac:dyDescent="0.25">
      <c r="A45" s="2">
        <f>+$A$46*(1+B45)</f>
        <v>94.4598429604941</v>
      </c>
      <c r="B45" s="281">
        <v>-0.15</v>
      </c>
      <c r="C45" s="260">
        <v>19355.419404567419</v>
      </c>
      <c r="D45" s="261">
        <v>0.53601700356993276</v>
      </c>
      <c r="E45" s="260">
        <v>19813.487615803951</v>
      </c>
      <c r="F45" s="261">
        <v>0.54478886017096184</v>
      </c>
    </row>
    <row r="46" spans="1:6" x14ac:dyDescent="0.25">
      <c r="A46" s="267">
        <f>+Resumen!C14</f>
        <v>111.12922701234601</v>
      </c>
      <c r="B46" s="282">
        <v>0</v>
      </c>
      <c r="C46" s="263">
        <v>34909.530047920693</v>
      </c>
      <c r="D46" s="264">
        <v>0.80359061383593833</v>
      </c>
      <c r="E46" s="263">
        <v>35367.598259157225</v>
      </c>
      <c r="F46" s="264">
        <v>0.81298368586921943</v>
      </c>
    </row>
    <row r="47" spans="1:6" x14ac:dyDescent="0.25">
      <c r="A47" s="2">
        <f>+$A$46*(1+B47)</f>
        <v>127.7986110641979</v>
      </c>
      <c r="B47" s="261">
        <v>0.15</v>
      </c>
      <c r="C47" s="265">
        <v>50463.640691274049</v>
      </c>
      <c r="D47" s="262">
        <v>1.0679931668847962</v>
      </c>
      <c r="E47" s="265">
        <v>50921.708902510582</v>
      </c>
      <c r="F47" s="262">
        <v>1.0778861032634843</v>
      </c>
    </row>
    <row r="48" spans="1:6" x14ac:dyDescent="0.25">
      <c r="A48" s="2">
        <f t="shared" ref="A48:A51" si="3">+$A$46*(1+B48)</f>
        <v>144.46799511604982</v>
      </c>
      <c r="B48" s="261">
        <v>0.3</v>
      </c>
      <c r="C48" s="265">
        <v>66017.751334627435</v>
      </c>
      <c r="D48" s="262">
        <v>1.3302171485355818</v>
      </c>
      <c r="E48" s="265">
        <v>66475.819545863968</v>
      </c>
      <c r="F48" s="262">
        <v>1.3405210880121157</v>
      </c>
    </row>
    <row r="49" spans="1:6" x14ac:dyDescent="0.25">
      <c r="A49" s="2">
        <f t="shared" si="3"/>
        <v>166.69384051851901</v>
      </c>
      <c r="B49" s="281">
        <v>0.5</v>
      </c>
      <c r="C49" s="260">
        <v>86756.56552576508</v>
      </c>
      <c r="D49" s="261">
        <v>1.6775230384856368</v>
      </c>
      <c r="E49" s="260">
        <v>87214.633737001612</v>
      </c>
      <c r="F49" s="261">
        <v>1.6882731326383209</v>
      </c>
    </row>
    <row r="50" spans="1:6" x14ac:dyDescent="0.25">
      <c r="A50" s="2">
        <f t="shared" si="3"/>
        <v>177.80676321975363</v>
      </c>
      <c r="B50" s="281">
        <v>0.6</v>
      </c>
      <c r="C50" s="260">
        <v>97125.972621334018</v>
      </c>
      <c r="D50" s="261">
        <v>1.8504504740472405</v>
      </c>
      <c r="E50" s="260">
        <v>97584.04083257055</v>
      </c>
      <c r="F50" s="261">
        <v>1.8613897669460648</v>
      </c>
    </row>
    <row r="51" spans="1:6" x14ac:dyDescent="0.25">
      <c r="A51" s="2">
        <f t="shared" si="3"/>
        <v>183.3632245703709</v>
      </c>
      <c r="B51" s="281">
        <v>0.65</v>
      </c>
      <c r="C51" s="260">
        <v>102310.67616911841</v>
      </c>
      <c r="D51" s="279">
        <v>1.9367708891359041</v>
      </c>
      <c r="E51" s="260">
        <v>102768.74438035494</v>
      </c>
      <c r="F51" s="279">
        <v>1.9477977477933717</v>
      </c>
    </row>
    <row r="54" spans="1:6" x14ac:dyDescent="0.25">
      <c r="A54" s="444" t="s">
        <v>351</v>
      </c>
      <c r="B54" s="444"/>
      <c r="C54" s="444"/>
      <c r="D54" s="444"/>
      <c r="E54" s="444"/>
      <c r="F54" s="444"/>
    </row>
    <row r="55" spans="1:6" x14ac:dyDescent="0.25">
      <c r="A55" s="270"/>
      <c r="B55" s="271" t="s">
        <v>375</v>
      </c>
      <c r="C55" s="272" t="s">
        <v>341</v>
      </c>
      <c r="D55" s="272" t="s">
        <v>342</v>
      </c>
      <c r="E55" s="272" t="s">
        <v>343</v>
      </c>
      <c r="F55" s="272" t="s">
        <v>344</v>
      </c>
    </row>
    <row r="56" spans="1:6" x14ac:dyDescent="0.25">
      <c r="A56" s="270"/>
      <c r="B56" s="271"/>
      <c r="C56" s="284">
        <f>+Rentabilidad!D12</f>
        <v>34909.530047920693</v>
      </c>
      <c r="D56" s="274">
        <f>+Rentabilidad!D14</f>
        <v>0.80359061383593833</v>
      </c>
      <c r="E56" s="272">
        <f>+Rentabilidad!D25</f>
        <v>35367.598259157225</v>
      </c>
      <c r="F56" s="274">
        <f>+Rentabilidad!D27</f>
        <v>0.81298368586921943</v>
      </c>
    </row>
    <row r="57" spans="1:6" x14ac:dyDescent="0.25">
      <c r="A57" s="286">
        <f t="shared" ref="A57:A60" si="4">+$A$62*(1+B57)</f>
        <v>3.9</v>
      </c>
      <c r="B57" s="287">
        <v>-0.5</v>
      </c>
      <c r="C57" s="288">
        <f t="dataTable" ref="C57:F67" dt2D="0" dtr="0" r1="C8" ca="1"/>
        <v>105642.33827823686</v>
      </c>
      <c r="D57" s="289">
        <v>2.2798974742591991</v>
      </c>
      <c r="E57" s="290">
        <v>105965.42096662721</v>
      </c>
      <c r="F57" s="289">
        <v>2.2891607584835985</v>
      </c>
    </row>
    <row r="58" spans="1:6" x14ac:dyDescent="0.25">
      <c r="A58" s="286">
        <f t="shared" si="4"/>
        <v>4.1375814457219242</v>
      </c>
      <c r="B58" s="287">
        <v>-0.469540840292061</v>
      </c>
      <c r="C58" s="288">
        <v>101333.41447328041</v>
      </c>
      <c r="D58" s="289">
        <v>2.1777371974275757</v>
      </c>
      <c r="E58" s="290">
        <v>101664.72025286802</v>
      </c>
      <c r="F58" s="289">
        <v>2.1870753663413396</v>
      </c>
    </row>
    <row r="59" spans="1:6" x14ac:dyDescent="0.25">
      <c r="A59" s="286">
        <f t="shared" si="4"/>
        <v>5.46</v>
      </c>
      <c r="B59" s="287">
        <v>-0.3</v>
      </c>
      <c r="C59" s="288">
        <v>77349.214986110397</v>
      </c>
      <c r="D59" s="289">
        <v>1.6410758485413042</v>
      </c>
      <c r="E59" s="290">
        <v>77726.29188363922</v>
      </c>
      <c r="F59" s="289">
        <v>1.6506867221152937</v>
      </c>
    </row>
    <row r="60" spans="1:6" x14ac:dyDescent="0.25">
      <c r="A60" s="286">
        <f t="shared" si="4"/>
        <v>6.24</v>
      </c>
      <c r="B60" s="287">
        <v>-0.2</v>
      </c>
      <c r="C60" s="288">
        <v>63202.653340047153</v>
      </c>
      <c r="D60" s="289">
        <v>1.3474966138307769</v>
      </c>
      <c r="E60" s="290">
        <v>63606.727342145212</v>
      </c>
      <c r="F60" s="289">
        <v>1.3571443689727327</v>
      </c>
    </row>
    <row r="61" spans="1:6" x14ac:dyDescent="0.25">
      <c r="A61" s="286">
        <f>+$A$62*(1+B61)</f>
        <v>7.02</v>
      </c>
      <c r="B61" s="287">
        <v>-0.1</v>
      </c>
      <c r="C61" s="288">
        <v>49056.091693983923</v>
      </c>
      <c r="D61" s="289">
        <v>1.0688655352373488</v>
      </c>
      <c r="E61" s="290">
        <v>49487.162800651218</v>
      </c>
      <c r="F61" s="289">
        <v>1.0784457079186818</v>
      </c>
    </row>
    <row r="62" spans="1:6" x14ac:dyDescent="0.25">
      <c r="A62" s="275">
        <f>+Resumen!C19</f>
        <v>7.8</v>
      </c>
      <c r="B62" s="276">
        <v>0</v>
      </c>
      <c r="C62" s="285">
        <v>34909.530047920693</v>
      </c>
      <c r="D62" s="278">
        <v>0.80359061383593833</v>
      </c>
      <c r="E62" s="277">
        <v>35367.598259157225</v>
      </c>
      <c r="F62" s="278">
        <v>0.81298368586921943</v>
      </c>
    </row>
    <row r="63" spans="1:6" x14ac:dyDescent="0.25">
      <c r="A63" s="286">
        <f>+$A$62*(1+B63)</f>
        <v>8.58</v>
      </c>
      <c r="B63" s="291">
        <v>0.1</v>
      </c>
      <c r="C63" s="288">
        <v>20762.968401857433</v>
      </c>
      <c r="D63" s="289">
        <v>0.5501098857569644</v>
      </c>
      <c r="E63" s="290">
        <v>21248.033717663202</v>
      </c>
      <c r="F63" s="289">
        <v>0.55917526639502935</v>
      </c>
    </row>
    <row r="64" spans="1:6" x14ac:dyDescent="0.25">
      <c r="A64" s="286">
        <f t="shared" ref="A64:A67" si="5">+$A$62*(1+B64)</f>
        <v>9.36</v>
      </c>
      <c r="B64" s="287">
        <v>0.2</v>
      </c>
      <c r="C64" s="288">
        <v>6616.4067557942544</v>
      </c>
      <c r="D64" s="289">
        <v>0.30683047581120726</v>
      </c>
      <c r="E64" s="290">
        <v>7128.4691761692593</v>
      </c>
      <c r="F64" s="289">
        <v>0.31539790932138989</v>
      </c>
    </row>
    <row r="65" spans="1:6" x14ac:dyDescent="0.25">
      <c r="A65" s="286">
        <f t="shared" si="5"/>
        <v>10.453087319902547</v>
      </c>
      <c r="B65" s="287">
        <f>+D8</f>
        <v>0.34013939998750597</v>
      </c>
      <c r="C65" s="288">
        <v>-13208.499853861445</v>
      </c>
      <c r="D65" s="289">
        <v>-2.0209491669967772E-2</v>
      </c>
      <c r="E65" s="290">
        <v>-12658.603853129112</v>
      </c>
      <c r="F65" s="289">
        <v>-1.2709974161019932E-2</v>
      </c>
    </row>
    <row r="66" spans="1:6" x14ac:dyDescent="0.25">
      <c r="A66" s="286">
        <f t="shared" si="5"/>
        <v>10.92</v>
      </c>
      <c r="B66" s="287">
        <v>0.4</v>
      </c>
      <c r="C66" s="288">
        <v>-21676.716536332271</v>
      </c>
      <c r="D66" s="289">
        <v>-0.15610822685186521</v>
      </c>
      <c r="E66" s="290">
        <v>-21110.659906818793</v>
      </c>
      <c r="F66" s="289">
        <v>-0.14923351323031675</v>
      </c>
    </row>
    <row r="67" spans="1:6" x14ac:dyDescent="0.25">
      <c r="A67" s="286">
        <f t="shared" si="5"/>
        <v>11.7</v>
      </c>
      <c r="B67" s="292">
        <v>0.5</v>
      </c>
      <c r="C67" s="293">
        <v>-35823.278182395472</v>
      </c>
      <c r="D67" s="292">
        <v>-0.37978629692863597</v>
      </c>
      <c r="E67" s="294">
        <v>-35230.224448312758</v>
      </c>
      <c r="F67" s="292">
        <v>-0.37424592211517016</v>
      </c>
    </row>
  </sheetData>
  <scenarios current="1" sqref="I4:L4">
    <scenario name="Probable" locked="1" count="3" user="ASUS" comment="Creado por ASUS el 01/03/2021">
      <inputCells r="C2" val="0" numFmtId="9"/>
      <inputCells r="C3" val="0" numFmtId="9"/>
      <inputCells r="C8" val="0" numFmtId="9"/>
    </scenario>
    <scenario name="Pesimista" locked="1" count="3" user="ASUS" comment="Creado por ASUS el 01/03/2021_x000a_Modificado por ASUS el 01/03/2021">
      <inputCells r="C2" val="-0.3" numFmtId="9"/>
      <inputCells r="C3" val="-0.4" numFmtId="9"/>
      <inputCells r="C8" val="0.25" numFmtId="9"/>
    </scenario>
    <scenario name="Optimista" locked="1" count="3" user="ASUS" comment="Creado por ASUS el 01/03/2021">
      <inputCells r="C2" val="0.22" numFmtId="9"/>
      <inputCells r="C3" val="0.21" numFmtId="9"/>
      <inputCells r="C8" val="-0.2" numFmtId="9"/>
    </scenario>
  </scenarios>
  <mergeCells count="5">
    <mergeCell ref="A22:F22"/>
    <mergeCell ref="A23:A24"/>
    <mergeCell ref="A39:A40"/>
    <mergeCell ref="A54:F54"/>
    <mergeCell ref="A38:F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zoomScaleNormal="100" workbookViewId="0">
      <selection activeCell="C16" sqref="C16"/>
    </sheetView>
  </sheetViews>
  <sheetFormatPr baseColWidth="10" defaultRowHeight="15" x14ac:dyDescent="0.25"/>
  <cols>
    <col min="1" max="1" width="11.42578125" style="1"/>
    <col min="2" max="2" width="21.28515625" style="1" customWidth="1"/>
    <col min="3" max="3" width="8.42578125" style="1" customWidth="1"/>
    <col min="4" max="5" width="11.42578125" style="1" customWidth="1"/>
    <col min="6" max="6" width="11.42578125" style="1"/>
    <col min="7" max="10" width="15.28515625" style="1" customWidth="1"/>
    <col min="11" max="16384" width="11.42578125" style="1"/>
  </cols>
  <sheetData>
    <row r="2" spans="2:13" x14ac:dyDescent="0.25">
      <c r="B2" s="295" t="s">
        <v>376</v>
      </c>
    </row>
    <row r="3" spans="2:13" x14ac:dyDescent="0.25">
      <c r="B3" s="295"/>
    </row>
    <row r="4" spans="2:13" x14ac:dyDescent="0.25">
      <c r="B4" s="295"/>
    </row>
    <row r="5" spans="2:13" x14ac:dyDescent="0.25">
      <c r="B5" s="2" t="s">
        <v>418</v>
      </c>
      <c r="C5" s="2">
        <v>3.7</v>
      </c>
      <c r="D5" s="1" t="s">
        <v>419</v>
      </c>
    </row>
    <row r="6" spans="2:13" x14ac:dyDescent="0.25">
      <c r="B6" s="2" t="s">
        <v>0</v>
      </c>
      <c r="C6" s="437">
        <f>(C5-C20)/C20</f>
        <v>2.7777777777777801E-2</v>
      </c>
      <c r="G6" s="252" t="s">
        <v>341</v>
      </c>
      <c r="H6" s="252" t="s">
        <v>342</v>
      </c>
      <c r="I6" s="252" t="s">
        <v>343</v>
      </c>
      <c r="J6" s="252" t="s">
        <v>344</v>
      </c>
    </row>
    <row r="7" spans="2:13" x14ac:dyDescent="0.25">
      <c r="B7" s="2" t="s">
        <v>1</v>
      </c>
      <c r="C7" s="248">
        <v>0.02</v>
      </c>
      <c r="D7" s="1" t="s">
        <v>2</v>
      </c>
      <c r="G7" s="247">
        <f>+Rentabilidad!D12</f>
        <v>34909.530047920693</v>
      </c>
      <c r="H7" s="246">
        <f>+Rentabilidad!D14</f>
        <v>0.80359061383593833</v>
      </c>
      <c r="I7" s="247">
        <f>+Rentabilidad!D25</f>
        <v>35367.598259157225</v>
      </c>
      <c r="J7" s="3">
        <f>+Rentabilidad!D27</f>
        <v>0.81298368586921943</v>
      </c>
    </row>
    <row r="8" spans="2:13" x14ac:dyDescent="0.25">
      <c r="B8" s="2" t="s">
        <v>3</v>
      </c>
      <c r="C8" s="347">
        <v>2.9000000000000001E-2</v>
      </c>
      <c r="D8" s="1" t="s">
        <v>4</v>
      </c>
    </row>
    <row r="9" spans="2:13" x14ac:dyDescent="0.25">
      <c r="B9" s="2" t="s">
        <v>5</v>
      </c>
      <c r="C9" s="249">
        <v>3</v>
      </c>
      <c r="D9" s="1" t="s">
        <v>6</v>
      </c>
      <c r="L9" s="304">
        <v>-0.31</v>
      </c>
      <c r="M9" s="304">
        <v>0.22</v>
      </c>
    </row>
    <row r="10" spans="2:13" x14ac:dyDescent="0.25">
      <c r="B10" s="2" t="s">
        <v>336</v>
      </c>
      <c r="C10" s="248">
        <v>0.17399999999999999</v>
      </c>
      <c r="D10" s="1" t="s">
        <v>8</v>
      </c>
      <c r="L10" s="304">
        <v>-0.42</v>
      </c>
      <c r="M10" s="304">
        <v>0.21</v>
      </c>
    </row>
    <row r="11" spans="2:13" x14ac:dyDescent="0.25">
      <c r="B11" s="2" t="s">
        <v>9</v>
      </c>
      <c r="C11" s="248">
        <v>0.1</v>
      </c>
      <c r="D11" s="1" t="s">
        <v>10</v>
      </c>
      <c r="E11" s="1">
        <f>66000/C20</f>
        <v>18333.333333333332</v>
      </c>
      <c r="L11" s="304">
        <v>0.28000000000000003</v>
      </c>
      <c r="M11" s="304">
        <v>-0.2</v>
      </c>
    </row>
    <row r="12" spans="2:13" x14ac:dyDescent="0.25">
      <c r="B12" s="2" t="s">
        <v>11</v>
      </c>
      <c r="C12" s="248">
        <v>0.29499999999999998</v>
      </c>
      <c r="D12" s="1" t="s">
        <v>12</v>
      </c>
    </row>
    <row r="13" spans="2:13" x14ac:dyDescent="0.25">
      <c r="B13" s="252" t="s">
        <v>13</v>
      </c>
      <c r="C13" s="306">
        <f>141.536960345679*(1+'Análisis de sensibilidad'!C2)</f>
        <v>141.53696034567901</v>
      </c>
      <c r="D13" s="255"/>
      <c r="E13" s="255"/>
      <c r="G13" s="250"/>
      <c r="H13" s="253"/>
      <c r="I13" s="254"/>
      <c r="J13" s="296"/>
      <c r="K13" s="254"/>
    </row>
    <row r="14" spans="2:13" x14ac:dyDescent="0.25">
      <c r="B14" s="2" t="s">
        <v>14</v>
      </c>
      <c r="C14" s="306">
        <f>111.129227012346*(1+'Análisis de sensibilidad'!C3)</f>
        <v>111.12922701234601</v>
      </c>
      <c r="D14" s="255"/>
      <c r="E14" s="255"/>
      <c r="G14" s="250"/>
      <c r="H14" s="254"/>
      <c r="I14" s="254"/>
      <c r="J14" s="296"/>
      <c r="K14" s="254"/>
    </row>
    <row r="15" spans="2:13" x14ac:dyDescent="0.25">
      <c r="B15" s="2" t="s">
        <v>15</v>
      </c>
      <c r="C15" s="306">
        <f>100.527627012346*(1+'Análisis de sensibilidad'!C4)</f>
        <v>100.527627012346</v>
      </c>
      <c r="D15" s="255"/>
      <c r="E15" s="255"/>
      <c r="G15" s="250"/>
      <c r="H15" s="251"/>
      <c r="I15" s="251"/>
      <c r="J15" s="250"/>
      <c r="K15" s="251"/>
    </row>
    <row r="16" spans="2:13" x14ac:dyDescent="0.25">
      <c r="B16" s="2" t="s">
        <v>16</v>
      </c>
      <c r="C16" s="307">
        <f>25*(1+'Análisis de sensibilidad'!C5)</f>
        <v>25</v>
      </c>
      <c r="D16" s="255" t="s">
        <v>17</v>
      </c>
      <c r="E16" s="255"/>
    </row>
    <row r="17" spans="2:5" x14ac:dyDescent="0.25">
      <c r="B17" s="2" t="s">
        <v>18</v>
      </c>
      <c r="C17" s="307">
        <f>22.2222222222222*(1+'Análisis de sensibilidad'!C6)</f>
        <v>22.2222222222222</v>
      </c>
      <c r="D17" s="255"/>
      <c r="E17" s="255"/>
    </row>
    <row r="18" spans="2:5" x14ac:dyDescent="0.25">
      <c r="B18" s="2" t="s">
        <v>19</v>
      </c>
      <c r="C18" s="307">
        <f>18.0555555555556*(1+'Análisis de sensibilidad'!C7)</f>
        <v>18.0555555555556</v>
      </c>
      <c r="D18" s="255"/>
      <c r="E18" s="255"/>
    </row>
    <row r="19" spans="2:5" x14ac:dyDescent="0.25">
      <c r="B19" s="2" t="s">
        <v>20</v>
      </c>
      <c r="C19" s="308">
        <f>7.8*(1+'Análisis de sensibilidad'!C8)</f>
        <v>7.8</v>
      </c>
      <c r="D19" s="255" t="s">
        <v>21</v>
      </c>
      <c r="E19" s="255"/>
    </row>
    <row r="20" spans="2:5" x14ac:dyDescent="0.25">
      <c r="B20" s="2" t="s">
        <v>22</v>
      </c>
      <c r="C20" s="249">
        <v>3.6</v>
      </c>
      <c r="D20" s="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workbookViewId="0">
      <selection activeCell="C8" sqref="C8"/>
    </sheetView>
  </sheetViews>
  <sheetFormatPr baseColWidth="10" defaultRowHeight="15" x14ac:dyDescent="0.25"/>
  <cols>
    <col min="1" max="1" width="11.42578125" style="16"/>
  </cols>
  <sheetData>
    <row r="1" spans="1:15" x14ac:dyDescent="0.25">
      <c r="D1" s="15"/>
    </row>
    <row r="2" spans="1:15" ht="14.25" customHeight="1" x14ac:dyDescent="0.25">
      <c r="B2" s="446" t="s">
        <v>369</v>
      </c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</row>
    <row r="3" spans="1:15" ht="11.25" customHeight="1" x14ac:dyDescent="0.25">
      <c r="B3" s="21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5" x14ac:dyDescent="0.25">
      <c r="B4" s="447" t="s">
        <v>370</v>
      </c>
      <c r="C4" s="447"/>
      <c r="D4" s="447"/>
      <c r="E4" s="447"/>
      <c r="F4" s="447"/>
      <c r="G4" s="447"/>
      <c r="H4" s="447"/>
      <c r="I4" s="447"/>
      <c r="J4" s="447"/>
      <c r="K4" s="447"/>
      <c r="L4" s="447"/>
      <c r="M4" s="447"/>
      <c r="N4" s="447"/>
      <c r="O4" s="447"/>
    </row>
    <row r="6" spans="1:15" x14ac:dyDescent="0.25">
      <c r="B6" s="329" t="s">
        <v>93</v>
      </c>
      <c r="C6" s="329" t="s">
        <v>94</v>
      </c>
      <c r="D6" s="329" t="s">
        <v>95</v>
      </c>
      <c r="E6" s="329" t="s">
        <v>96</v>
      </c>
      <c r="F6" s="329" t="s">
        <v>97</v>
      </c>
      <c r="G6" s="329" t="s">
        <v>98</v>
      </c>
      <c r="H6" s="329" t="s">
        <v>99</v>
      </c>
      <c r="I6" s="329" t="s">
        <v>100</v>
      </c>
      <c r="J6" s="329" t="s">
        <v>101</v>
      </c>
      <c r="K6" s="329" t="s">
        <v>102</v>
      </c>
      <c r="L6" s="329" t="s">
        <v>103</v>
      </c>
      <c r="M6" s="329" t="s">
        <v>104</v>
      </c>
      <c r="N6" s="329" t="s">
        <v>105</v>
      </c>
      <c r="O6" s="329" t="s">
        <v>106</v>
      </c>
    </row>
    <row r="7" spans="1:15" x14ac:dyDescent="0.25">
      <c r="B7" s="438">
        <v>1</v>
      </c>
      <c r="C7" s="330">
        <f>SUM(C8:C10)</f>
        <v>150</v>
      </c>
      <c r="D7" s="330">
        <f t="shared" ref="D7:N7" si="0">SUM(D8:D10)</f>
        <v>150</v>
      </c>
      <c r="E7" s="330">
        <f t="shared" si="0"/>
        <v>150</v>
      </c>
      <c r="F7" s="330">
        <f t="shared" si="0"/>
        <v>150</v>
      </c>
      <c r="G7" s="330">
        <f t="shared" si="0"/>
        <v>150</v>
      </c>
      <c r="H7" s="330">
        <f t="shared" si="0"/>
        <v>150</v>
      </c>
      <c r="I7" s="330">
        <f t="shared" si="0"/>
        <v>150</v>
      </c>
      <c r="J7" s="330">
        <f t="shared" si="0"/>
        <v>150</v>
      </c>
      <c r="K7" s="330">
        <f t="shared" si="0"/>
        <v>150</v>
      </c>
      <c r="L7" s="330">
        <f t="shared" si="0"/>
        <v>150</v>
      </c>
      <c r="M7" s="330">
        <f t="shared" si="0"/>
        <v>150</v>
      </c>
      <c r="N7" s="330">
        <f t="shared" si="0"/>
        <v>150</v>
      </c>
      <c r="O7" s="331">
        <f t="shared" ref="O7:O15" si="1">SUM(C7:N7)</f>
        <v>1800</v>
      </c>
    </row>
    <row r="8" spans="1:15" x14ac:dyDescent="0.25">
      <c r="B8" s="4" t="s">
        <v>107</v>
      </c>
      <c r="C8" s="268">
        <v>50</v>
      </c>
      <c r="D8" s="268">
        <v>50</v>
      </c>
      <c r="E8" s="268">
        <v>50</v>
      </c>
      <c r="F8" s="268">
        <v>50</v>
      </c>
      <c r="G8" s="268">
        <v>50</v>
      </c>
      <c r="H8" s="268">
        <v>50</v>
      </c>
      <c r="I8" s="268">
        <v>50</v>
      </c>
      <c r="J8" s="268">
        <v>50</v>
      </c>
      <c r="K8" s="268">
        <v>50</v>
      </c>
      <c r="L8" s="268">
        <v>50</v>
      </c>
      <c r="M8" s="268">
        <v>50</v>
      </c>
      <c r="N8" s="268">
        <v>50</v>
      </c>
      <c r="O8" s="269">
        <f t="shared" si="1"/>
        <v>600</v>
      </c>
    </row>
    <row r="9" spans="1:15" x14ac:dyDescent="0.25">
      <c r="B9" s="4" t="s">
        <v>108</v>
      </c>
      <c r="C9" s="268">
        <v>50</v>
      </c>
      <c r="D9" s="268">
        <v>50</v>
      </c>
      <c r="E9" s="268">
        <v>50</v>
      </c>
      <c r="F9" s="268">
        <v>50</v>
      </c>
      <c r="G9" s="268">
        <v>50</v>
      </c>
      <c r="H9" s="268">
        <v>50</v>
      </c>
      <c r="I9" s="268">
        <v>50</v>
      </c>
      <c r="J9" s="268">
        <v>50</v>
      </c>
      <c r="K9" s="268">
        <v>50</v>
      </c>
      <c r="L9" s="268">
        <v>50</v>
      </c>
      <c r="M9" s="268">
        <v>50</v>
      </c>
      <c r="N9" s="268">
        <v>50</v>
      </c>
      <c r="O9" s="269">
        <f t="shared" si="1"/>
        <v>600</v>
      </c>
    </row>
    <row r="10" spans="1:15" x14ac:dyDescent="0.25">
      <c r="B10" s="4" t="s">
        <v>109</v>
      </c>
      <c r="C10" s="268">
        <v>50</v>
      </c>
      <c r="D10" s="268">
        <v>50</v>
      </c>
      <c r="E10" s="268">
        <v>50</v>
      </c>
      <c r="F10" s="268">
        <v>50</v>
      </c>
      <c r="G10" s="268">
        <v>50</v>
      </c>
      <c r="H10" s="268">
        <v>50</v>
      </c>
      <c r="I10" s="268">
        <v>50</v>
      </c>
      <c r="J10" s="268">
        <v>50</v>
      </c>
      <c r="K10" s="268">
        <v>50</v>
      </c>
      <c r="L10" s="268">
        <v>50</v>
      </c>
      <c r="M10" s="268">
        <v>50</v>
      </c>
      <c r="N10" s="268">
        <v>50</v>
      </c>
      <c r="O10" s="269">
        <f t="shared" si="1"/>
        <v>600</v>
      </c>
    </row>
    <row r="11" spans="1:15" x14ac:dyDescent="0.25">
      <c r="A11" s="17">
        <v>0.03</v>
      </c>
      <c r="B11" s="438">
        <v>2</v>
      </c>
      <c r="C11" s="332">
        <f>SUM(C12:C14)</f>
        <v>155</v>
      </c>
      <c r="D11" s="332">
        <f t="shared" ref="D11:N11" si="2">SUM(D12:D14)</f>
        <v>155</v>
      </c>
      <c r="E11" s="332">
        <f t="shared" si="2"/>
        <v>155</v>
      </c>
      <c r="F11" s="332">
        <f t="shared" si="2"/>
        <v>155</v>
      </c>
      <c r="G11" s="332">
        <f t="shared" si="2"/>
        <v>155</v>
      </c>
      <c r="H11" s="332">
        <f t="shared" si="2"/>
        <v>155</v>
      </c>
      <c r="I11" s="332">
        <f t="shared" si="2"/>
        <v>155</v>
      </c>
      <c r="J11" s="332">
        <f t="shared" si="2"/>
        <v>155</v>
      </c>
      <c r="K11" s="332">
        <f t="shared" si="2"/>
        <v>155</v>
      </c>
      <c r="L11" s="332">
        <f t="shared" si="2"/>
        <v>155</v>
      </c>
      <c r="M11" s="332">
        <f t="shared" si="2"/>
        <v>155</v>
      </c>
      <c r="N11" s="332">
        <f t="shared" si="2"/>
        <v>155</v>
      </c>
      <c r="O11" s="331">
        <f t="shared" si="1"/>
        <v>1860</v>
      </c>
    </row>
    <row r="12" spans="1:15" x14ac:dyDescent="0.25">
      <c r="B12" s="4" t="s">
        <v>107</v>
      </c>
      <c r="C12" s="268">
        <v>52</v>
      </c>
      <c r="D12" s="268">
        <v>52</v>
      </c>
      <c r="E12" s="268">
        <v>52</v>
      </c>
      <c r="F12" s="268">
        <v>52</v>
      </c>
      <c r="G12" s="268">
        <v>52</v>
      </c>
      <c r="H12" s="268">
        <v>52</v>
      </c>
      <c r="I12" s="268">
        <v>52</v>
      </c>
      <c r="J12" s="268">
        <v>52</v>
      </c>
      <c r="K12" s="268">
        <v>52</v>
      </c>
      <c r="L12" s="268">
        <v>52</v>
      </c>
      <c r="M12" s="268">
        <v>52</v>
      </c>
      <c r="N12" s="268">
        <v>52</v>
      </c>
      <c r="O12" s="269">
        <f>SUM(C12:N12)</f>
        <v>624</v>
      </c>
    </row>
    <row r="13" spans="1:15" x14ac:dyDescent="0.25">
      <c r="B13" s="4" t="s">
        <v>108</v>
      </c>
      <c r="C13" s="268">
        <v>52</v>
      </c>
      <c r="D13" s="268">
        <v>52</v>
      </c>
      <c r="E13" s="268">
        <v>52</v>
      </c>
      <c r="F13" s="268">
        <v>52</v>
      </c>
      <c r="G13" s="268">
        <v>52</v>
      </c>
      <c r="H13" s="268">
        <v>52</v>
      </c>
      <c r="I13" s="268">
        <v>52</v>
      </c>
      <c r="J13" s="268">
        <v>52</v>
      </c>
      <c r="K13" s="268">
        <v>52</v>
      </c>
      <c r="L13" s="268">
        <v>52</v>
      </c>
      <c r="M13" s="268">
        <v>52</v>
      </c>
      <c r="N13" s="268">
        <v>52</v>
      </c>
      <c r="O13" s="269">
        <f>SUM(C13:N13)</f>
        <v>624</v>
      </c>
    </row>
    <row r="14" spans="1:15" x14ac:dyDescent="0.25">
      <c r="B14" s="4" t="s">
        <v>109</v>
      </c>
      <c r="C14" s="268">
        <v>51</v>
      </c>
      <c r="D14" s="268">
        <v>51</v>
      </c>
      <c r="E14" s="268">
        <v>51</v>
      </c>
      <c r="F14" s="268">
        <v>51</v>
      </c>
      <c r="G14" s="268">
        <v>51</v>
      </c>
      <c r="H14" s="268">
        <v>51</v>
      </c>
      <c r="I14" s="268">
        <v>51</v>
      </c>
      <c r="J14" s="268">
        <v>51</v>
      </c>
      <c r="K14" s="268">
        <v>51</v>
      </c>
      <c r="L14" s="268">
        <v>51</v>
      </c>
      <c r="M14" s="268">
        <v>51</v>
      </c>
      <c r="N14" s="268">
        <v>51</v>
      </c>
      <c r="O14" s="269">
        <f>SUM(C14:N14)</f>
        <v>612</v>
      </c>
    </row>
    <row r="15" spans="1:15" x14ac:dyDescent="0.25">
      <c r="A15" s="17">
        <v>0.05</v>
      </c>
      <c r="B15" s="438">
        <v>3</v>
      </c>
      <c r="C15" s="332">
        <f>SUM(C16:C18)</f>
        <v>163</v>
      </c>
      <c r="D15" s="332">
        <f t="shared" ref="D15:N15" si="3">SUM(D16:D18)</f>
        <v>163</v>
      </c>
      <c r="E15" s="332">
        <f t="shared" si="3"/>
        <v>163</v>
      </c>
      <c r="F15" s="332">
        <f t="shared" si="3"/>
        <v>163</v>
      </c>
      <c r="G15" s="332">
        <f t="shared" si="3"/>
        <v>163</v>
      </c>
      <c r="H15" s="332">
        <f t="shared" si="3"/>
        <v>163</v>
      </c>
      <c r="I15" s="332">
        <f t="shared" si="3"/>
        <v>163</v>
      </c>
      <c r="J15" s="332">
        <f t="shared" si="3"/>
        <v>163</v>
      </c>
      <c r="K15" s="332">
        <f t="shared" si="3"/>
        <v>163</v>
      </c>
      <c r="L15" s="332">
        <f t="shared" si="3"/>
        <v>163</v>
      </c>
      <c r="M15" s="332">
        <f t="shared" si="3"/>
        <v>163</v>
      </c>
      <c r="N15" s="332">
        <f t="shared" si="3"/>
        <v>163</v>
      </c>
      <c r="O15" s="331">
        <f t="shared" si="1"/>
        <v>1956</v>
      </c>
    </row>
    <row r="16" spans="1:15" x14ac:dyDescent="0.25">
      <c r="B16" s="4" t="s">
        <v>107</v>
      </c>
      <c r="C16" s="268">
        <v>54</v>
      </c>
      <c r="D16" s="268">
        <v>54</v>
      </c>
      <c r="E16" s="268">
        <v>54</v>
      </c>
      <c r="F16" s="268">
        <v>54</v>
      </c>
      <c r="G16" s="268">
        <v>54</v>
      </c>
      <c r="H16" s="268">
        <v>54</v>
      </c>
      <c r="I16" s="268">
        <v>54</v>
      </c>
      <c r="J16" s="268">
        <v>54</v>
      </c>
      <c r="K16" s="268">
        <v>54</v>
      </c>
      <c r="L16" s="268">
        <v>54</v>
      </c>
      <c r="M16" s="268">
        <v>54</v>
      </c>
      <c r="N16" s="268">
        <v>54</v>
      </c>
      <c r="O16" s="269">
        <f>SUM(C16:N16)</f>
        <v>648</v>
      </c>
    </row>
    <row r="17" spans="2:16" x14ac:dyDescent="0.25">
      <c r="B17" s="4" t="s">
        <v>108</v>
      </c>
      <c r="C17" s="268">
        <v>55</v>
      </c>
      <c r="D17" s="268">
        <v>55</v>
      </c>
      <c r="E17" s="268">
        <v>55</v>
      </c>
      <c r="F17" s="268">
        <v>55</v>
      </c>
      <c r="G17" s="268">
        <v>55</v>
      </c>
      <c r="H17" s="268">
        <v>55</v>
      </c>
      <c r="I17" s="268">
        <v>55</v>
      </c>
      <c r="J17" s="268">
        <v>55</v>
      </c>
      <c r="K17" s="268">
        <v>55</v>
      </c>
      <c r="L17" s="268">
        <v>55</v>
      </c>
      <c r="M17" s="268">
        <v>55</v>
      </c>
      <c r="N17" s="268">
        <v>55</v>
      </c>
      <c r="O17" s="269">
        <f>SUM(C17:N17)</f>
        <v>660</v>
      </c>
    </row>
    <row r="18" spans="2:16" x14ac:dyDescent="0.25">
      <c r="B18" s="4" t="s">
        <v>109</v>
      </c>
      <c r="C18" s="268">
        <v>54</v>
      </c>
      <c r="D18" s="268">
        <v>54</v>
      </c>
      <c r="E18" s="268">
        <v>54</v>
      </c>
      <c r="F18" s="268">
        <v>54</v>
      </c>
      <c r="G18" s="268">
        <v>54</v>
      </c>
      <c r="H18" s="268">
        <v>54</v>
      </c>
      <c r="I18" s="268">
        <v>54</v>
      </c>
      <c r="J18" s="268">
        <v>54</v>
      </c>
      <c r="K18" s="268">
        <v>54</v>
      </c>
      <c r="L18" s="268">
        <v>54</v>
      </c>
      <c r="M18" s="268">
        <v>54</v>
      </c>
      <c r="N18" s="268">
        <v>54</v>
      </c>
      <c r="O18" s="269">
        <f>SUM(C18:N18)</f>
        <v>648</v>
      </c>
    </row>
    <row r="21" spans="2:16" x14ac:dyDescent="0.25">
      <c r="B21" s="446" t="s">
        <v>371</v>
      </c>
      <c r="C21" s="446"/>
      <c r="D21" s="446"/>
      <c r="E21" s="446"/>
      <c r="F21" s="446"/>
      <c r="G21" s="446"/>
      <c r="H21" s="446"/>
      <c r="I21" s="446"/>
      <c r="J21" s="446"/>
      <c r="K21" s="446"/>
      <c r="L21" s="446"/>
      <c r="M21" s="446"/>
      <c r="N21" s="446"/>
      <c r="O21" s="446"/>
      <c r="P21" s="446"/>
    </row>
    <row r="22" spans="2:16" x14ac:dyDescent="0.25">
      <c r="B22" s="21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21"/>
    </row>
    <row r="23" spans="2:16" ht="15.75" thickBot="1" x14ac:dyDescent="0.3">
      <c r="B23" s="446" t="s">
        <v>433</v>
      </c>
      <c r="C23" s="446"/>
      <c r="D23" s="446"/>
      <c r="E23" s="446"/>
      <c r="F23" s="446"/>
      <c r="G23" s="446"/>
      <c r="H23" s="446"/>
      <c r="I23" s="446"/>
      <c r="J23" s="446"/>
      <c r="K23" s="446"/>
      <c r="L23" s="446"/>
      <c r="M23" s="446"/>
      <c r="N23" s="446"/>
      <c r="O23" s="446"/>
      <c r="P23" s="446"/>
    </row>
    <row r="24" spans="2:16" ht="25.5" x14ac:dyDescent="0.25">
      <c r="B24" s="326" t="s">
        <v>93</v>
      </c>
      <c r="C24" s="327" t="s">
        <v>28</v>
      </c>
      <c r="D24" s="327" t="s">
        <v>94</v>
      </c>
      <c r="E24" s="327" t="s">
        <v>95</v>
      </c>
      <c r="F24" s="327" t="s">
        <v>96</v>
      </c>
      <c r="G24" s="327" t="s">
        <v>97</v>
      </c>
      <c r="H24" s="327" t="s">
        <v>98</v>
      </c>
      <c r="I24" s="327" t="s">
        <v>99</v>
      </c>
      <c r="J24" s="327" t="s">
        <v>100</v>
      </c>
      <c r="K24" s="327" t="s">
        <v>101</v>
      </c>
      <c r="L24" s="327" t="s">
        <v>102</v>
      </c>
      <c r="M24" s="327" t="s">
        <v>103</v>
      </c>
      <c r="N24" s="327" t="s">
        <v>104</v>
      </c>
      <c r="O24" s="327" t="s">
        <v>105</v>
      </c>
      <c r="P24" s="328" t="s">
        <v>106</v>
      </c>
    </row>
    <row r="25" spans="2:16" x14ac:dyDescent="0.25">
      <c r="B25" s="333">
        <v>1</v>
      </c>
      <c r="C25" s="334"/>
      <c r="D25" s="334">
        <f>SUM(D26:D28)</f>
        <v>17659.690718518548</v>
      </c>
      <c r="E25" s="334">
        <f t="shared" ref="E25:O25" si="4">SUM(E26:E28)</f>
        <v>17659.690718518548</v>
      </c>
      <c r="F25" s="334">
        <f t="shared" si="4"/>
        <v>17659.690718518548</v>
      </c>
      <c r="G25" s="334">
        <f t="shared" si="4"/>
        <v>17659.690718518548</v>
      </c>
      <c r="H25" s="334">
        <f t="shared" si="4"/>
        <v>17659.690718518548</v>
      </c>
      <c r="I25" s="334">
        <f t="shared" si="4"/>
        <v>17659.690718518548</v>
      </c>
      <c r="J25" s="334">
        <f t="shared" si="4"/>
        <v>17659.690718518548</v>
      </c>
      <c r="K25" s="334">
        <f t="shared" si="4"/>
        <v>17659.690718518548</v>
      </c>
      <c r="L25" s="334">
        <f t="shared" si="4"/>
        <v>17659.690718518548</v>
      </c>
      <c r="M25" s="334">
        <f t="shared" si="4"/>
        <v>17659.690718518548</v>
      </c>
      <c r="N25" s="334">
        <f t="shared" si="4"/>
        <v>17659.690718518548</v>
      </c>
      <c r="O25" s="334">
        <f t="shared" si="4"/>
        <v>17659.690718518548</v>
      </c>
      <c r="P25" s="334">
        <f>SUM(D25:O25)</f>
        <v>211916.28862222252</v>
      </c>
    </row>
    <row r="26" spans="2:16" x14ac:dyDescent="0.25">
      <c r="B26" s="18" t="s">
        <v>107</v>
      </c>
      <c r="C26" s="19">
        <f>+Resumen!C13</f>
        <v>141.53696034567901</v>
      </c>
      <c r="D26" s="20">
        <f t="shared" ref="D26:O26" si="5">+$C$26*C8</f>
        <v>7076.84801728395</v>
      </c>
      <c r="E26" s="20">
        <f t="shared" si="5"/>
        <v>7076.84801728395</v>
      </c>
      <c r="F26" s="20">
        <f t="shared" si="5"/>
        <v>7076.84801728395</v>
      </c>
      <c r="G26" s="20">
        <f t="shared" si="5"/>
        <v>7076.84801728395</v>
      </c>
      <c r="H26" s="20">
        <f t="shared" si="5"/>
        <v>7076.84801728395</v>
      </c>
      <c r="I26" s="20">
        <f t="shared" si="5"/>
        <v>7076.84801728395</v>
      </c>
      <c r="J26" s="20">
        <f t="shared" si="5"/>
        <v>7076.84801728395</v>
      </c>
      <c r="K26" s="20">
        <f t="shared" si="5"/>
        <v>7076.84801728395</v>
      </c>
      <c r="L26" s="20">
        <f t="shared" si="5"/>
        <v>7076.84801728395</v>
      </c>
      <c r="M26" s="20">
        <f t="shared" si="5"/>
        <v>7076.84801728395</v>
      </c>
      <c r="N26" s="20">
        <f t="shared" si="5"/>
        <v>7076.84801728395</v>
      </c>
      <c r="O26" s="20">
        <f t="shared" si="5"/>
        <v>7076.84801728395</v>
      </c>
      <c r="P26" s="20"/>
    </row>
    <row r="27" spans="2:16" x14ac:dyDescent="0.25">
      <c r="B27" s="18" t="s">
        <v>108</v>
      </c>
      <c r="C27" s="19">
        <f>+Resumen!C14</f>
        <v>111.12922701234601</v>
      </c>
      <c r="D27" s="20">
        <f t="shared" ref="D27:O27" si="6">+$C$27*C9</f>
        <v>5556.4613506173</v>
      </c>
      <c r="E27" s="20">
        <f t="shared" si="6"/>
        <v>5556.4613506173</v>
      </c>
      <c r="F27" s="20">
        <f t="shared" si="6"/>
        <v>5556.4613506173</v>
      </c>
      <c r="G27" s="20">
        <f t="shared" si="6"/>
        <v>5556.4613506173</v>
      </c>
      <c r="H27" s="20">
        <f t="shared" si="6"/>
        <v>5556.4613506173</v>
      </c>
      <c r="I27" s="20">
        <f t="shared" si="6"/>
        <v>5556.4613506173</v>
      </c>
      <c r="J27" s="20">
        <f t="shared" si="6"/>
        <v>5556.4613506173</v>
      </c>
      <c r="K27" s="20">
        <f t="shared" si="6"/>
        <v>5556.4613506173</v>
      </c>
      <c r="L27" s="20">
        <f t="shared" si="6"/>
        <v>5556.4613506173</v>
      </c>
      <c r="M27" s="20">
        <f t="shared" si="6"/>
        <v>5556.4613506173</v>
      </c>
      <c r="N27" s="20">
        <f t="shared" si="6"/>
        <v>5556.4613506173</v>
      </c>
      <c r="O27" s="20">
        <f t="shared" si="6"/>
        <v>5556.4613506173</v>
      </c>
      <c r="P27" s="20"/>
    </row>
    <row r="28" spans="2:16" x14ac:dyDescent="0.25">
      <c r="B28" s="18" t="s">
        <v>109</v>
      </c>
      <c r="C28" s="19">
        <f>+Resumen!C15</f>
        <v>100.527627012346</v>
      </c>
      <c r="D28" s="20">
        <f t="shared" ref="D28:O28" si="7">+$C$28*C10</f>
        <v>5026.3813506173001</v>
      </c>
      <c r="E28" s="20">
        <f t="shared" si="7"/>
        <v>5026.3813506173001</v>
      </c>
      <c r="F28" s="20">
        <f t="shared" si="7"/>
        <v>5026.3813506173001</v>
      </c>
      <c r="G28" s="20">
        <f t="shared" si="7"/>
        <v>5026.3813506173001</v>
      </c>
      <c r="H28" s="20">
        <f t="shared" si="7"/>
        <v>5026.3813506173001</v>
      </c>
      <c r="I28" s="20">
        <f t="shared" si="7"/>
        <v>5026.3813506173001</v>
      </c>
      <c r="J28" s="20">
        <f t="shared" si="7"/>
        <v>5026.3813506173001</v>
      </c>
      <c r="K28" s="20">
        <f t="shared" si="7"/>
        <v>5026.3813506173001</v>
      </c>
      <c r="L28" s="20">
        <f t="shared" si="7"/>
        <v>5026.3813506173001</v>
      </c>
      <c r="M28" s="20">
        <f t="shared" si="7"/>
        <v>5026.3813506173001</v>
      </c>
      <c r="N28" s="20">
        <f t="shared" si="7"/>
        <v>5026.3813506173001</v>
      </c>
      <c r="O28" s="20">
        <f t="shared" si="7"/>
        <v>5026.3813506173001</v>
      </c>
      <c r="P28" s="20"/>
    </row>
    <row r="29" spans="2:16" x14ac:dyDescent="0.25">
      <c r="B29" s="333">
        <v>2</v>
      </c>
      <c r="C29" s="334"/>
      <c r="D29" s="334">
        <f>SUM(D30:D32)</f>
        <v>18265.550720246945</v>
      </c>
      <c r="E29" s="334">
        <f t="shared" ref="E29:O29" si="8">SUM(E30:E32)</f>
        <v>18265.550720246945</v>
      </c>
      <c r="F29" s="334">
        <f t="shared" si="8"/>
        <v>18265.550720246945</v>
      </c>
      <c r="G29" s="334">
        <f t="shared" si="8"/>
        <v>18265.550720246945</v>
      </c>
      <c r="H29" s="334">
        <f t="shared" si="8"/>
        <v>18265.550720246945</v>
      </c>
      <c r="I29" s="334">
        <f t="shared" si="8"/>
        <v>18265.550720246945</v>
      </c>
      <c r="J29" s="334">
        <f t="shared" si="8"/>
        <v>18265.550720246945</v>
      </c>
      <c r="K29" s="334">
        <f t="shared" si="8"/>
        <v>18265.550720246945</v>
      </c>
      <c r="L29" s="334">
        <f t="shared" si="8"/>
        <v>18265.550720246945</v>
      </c>
      <c r="M29" s="334">
        <f t="shared" si="8"/>
        <v>18265.550720246945</v>
      </c>
      <c r="N29" s="334">
        <f t="shared" si="8"/>
        <v>18265.550720246945</v>
      </c>
      <c r="O29" s="334">
        <f t="shared" si="8"/>
        <v>18265.550720246945</v>
      </c>
      <c r="P29" s="334">
        <f>SUM(D29:O29)</f>
        <v>219186.60864296334</v>
      </c>
    </row>
    <row r="30" spans="2:16" x14ac:dyDescent="0.25">
      <c r="B30" s="18" t="s">
        <v>107</v>
      </c>
      <c r="C30" s="19">
        <f>+C26</f>
        <v>141.53696034567901</v>
      </c>
      <c r="D30" s="20">
        <f t="shared" ref="D30:O30" si="9">+$C$30*C12</f>
        <v>7359.9219379753085</v>
      </c>
      <c r="E30" s="20">
        <f t="shared" si="9"/>
        <v>7359.9219379753085</v>
      </c>
      <c r="F30" s="20">
        <f t="shared" si="9"/>
        <v>7359.9219379753085</v>
      </c>
      <c r="G30" s="20">
        <f t="shared" si="9"/>
        <v>7359.9219379753085</v>
      </c>
      <c r="H30" s="20">
        <f t="shared" si="9"/>
        <v>7359.9219379753085</v>
      </c>
      <c r="I30" s="20">
        <f t="shared" si="9"/>
        <v>7359.9219379753085</v>
      </c>
      <c r="J30" s="20">
        <f t="shared" si="9"/>
        <v>7359.9219379753085</v>
      </c>
      <c r="K30" s="20">
        <f t="shared" si="9"/>
        <v>7359.9219379753085</v>
      </c>
      <c r="L30" s="20">
        <f t="shared" si="9"/>
        <v>7359.9219379753085</v>
      </c>
      <c r="M30" s="20">
        <f t="shared" si="9"/>
        <v>7359.9219379753085</v>
      </c>
      <c r="N30" s="20">
        <f t="shared" si="9"/>
        <v>7359.9219379753085</v>
      </c>
      <c r="O30" s="20">
        <f t="shared" si="9"/>
        <v>7359.9219379753085</v>
      </c>
      <c r="P30" s="20"/>
    </row>
    <row r="31" spans="2:16" x14ac:dyDescent="0.25">
      <c r="B31" s="18" t="s">
        <v>108</v>
      </c>
      <c r="C31" s="19">
        <f t="shared" ref="C31:C32" si="10">+C27</f>
        <v>111.12922701234601</v>
      </c>
      <c r="D31" s="20">
        <f t="shared" ref="D31:O31" si="11">+$C$31*C13</f>
        <v>5778.7198046419926</v>
      </c>
      <c r="E31" s="20">
        <f t="shared" si="11"/>
        <v>5778.7198046419926</v>
      </c>
      <c r="F31" s="20">
        <f t="shared" si="11"/>
        <v>5778.7198046419926</v>
      </c>
      <c r="G31" s="20">
        <f t="shared" si="11"/>
        <v>5778.7198046419926</v>
      </c>
      <c r="H31" s="20">
        <f t="shared" si="11"/>
        <v>5778.7198046419926</v>
      </c>
      <c r="I31" s="20">
        <f t="shared" si="11"/>
        <v>5778.7198046419926</v>
      </c>
      <c r="J31" s="20">
        <f t="shared" si="11"/>
        <v>5778.7198046419926</v>
      </c>
      <c r="K31" s="20">
        <f t="shared" si="11"/>
        <v>5778.7198046419926</v>
      </c>
      <c r="L31" s="20">
        <f t="shared" si="11"/>
        <v>5778.7198046419926</v>
      </c>
      <c r="M31" s="20">
        <f t="shared" si="11"/>
        <v>5778.7198046419926</v>
      </c>
      <c r="N31" s="20">
        <f t="shared" si="11"/>
        <v>5778.7198046419926</v>
      </c>
      <c r="O31" s="20">
        <f t="shared" si="11"/>
        <v>5778.7198046419926</v>
      </c>
      <c r="P31" s="20"/>
    </row>
    <row r="32" spans="2:16" x14ac:dyDescent="0.25">
      <c r="B32" s="18" t="s">
        <v>109</v>
      </c>
      <c r="C32" s="19">
        <f t="shared" si="10"/>
        <v>100.527627012346</v>
      </c>
      <c r="D32" s="20">
        <f t="shared" ref="D32:O32" si="12">+$C$32*C14</f>
        <v>5126.908977629646</v>
      </c>
      <c r="E32" s="20">
        <f t="shared" si="12"/>
        <v>5126.908977629646</v>
      </c>
      <c r="F32" s="20">
        <f t="shared" si="12"/>
        <v>5126.908977629646</v>
      </c>
      <c r="G32" s="20">
        <f t="shared" si="12"/>
        <v>5126.908977629646</v>
      </c>
      <c r="H32" s="20">
        <f t="shared" si="12"/>
        <v>5126.908977629646</v>
      </c>
      <c r="I32" s="20">
        <f t="shared" si="12"/>
        <v>5126.908977629646</v>
      </c>
      <c r="J32" s="20">
        <f t="shared" si="12"/>
        <v>5126.908977629646</v>
      </c>
      <c r="K32" s="20">
        <f t="shared" si="12"/>
        <v>5126.908977629646</v>
      </c>
      <c r="L32" s="20">
        <f t="shared" si="12"/>
        <v>5126.908977629646</v>
      </c>
      <c r="M32" s="20">
        <f t="shared" si="12"/>
        <v>5126.908977629646</v>
      </c>
      <c r="N32" s="20">
        <f t="shared" si="12"/>
        <v>5126.908977629646</v>
      </c>
      <c r="O32" s="20">
        <f t="shared" si="12"/>
        <v>5126.908977629646</v>
      </c>
      <c r="P32" s="20"/>
    </row>
    <row r="33" spans="2:16" x14ac:dyDescent="0.25">
      <c r="B33" s="333">
        <v>3</v>
      </c>
      <c r="C33" s="334"/>
      <c r="D33" s="334">
        <f>SUM(D34:D36)</f>
        <v>19183.595203012381</v>
      </c>
      <c r="E33" s="334">
        <f t="shared" ref="E33:O33" si="13">SUM(E34:E36)</f>
        <v>19183.595203012381</v>
      </c>
      <c r="F33" s="334">
        <f t="shared" si="13"/>
        <v>19183.595203012381</v>
      </c>
      <c r="G33" s="334">
        <f t="shared" si="13"/>
        <v>19183.595203012381</v>
      </c>
      <c r="H33" s="334">
        <f t="shared" si="13"/>
        <v>19183.595203012381</v>
      </c>
      <c r="I33" s="334">
        <f t="shared" si="13"/>
        <v>19183.595203012381</v>
      </c>
      <c r="J33" s="334">
        <f t="shared" si="13"/>
        <v>19183.595203012381</v>
      </c>
      <c r="K33" s="334">
        <f t="shared" si="13"/>
        <v>19183.595203012381</v>
      </c>
      <c r="L33" s="334">
        <f t="shared" si="13"/>
        <v>19183.595203012381</v>
      </c>
      <c r="M33" s="334">
        <f t="shared" si="13"/>
        <v>19183.595203012381</v>
      </c>
      <c r="N33" s="334">
        <f t="shared" si="13"/>
        <v>19183.595203012381</v>
      </c>
      <c r="O33" s="334">
        <f t="shared" si="13"/>
        <v>19183.595203012381</v>
      </c>
      <c r="P33" s="334">
        <f>SUM(D33:O33)</f>
        <v>230203.14243614851</v>
      </c>
    </row>
    <row r="34" spans="2:16" x14ac:dyDescent="0.25">
      <c r="B34" s="18" t="s">
        <v>107</v>
      </c>
      <c r="C34" s="19">
        <f>+C26</f>
        <v>141.53696034567901</v>
      </c>
      <c r="D34" s="20">
        <f t="shared" ref="D34:O34" si="14">+$C$34*C16</f>
        <v>7642.9958586666662</v>
      </c>
      <c r="E34" s="20">
        <f t="shared" si="14"/>
        <v>7642.9958586666662</v>
      </c>
      <c r="F34" s="20">
        <f t="shared" si="14"/>
        <v>7642.9958586666662</v>
      </c>
      <c r="G34" s="20">
        <f t="shared" si="14"/>
        <v>7642.9958586666662</v>
      </c>
      <c r="H34" s="20">
        <f t="shared" si="14"/>
        <v>7642.9958586666662</v>
      </c>
      <c r="I34" s="20">
        <f t="shared" si="14"/>
        <v>7642.9958586666662</v>
      </c>
      <c r="J34" s="20">
        <f t="shared" si="14"/>
        <v>7642.9958586666662</v>
      </c>
      <c r="K34" s="20">
        <f t="shared" si="14"/>
        <v>7642.9958586666662</v>
      </c>
      <c r="L34" s="20">
        <f t="shared" si="14"/>
        <v>7642.9958586666662</v>
      </c>
      <c r="M34" s="20">
        <f t="shared" si="14"/>
        <v>7642.9958586666662</v>
      </c>
      <c r="N34" s="20">
        <f t="shared" si="14"/>
        <v>7642.9958586666662</v>
      </c>
      <c r="O34" s="20">
        <f t="shared" si="14"/>
        <v>7642.9958586666662</v>
      </c>
      <c r="P34" s="20"/>
    </row>
    <row r="35" spans="2:16" x14ac:dyDescent="0.25">
      <c r="B35" s="18" t="s">
        <v>108</v>
      </c>
      <c r="C35" s="19">
        <f t="shared" ref="C35:C36" si="15">+C27</f>
        <v>111.12922701234601</v>
      </c>
      <c r="D35" s="20">
        <f t="shared" ref="D35:O35" si="16">+$C$35*C17</f>
        <v>6112.1074856790301</v>
      </c>
      <c r="E35" s="20">
        <f t="shared" si="16"/>
        <v>6112.1074856790301</v>
      </c>
      <c r="F35" s="20">
        <f t="shared" si="16"/>
        <v>6112.1074856790301</v>
      </c>
      <c r="G35" s="20">
        <f t="shared" si="16"/>
        <v>6112.1074856790301</v>
      </c>
      <c r="H35" s="20">
        <f t="shared" si="16"/>
        <v>6112.1074856790301</v>
      </c>
      <c r="I35" s="20">
        <f t="shared" si="16"/>
        <v>6112.1074856790301</v>
      </c>
      <c r="J35" s="20">
        <f t="shared" si="16"/>
        <v>6112.1074856790301</v>
      </c>
      <c r="K35" s="20">
        <f t="shared" si="16"/>
        <v>6112.1074856790301</v>
      </c>
      <c r="L35" s="20">
        <f t="shared" si="16"/>
        <v>6112.1074856790301</v>
      </c>
      <c r="M35" s="20">
        <f t="shared" si="16"/>
        <v>6112.1074856790301</v>
      </c>
      <c r="N35" s="20">
        <f t="shared" si="16"/>
        <v>6112.1074856790301</v>
      </c>
      <c r="O35" s="20">
        <f t="shared" si="16"/>
        <v>6112.1074856790301</v>
      </c>
      <c r="P35" s="20"/>
    </row>
    <row r="36" spans="2:16" x14ac:dyDescent="0.25">
      <c r="B36" s="18" t="s">
        <v>109</v>
      </c>
      <c r="C36" s="19">
        <f t="shared" si="15"/>
        <v>100.527627012346</v>
      </c>
      <c r="D36" s="20">
        <f t="shared" ref="D36:O36" si="17">+$C$36*C18</f>
        <v>5428.4918586666845</v>
      </c>
      <c r="E36" s="20">
        <f t="shared" si="17"/>
        <v>5428.4918586666845</v>
      </c>
      <c r="F36" s="20">
        <f t="shared" si="17"/>
        <v>5428.4918586666845</v>
      </c>
      <c r="G36" s="20">
        <f t="shared" si="17"/>
        <v>5428.4918586666845</v>
      </c>
      <c r="H36" s="20">
        <f t="shared" si="17"/>
        <v>5428.4918586666845</v>
      </c>
      <c r="I36" s="20">
        <f t="shared" si="17"/>
        <v>5428.4918586666845</v>
      </c>
      <c r="J36" s="20">
        <f t="shared" si="17"/>
        <v>5428.4918586666845</v>
      </c>
      <c r="K36" s="20">
        <f t="shared" si="17"/>
        <v>5428.4918586666845</v>
      </c>
      <c r="L36" s="20">
        <f t="shared" si="17"/>
        <v>5428.4918586666845</v>
      </c>
      <c r="M36" s="20">
        <f t="shared" si="17"/>
        <v>5428.4918586666845</v>
      </c>
      <c r="N36" s="20">
        <f t="shared" si="17"/>
        <v>5428.4918586666845</v>
      </c>
      <c r="O36" s="20">
        <f t="shared" si="17"/>
        <v>5428.4918586666845</v>
      </c>
      <c r="P36" s="20"/>
    </row>
  </sheetData>
  <mergeCells count="4">
    <mergeCell ref="B2:O2"/>
    <mergeCell ref="B4:O4"/>
    <mergeCell ref="B21:P21"/>
    <mergeCell ref="B23:P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65"/>
  <sheetViews>
    <sheetView topLeftCell="A52" workbookViewId="0">
      <selection activeCell="J65" sqref="J65"/>
    </sheetView>
  </sheetViews>
  <sheetFormatPr baseColWidth="10" defaultRowHeight="15" x14ac:dyDescent="0.25"/>
  <cols>
    <col min="2" max="2" width="35.85546875" customWidth="1"/>
    <col min="3" max="3" width="15.85546875" customWidth="1"/>
    <col min="4" max="4" width="12.7109375" customWidth="1"/>
    <col min="5" max="8" width="13.7109375" customWidth="1"/>
  </cols>
  <sheetData>
    <row r="2" spans="2:8" x14ac:dyDescent="0.25">
      <c r="B2" s="446" t="s">
        <v>367</v>
      </c>
      <c r="C2" s="446"/>
      <c r="D2" s="446"/>
      <c r="E2" s="446"/>
      <c r="F2" s="446"/>
      <c r="G2" s="446"/>
      <c r="H2" s="446"/>
    </row>
    <row r="3" spans="2:8" x14ac:dyDescent="0.25">
      <c r="B3" s="448" t="s">
        <v>368</v>
      </c>
      <c r="C3" s="448"/>
      <c r="D3" s="448"/>
      <c r="E3" s="448"/>
      <c r="F3" s="448"/>
      <c r="G3" s="448"/>
      <c r="H3" s="448"/>
    </row>
    <row r="5" spans="2:8" x14ac:dyDescent="0.25">
      <c r="B5" s="345" t="s">
        <v>23</v>
      </c>
      <c r="C5" s="449" t="s">
        <v>24</v>
      </c>
      <c r="D5" s="450"/>
      <c r="E5" s="451"/>
      <c r="F5" s="345"/>
      <c r="G5" s="345" t="s">
        <v>25</v>
      </c>
      <c r="H5" s="345"/>
    </row>
    <row r="6" spans="2:8" x14ac:dyDescent="0.25">
      <c r="B6" s="345"/>
      <c r="C6" s="345" t="s">
        <v>26</v>
      </c>
      <c r="D6" s="345" t="s">
        <v>27</v>
      </c>
      <c r="E6" s="345" t="s">
        <v>28</v>
      </c>
      <c r="F6" s="345" t="s">
        <v>29</v>
      </c>
      <c r="G6" s="345" t="s">
        <v>30</v>
      </c>
      <c r="H6" s="345" t="s">
        <v>31</v>
      </c>
    </row>
    <row r="7" spans="2:8" x14ac:dyDescent="0.25">
      <c r="B7" s="4" t="s">
        <v>32</v>
      </c>
      <c r="C7" s="4"/>
      <c r="D7" s="4"/>
      <c r="E7" s="4"/>
      <c r="F7" s="6">
        <f>+F9+F14+F25+F31+F35</f>
        <v>12147.083333333332</v>
      </c>
      <c r="G7" s="4"/>
      <c r="H7" s="4"/>
    </row>
    <row r="8" spans="2:8" x14ac:dyDescent="0.25">
      <c r="B8" s="7" t="s">
        <v>33</v>
      </c>
      <c r="C8" s="4"/>
      <c r="D8" s="4"/>
      <c r="E8" s="4"/>
      <c r="F8" s="439">
        <f>+F9+F14+F25+F31</f>
        <v>11504.027777777777</v>
      </c>
      <c r="G8" s="4"/>
      <c r="H8" s="4"/>
    </row>
    <row r="9" spans="2:8" x14ac:dyDescent="0.25">
      <c r="B9" s="7" t="s">
        <v>34</v>
      </c>
      <c r="C9" s="4"/>
      <c r="D9" s="4"/>
      <c r="E9" s="4"/>
      <c r="F9" s="8">
        <f>SUM(F10:F13)</f>
        <v>4402.7777777777774</v>
      </c>
      <c r="G9" s="4"/>
      <c r="H9" s="8">
        <f>+F9</f>
        <v>4402.7777777777774</v>
      </c>
    </row>
    <row r="10" spans="2:8" x14ac:dyDescent="0.25">
      <c r="B10" s="4" t="s">
        <v>35</v>
      </c>
      <c r="C10" s="4" t="s">
        <v>36</v>
      </c>
      <c r="D10" s="4">
        <v>3</v>
      </c>
      <c r="E10" s="5">
        <f>2200/Resumen!C20</f>
        <v>611.11111111111109</v>
      </c>
      <c r="F10" s="6">
        <f t="shared" ref="F10:F62" si="0">+E10*D10</f>
        <v>1833.3333333333333</v>
      </c>
      <c r="G10" s="4"/>
      <c r="H10" s="4"/>
    </row>
    <row r="11" spans="2:8" x14ac:dyDescent="0.25">
      <c r="B11" s="4" t="s">
        <v>346</v>
      </c>
      <c r="C11" s="4" t="s">
        <v>36</v>
      </c>
      <c r="D11" s="4">
        <v>1</v>
      </c>
      <c r="E11" s="5">
        <f>2500/Resumen!C20</f>
        <v>694.44444444444446</v>
      </c>
      <c r="F11" s="6">
        <f>+D11*E11</f>
        <v>694.44444444444446</v>
      </c>
      <c r="G11" s="4"/>
      <c r="H11" s="4"/>
    </row>
    <row r="12" spans="2:8" x14ac:dyDescent="0.25">
      <c r="B12" s="4" t="s">
        <v>37</v>
      </c>
      <c r="C12" s="4" t="s">
        <v>36</v>
      </c>
      <c r="D12" s="4">
        <v>5</v>
      </c>
      <c r="E12" s="5">
        <v>41.666666666666664</v>
      </c>
      <c r="F12" s="6">
        <f t="shared" si="0"/>
        <v>208.33333333333331</v>
      </c>
      <c r="G12" s="4"/>
      <c r="H12" s="4"/>
    </row>
    <row r="13" spans="2:8" x14ac:dyDescent="0.25">
      <c r="B13" s="4" t="s">
        <v>347</v>
      </c>
      <c r="C13" s="4" t="s">
        <v>36</v>
      </c>
      <c r="D13" s="4">
        <v>4</v>
      </c>
      <c r="E13" s="5">
        <f>1500/Resumen!C20</f>
        <v>416.66666666666663</v>
      </c>
      <c r="F13" s="6">
        <f>+E13*D13</f>
        <v>1666.6666666666665</v>
      </c>
      <c r="G13" s="4"/>
      <c r="H13" s="4"/>
    </row>
    <row r="14" spans="2:8" x14ac:dyDescent="0.25">
      <c r="B14" s="7" t="s">
        <v>38</v>
      </c>
      <c r="C14" s="4"/>
      <c r="D14" s="4"/>
      <c r="E14" s="5"/>
      <c r="F14" s="8">
        <f>SUM(F15:F24)</f>
        <v>1270.6944444444446</v>
      </c>
      <c r="G14" s="4"/>
      <c r="H14" s="8">
        <f>+F14</f>
        <v>1270.6944444444446</v>
      </c>
    </row>
    <row r="15" spans="2:8" x14ac:dyDescent="0.25">
      <c r="B15" s="4" t="s">
        <v>39</v>
      </c>
      <c r="C15" s="4" t="s">
        <v>36</v>
      </c>
      <c r="D15" s="4">
        <v>60</v>
      </c>
      <c r="E15" s="6">
        <v>0.19444444444444442</v>
      </c>
      <c r="F15" s="6">
        <f t="shared" si="0"/>
        <v>11.666666666666664</v>
      </c>
      <c r="G15" s="4"/>
      <c r="H15" s="4"/>
    </row>
    <row r="16" spans="2:8" x14ac:dyDescent="0.25">
      <c r="B16" s="4" t="s">
        <v>40</v>
      </c>
      <c r="C16" s="4" t="s">
        <v>36</v>
      </c>
      <c r="D16" s="4">
        <v>12</v>
      </c>
      <c r="E16" s="6">
        <v>0.34722222222222221</v>
      </c>
      <c r="F16" s="6">
        <f t="shared" si="0"/>
        <v>4.1666666666666661</v>
      </c>
      <c r="G16" s="4"/>
      <c r="H16" s="4"/>
    </row>
    <row r="17" spans="2:8" x14ac:dyDescent="0.25">
      <c r="B17" s="4" t="s">
        <v>41</v>
      </c>
      <c r="C17" s="4" t="s">
        <v>36</v>
      </c>
      <c r="D17" s="4">
        <v>25</v>
      </c>
      <c r="E17" s="6">
        <v>1.6666666666666665</v>
      </c>
      <c r="F17" s="6">
        <f t="shared" si="0"/>
        <v>41.666666666666664</v>
      </c>
      <c r="G17" s="4"/>
      <c r="H17" s="4"/>
    </row>
    <row r="18" spans="2:8" x14ac:dyDescent="0.25">
      <c r="B18" s="4" t="s">
        <v>42</v>
      </c>
      <c r="C18" s="4" t="s">
        <v>36</v>
      </c>
      <c r="D18" s="4">
        <v>25</v>
      </c>
      <c r="E18" s="6">
        <v>1.3888888888888888</v>
      </c>
      <c r="F18" s="6">
        <f t="shared" si="0"/>
        <v>34.722222222222221</v>
      </c>
      <c r="G18" s="4"/>
      <c r="H18" s="4"/>
    </row>
    <row r="19" spans="2:8" x14ac:dyDescent="0.25">
      <c r="B19" s="4" t="s">
        <v>43</v>
      </c>
      <c r="C19" s="4" t="s">
        <v>36</v>
      </c>
      <c r="D19" s="4">
        <v>25</v>
      </c>
      <c r="E19" s="6">
        <v>1.3888888888888888</v>
      </c>
      <c r="F19" s="6">
        <f t="shared" si="0"/>
        <v>34.722222222222221</v>
      </c>
      <c r="G19" s="4"/>
      <c r="H19" s="4"/>
    </row>
    <row r="20" spans="2:8" x14ac:dyDescent="0.25">
      <c r="B20" s="4" t="s">
        <v>44</v>
      </c>
      <c r="C20" s="4" t="s">
        <v>36</v>
      </c>
      <c r="D20" s="4">
        <v>25</v>
      </c>
      <c r="E20" s="6">
        <v>1.3888888888888888</v>
      </c>
      <c r="F20" s="6">
        <f t="shared" si="0"/>
        <v>34.722222222222221</v>
      </c>
      <c r="G20" s="4"/>
      <c r="H20" s="4"/>
    </row>
    <row r="21" spans="2:8" x14ac:dyDescent="0.25">
      <c r="B21" s="4" t="s">
        <v>45</v>
      </c>
      <c r="C21" s="4" t="s">
        <v>36</v>
      </c>
      <c r="D21" s="4">
        <v>25</v>
      </c>
      <c r="E21" s="6">
        <v>0.3611111111111111</v>
      </c>
      <c r="F21" s="6">
        <f t="shared" si="0"/>
        <v>9.0277777777777768</v>
      </c>
      <c r="G21" s="4"/>
      <c r="H21" s="4"/>
    </row>
    <row r="22" spans="2:8" x14ac:dyDescent="0.25">
      <c r="B22" s="4" t="s">
        <v>46</v>
      </c>
      <c r="C22" s="4" t="s">
        <v>36</v>
      </c>
      <c r="D22" s="4">
        <v>5</v>
      </c>
      <c r="E22" s="6">
        <v>6.1111111111111107</v>
      </c>
      <c r="F22" s="6">
        <f t="shared" si="0"/>
        <v>30.555555555555554</v>
      </c>
      <c r="G22" s="4"/>
      <c r="H22" s="4"/>
    </row>
    <row r="23" spans="2:8" x14ac:dyDescent="0.25">
      <c r="B23" s="4" t="s">
        <v>47</v>
      </c>
      <c r="C23" s="4" t="s">
        <v>36</v>
      </c>
      <c r="D23" s="4">
        <v>25</v>
      </c>
      <c r="E23" s="6">
        <v>1.1111111111111112</v>
      </c>
      <c r="F23" s="6">
        <f t="shared" si="0"/>
        <v>27.777777777777779</v>
      </c>
      <c r="G23" s="4"/>
      <c r="H23" s="4"/>
    </row>
    <row r="24" spans="2:8" x14ac:dyDescent="0.25">
      <c r="B24" s="4" t="s">
        <v>38</v>
      </c>
      <c r="C24" s="4" t="s">
        <v>36</v>
      </c>
      <c r="D24" s="4">
        <v>250</v>
      </c>
      <c r="E24" s="6">
        <f>15/Resumen!C20</f>
        <v>4.166666666666667</v>
      </c>
      <c r="F24" s="6">
        <f>+D24*E24</f>
        <v>1041.6666666666667</v>
      </c>
      <c r="G24" s="4"/>
      <c r="H24" s="4"/>
    </row>
    <row r="25" spans="2:8" x14ac:dyDescent="0.25">
      <c r="B25" s="7" t="s">
        <v>48</v>
      </c>
      <c r="C25" s="4"/>
      <c r="D25" s="4"/>
      <c r="E25" s="5"/>
      <c r="F25" s="8">
        <f>SUM(F26:F30)</f>
        <v>1275</v>
      </c>
      <c r="G25" s="4"/>
      <c r="H25" s="6">
        <f>+F25</f>
        <v>1275</v>
      </c>
    </row>
    <row r="26" spans="2:8" x14ac:dyDescent="0.25">
      <c r="B26" s="4" t="s">
        <v>49</v>
      </c>
      <c r="C26" s="4" t="s">
        <v>36</v>
      </c>
      <c r="D26" s="4">
        <v>7</v>
      </c>
      <c r="E26" s="5">
        <v>15</v>
      </c>
      <c r="F26" s="6">
        <f t="shared" si="0"/>
        <v>105</v>
      </c>
      <c r="G26" s="4"/>
      <c r="H26" s="4"/>
    </row>
    <row r="27" spans="2:8" x14ac:dyDescent="0.25">
      <c r="B27" s="4" t="s">
        <v>50</v>
      </c>
      <c r="C27" s="4" t="s">
        <v>36</v>
      </c>
      <c r="D27" s="4">
        <v>15</v>
      </c>
      <c r="E27" s="5">
        <v>10</v>
      </c>
      <c r="F27" s="6">
        <f t="shared" si="0"/>
        <v>150</v>
      </c>
      <c r="G27" s="4"/>
      <c r="H27" s="4"/>
    </row>
    <row r="28" spans="2:8" x14ac:dyDescent="0.25">
      <c r="B28" s="4" t="s">
        <v>345</v>
      </c>
      <c r="C28" s="4" t="s">
        <v>36</v>
      </c>
      <c r="D28" s="4">
        <v>4</v>
      </c>
      <c r="E28" s="5">
        <v>150</v>
      </c>
      <c r="F28" s="6">
        <f t="shared" si="0"/>
        <v>600</v>
      </c>
      <c r="G28" s="4"/>
      <c r="H28" s="4"/>
    </row>
    <row r="29" spans="2:8" x14ac:dyDescent="0.25">
      <c r="B29" s="4" t="s">
        <v>51</v>
      </c>
      <c r="C29" s="4" t="s">
        <v>36</v>
      </c>
      <c r="D29" s="4">
        <v>4</v>
      </c>
      <c r="E29" s="5">
        <v>30</v>
      </c>
      <c r="F29" s="6">
        <f t="shared" si="0"/>
        <v>120</v>
      </c>
      <c r="G29" s="4"/>
      <c r="H29" s="4"/>
    </row>
    <row r="30" spans="2:8" x14ac:dyDescent="0.25">
      <c r="B30" s="4" t="s">
        <v>52</v>
      </c>
      <c r="C30" s="4" t="s">
        <v>36</v>
      </c>
      <c r="D30" s="4">
        <v>5</v>
      </c>
      <c r="E30" s="5">
        <v>60</v>
      </c>
      <c r="F30" s="6">
        <f t="shared" si="0"/>
        <v>300</v>
      </c>
      <c r="G30" s="4"/>
      <c r="H30" s="4"/>
    </row>
    <row r="31" spans="2:8" x14ac:dyDescent="0.25">
      <c r="B31" s="7" t="s">
        <v>53</v>
      </c>
      <c r="C31" s="4"/>
      <c r="D31" s="4"/>
      <c r="E31" s="4"/>
      <c r="F31" s="435">
        <f>SUM(F32:F34)</f>
        <v>4555.5555555555547</v>
      </c>
      <c r="G31" s="4"/>
      <c r="H31" s="6">
        <f>+F31</f>
        <v>4555.5555555555547</v>
      </c>
    </row>
    <row r="32" spans="2:8" x14ac:dyDescent="0.25">
      <c r="B32" s="4" t="s">
        <v>54</v>
      </c>
      <c r="C32" s="4" t="s">
        <v>36</v>
      </c>
      <c r="D32" s="4">
        <v>4</v>
      </c>
      <c r="E32" s="177">
        <v>833.33333333333326</v>
      </c>
      <c r="F32" s="177">
        <f t="shared" si="0"/>
        <v>3333.333333333333</v>
      </c>
      <c r="G32" s="4"/>
      <c r="H32" s="4"/>
    </row>
    <row r="33" spans="2:8" x14ac:dyDescent="0.25">
      <c r="B33" s="4" t="s">
        <v>55</v>
      </c>
      <c r="C33" s="4" t="s">
        <v>36</v>
      </c>
      <c r="D33" s="4">
        <v>2</v>
      </c>
      <c r="E33" s="177">
        <v>194.44444444444443</v>
      </c>
      <c r="F33" s="177">
        <f t="shared" si="0"/>
        <v>388.88888888888886</v>
      </c>
      <c r="G33" s="4"/>
      <c r="H33" s="4"/>
    </row>
    <row r="34" spans="2:8" x14ac:dyDescent="0.25">
      <c r="B34" s="4" t="s">
        <v>56</v>
      </c>
      <c r="C34" s="4" t="s">
        <v>36</v>
      </c>
      <c r="D34" s="4">
        <v>1</v>
      </c>
      <c r="E34" s="177">
        <v>833.33333333333326</v>
      </c>
      <c r="F34" s="177">
        <f t="shared" si="0"/>
        <v>833.33333333333326</v>
      </c>
      <c r="G34" s="4"/>
      <c r="H34" s="4"/>
    </row>
    <row r="35" spans="2:8" x14ac:dyDescent="0.25">
      <c r="B35" s="7" t="s">
        <v>57</v>
      </c>
      <c r="C35" s="4"/>
      <c r="D35" s="4"/>
      <c r="E35" s="4"/>
      <c r="F35" s="439">
        <f>SUM(F36:F41)</f>
        <v>643.05555555555554</v>
      </c>
      <c r="G35" s="6">
        <f>F35</f>
        <v>643.05555555555554</v>
      </c>
      <c r="H35" s="6"/>
    </row>
    <row r="36" spans="2:8" x14ac:dyDescent="0.25">
      <c r="B36" s="4" t="s">
        <v>58</v>
      </c>
      <c r="C36" s="4"/>
      <c r="D36" s="4">
        <v>1</v>
      </c>
      <c r="E36" s="4">
        <v>250</v>
      </c>
      <c r="F36" s="6">
        <f t="shared" si="0"/>
        <v>250</v>
      </c>
      <c r="G36" s="4"/>
      <c r="H36" s="4"/>
    </row>
    <row r="37" spans="2:8" x14ac:dyDescent="0.25">
      <c r="B37" s="4" t="s">
        <v>59</v>
      </c>
      <c r="C37" s="4"/>
      <c r="D37" s="4">
        <v>1</v>
      </c>
      <c r="E37" s="193">
        <v>55.555555555555557</v>
      </c>
      <c r="F37" s="6">
        <f t="shared" si="0"/>
        <v>55.555555555555557</v>
      </c>
      <c r="G37" s="4"/>
      <c r="H37" s="4"/>
    </row>
    <row r="38" spans="2:8" x14ac:dyDescent="0.25">
      <c r="B38" s="4" t="s">
        <v>60</v>
      </c>
      <c r="C38" s="4"/>
      <c r="D38" s="4">
        <v>1</v>
      </c>
      <c r="E38" s="193">
        <v>4.166666666666667</v>
      </c>
      <c r="F38" s="6">
        <f t="shared" si="0"/>
        <v>4.166666666666667</v>
      </c>
      <c r="G38" s="4"/>
      <c r="H38" s="4"/>
    </row>
    <row r="39" spans="2:8" x14ac:dyDescent="0.25">
      <c r="B39" s="4" t="s">
        <v>61</v>
      </c>
      <c r="C39" s="4"/>
      <c r="D39" s="4">
        <v>1</v>
      </c>
      <c r="E39" s="193">
        <v>138.88888888888889</v>
      </c>
      <c r="F39" s="6">
        <f t="shared" si="0"/>
        <v>138.88888888888889</v>
      </c>
      <c r="G39" s="4"/>
      <c r="H39" s="4"/>
    </row>
    <row r="40" spans="2:8" x14ac:dyDescent="0.25">
      <c r="B40" s="4" t="s">
        <v>62</v>
      </c>
      <c r="C40" s="4"/>
      <c r="D40" s="4">
        <v>1</v>
      </c>
      <c r="E40" s="193">
        <v>138.88888888888889</v>
      </c>
      <c r="F40" s="6">
        <f t="shared" si="0"/>
        <v>138.88888888888889</v>
      </c>
      <c r="G40" s="4"/>
      <c r="H40" s="4"/>
    </row>
    <row r="41" spans="2:8" x14ac:dyDescent="0.25">
      <c r="B41" s="4" t="s">
        <v>63</v>
      </c>
      <c r="C41" s="4"/>
      <c r="D41" s="4">
        <v>1</v>
      </c>
      <c r="E41" s="193">
        <v>55.555555555555557</v>
      </c>
      <c r="F41" s="6">
        <f t="shared" si="0"/>
        <v>55.555555555555557</v>
      </c>
      <c r="G41" s="4"/>
      <c r="H41" s="4"/>
    </row>
    <row r="42" spans="2:8" x14ac:dyDescent="0.25">
      <c r="B42" s="7" t="s">
        <v>64</v>
      </c>
      <c r="C42" s="4"/>
      <c r="D42" s="4"/>
      <c r="E42" s="4"/>
      <c r="F42" s="8">
        <f>+F31+F25+F14+F9</f>
        <v>11504.027777777777</v>
      </c>
      <c r="G42" s="4"/>
      <c r="H42" s="4"/>
    </row>
    <row r="43" spans="2:8" x14ac:dyDescent="0.25">
      <c r="B43" s="322" t="s">
        <v>426</v>
      </c>
      <c r="C43" s="323"/>
      <c r="D43" s="323"/>
      <c r="E43" s="323"/>
      <c r="F43" s="324">
        <f>+F44+F48+F52+F58</f>
        <v>15481.309472222223</v>
      </c>
      <c r="G43" s="323"/>
      <c r="H43" s="323"/>
    </row>
    <row r="44" spans="2:8" x14ac:dyDescent="0.25">
      <c r="B44" s="4" t="s">
        <v>65</v>
      </c>
      <c r="C44" s="4"/>
      <c r="D44" s="4"/>
      <c r="E44" s="4"/>
      <c r="F44" s="8">
        <f>SUM(F45:F47)</f>
        <v>7634.9205833333326</v>
      </c>
      <c r="G44" s="6">
        <v>6500</v>
      </c>
      <c r="H44" s="6">
        <f>+F44-G44</f>
        <v>1134.9205833333326</v>
      </c>
    </row>
    <row r="45" spans="2:8" x14ac:dyDescent="0.25">
      <c r="B45" s="4" t="s">
        <v>66</v>
      </c>
      <c r="C45" s="4"/>
      <c r="D45" s="4">
        <v>50</v>
      </c>
      <c r="E45" s="4">
        <f>+'Costo de producción'!C8</f>
        <v>67.539470555555553</v>
      </c>
      <c r="F45" s="6">
        <f t="shared" si="0"/>
        <v>3376.9735277777777</v>
      </c>
      <c r="G45" s="4"/>
      <c r="H45" s="4"/>
    </row>
    <row r="46" spans="2:8" x14ac:dyDescent="0.25">
      <c r="B46" s="4" t="s">
        <v>67</v>
      </c>
      <c r="C46" s="4"/>
      <c r="D46" s="4">
        <v>50</v>
      </c>
      <c r="E46" s="4">
        <f>+'Costo de producción'!C13</f>
        <v>44.919470555555556</v>
      </c>
      <c r="F46" s="6">
        <f t="shared" si="0"/>
        <v>2245.9735277777777</v>
      </c>
      <c r="G46" s="4"/>
      <c r="H46" s="4"/>
    </row>
    <row r="47" spans="2:8" x14ac:dyDescent="0.25">
      <c r="B47" s="4" t="s">
        <v>68</v>
      </c>
      <c r="C47" s="4"/>
      <c r="D47" s="4">
        <v>50</v>
      </c>
      <c r="E47" s="4">
        <f>+'Costo de producción'!C18</f>
        <v>40.239470555555556</v>
      </c>
      <c r="F47" s="6">
        <f t="shared" si="0"/>
        <v>2011.9735277777777</v>
      </c>
      <c r="G47" s="4"/>
      <c r="H47" s="4"/>
    </row>
    <row r="48" spans="2:8" x14ac:dyDescent="0.25">
      <c r="B48" s="7" t="s">
        <v>69</v>
      </c>
      <c r="C48" s="7"/>
      <c r="D48" s="7"/>
      <c r="E48" s="7"/>
      <c r="F48" s="8">
        <f>SUM(F49:F51)</f>
        <v>3263.8888888888901</v>
      </c>
      <c r="G48" s="6">
        <f>+F48</f>
        <v>3263.8888888888901</v>
      </c>
      <c r="H48" s="4"/>
    </row>
    <row r="49" spans="2:9" x14ac:dyDescent="0.25">
      <c r="B49" s="4" t="s">
        <v>66</v>
      </c>
      <c r="C49" s="4"/>
      <c r="D49" s="4">
        <v>50</v>
      </c>
      <c r="E49" s="4">
        <f>+Resumen!C16</f>
        <v>25</v>
      </c>
      <c r="F49" s="6">
        <f t="shared" si="0"/>
        <v>1250</v>
      </c>
      <c r="G49" s="4"/>
      <c r="H49" s="4"/>
    </row>
    <row r="50" spans="2:9" x14ac:dyDescent="0.25">
      <c r="B50" s="4" t="s">
        <v>67</v>
      </c>
      <c r="C50" s="4"/>
      <c r="D50" s="4">
        <v>50</v>
      </c>
      <c r="E50" s="6">
        <f>+Resumen!C17</f>
        <v>22.2222222222222</v>
      </c>
      <c r="F50" s="6">
        <f t="shared" si="0"/>
        <v>1111.1111111111099</v>
      </c>
      <c r="G50" s="4"/>
      <c r="H50" s="4"/>
    </row>
    <row r="51" spans="2:9" x14ac:dyDescent="0.25">
      <c r="B51" s="4" t="s">
        <v>68</v>
      </c>
      <c r="C51" s="4"/>
      <c r="D51" s="4">
        <v>50</v>
      </c>
      <c r="E51" s="6">
        <f>+Resumen!C18</f>
        <v>18.0555555555556</v>
      </c>
      <c r="F51" s="6">
        <f t="shared" si="0"/>
        <v>902.77777777777999</v>
      </c>
      <c r="G51" s="4"/>
      <c r="H51" s="4"/>
    </row>
    <row r="52" spans="2:9" x14ac:dyDescent="0.25">
      <c r="B52" s="7" t="s">
        <v>70</v>
      </c>
      <c r="C52" s="4"/>
      <c r="D52" s="4"/>
      <c r="E52" s="4"/>
      <c r="F52" s="8">
        <f>SUM(F53:F57)</f>
        <v>2808.3333333333335</v>
      </c>
      <c r="G52" s="6">
        <f>F52</f>
        <v>2808.3333333333335</v>
      </c>
      <c r="H52" s="6"/>
    </row>
    <row r="53" spans="2:9" x14ac:dyDescent="0.25">
      <c r="B53" s="4" t="s">
        <v>71</v>
      </c>
      <c r="C53" s="4"/>
      <c r="D53" s="4">
        <v>1</v>
      </c>
      <c r="E53" s="122">
        <f>+'Gastos operativos'!D8</f>
        <v>2295</v>
      </c>
      <c r="F53" s="6">
        <f>+E53*D53</f>
        <v>2295</v>
      </c>
      <c r="G53" s="4"/>
      <c r="H53" s="4"/>
    </row>
    <row r="54" spans="2:9" x14ac:dyDescent="0.25">
      <c r="B54" s="4" t="s">
        <v>72</v>
      </c>
      <c r="C54" s="4"/>
      <c r="D54" s="4">
        <v>1</v>
      </c>
      <c r="E54" s="41">
        <f>+'Gastos operativos'!D9</f>
        <v>416.66666666666663</v>
      </c>
      <c r="F54" s="6">
        <f t="shared" si="0"/>
        <v>416.66666666666663</v>
      </c>
      <c r="G54" s="4"/>
      <c r="H54" s="4"/>
    </row>
    <row r="55" spans="2:9" x14ac:dyDescent="0.25">
      <c r="B55" s="4" t="s">
        <v>73</v>
      </c>
      <c r="C55" s="4"/>
      <c r="D55" s="4">
        <v>1</v>
      </c>
      <c r="E55" s="41">
        <f>+'Gastos operativos'!D10</f>
        <v>66.111111111111114</v>
      </c>
      <c r="F55" s="6">
        <f t="shared" si="0"/>
        <v>66.111111111111114</v>
      </c>
      <c r="G55" s="4"/>
      <c r="H55" s="4"/>
    </row>
    <row r="56" spans="2:9" x14ac:dyDescent="0.25">
      <c r="B56" s="4" t="s">
        <v>74</v>
      </c>
      <c r="C56" s="4"/>
      <c r="D56" s="4">
        <v>1</v>
      </c>
      <c r="E56" s="41">
        <f>+'Gastos operativos'!D11</f>
        <v>22.222222222222221</v>
      </c>
      <c r="F56" s="6">
        <f t="shared" si="0"/>
        <v>22.222222222222221</v>
      </c>
      <c r="G56" s="4"/>
      <c r="H56" s="4"/>
    </row>
    <row r="57" spans="2:9" x14ac:dyDescent="0.25">
      <c r="B57" s="4" t="s">
        <v>75</v>
      </c>
      <c r="C57" s="4"/>
      <c r="D57" s="4">
        <v>1</v>
      </c>
      <c r="E57" s="41">
        <f>+'Gastos operativos'!D12</f>
        <v>8.3333333333333339</v>
      </c>
      <c r="F57" s="6">
        <f t="shared" si="0"/>
        <v>8.3333333333333339</v>
      </c>
      <c r="G57" s="4"/>
      <c r="H57" s="4"/>
    </row>
    <row r="58" spans="2:9" x14ac:dyDescent="0.25">
      <c r="B58" s="7" t="s">
        <v>76</v>
      </c>
      <c r="C58" s="4"/>
      <c r="D58" s="4"/>
      <c r="E58" s="4"/>
      <c r="F58" s="8">
        <f>SUM(F59:F62)</f>
        <v>1774.1666666666665</v>
      </c>
      <c r="G58" s="6">
        <f>F58</f>
        <v>1774.1666666666665</v>
      </c>
      <c r="H58" s="6"/>
    </row>
    <row r="59" spans="2:9" x14ac:dyDescent="0.25">
      <c r="B59" s="4" t="s">
        <v>71</v>
      </c>
      <c r="C59" s="4"/>
      <c r="D59" s="4">
        <v>1</v>
      </c>
      <c r="E59" s="122">
        <f>+'Gastos operativos'!D16</f>
        <v>607.5</v>
      </c>
      <c r="F59" s="6">
        <f t="shared" si="0"/>
        <v>607.5</v>
      </c>
      <c r="G59" s="4"/>
      <c r="H59" s="4"/>
    </row>
    <row r="60" spans="2:9" x14ac:dyDescent="0.25">
      <c r="B60" s="4" t="s">
        <v>77</v>
      </c>
      <c r="C60" s="4"/>
      <c r="D60" s="4">
        <v>1</v>
      </c>
      <c r="E60" s="122">
        <f>+'Gastos operativos'!D17</f>
        <v>972.22222222222217</v>
      </c>
      <c r="F60" s="6">
        <f t="shared" si="0"/>
        <v>972.22222222222217</v>
      </c>
      <c r="G60" s="4"/>
      <c r="H60" s="4"/>
    </row>
    <row r="61" spans="2:9" x14ac:dyDescent="0.25">
      <c r="B61" s="4" t="s">
        <v>78</v>
      </c>
      <c r="C61" s="4"/>
      <c r="D61" s="4">
        <v>1</v>
      </c>
      <c r="E61" s="122">
        <f>+'Gastos operativos'!D18</f>
        <v>111.11111111111113</v>
      </c>
      <c r="F61" s="6">
        <f t="shared" si="0"/>
        <v>111.11111111111113</v>
      </c>
      <c r="G61" s="4"/>
      <c r="H61" s="4"/>
    </row>
    <row r="62" spans="2:9" x14ac:dyDescent="0.25">
      <c r="B62" s="4" t="s">
        <v>79</v>
      </c>
      <c r="C62" s="4"/>
      <c r="D62" s="4">
        <v>1</v>
      </c>
      <c r="E62" s="122">
        <f>+'Gastos operativos'!D19</f>
        <v>83.333333333333329</v>
      </c>
      <c r="F62" s="6">
        <f t="shared" si="0"/>
        <v>83.333333333333329</v>
      </c>
      <c r="G62" s="4"/>
      <c r="H62" s="4"/>
    </row>
    <row r="63" spans="2:9" x14ac:dyDescent="0.25">
      <c r="B63" s="7" t="s">
        <v>80</v>
      </c>
      <c r="C63" s="7"/>
      <c r="D63" s="7"/>
      <c r="E63" s="7"/>
      <c r="F63" s="8">
        <f>+F58+F52+F48+F44</f>
        <v>15481.309472222223</v>
      </c>
      <c r="G63" s="7"/>
      <c r="H63" s="7"/>
    </row>
    <row r="64" spans="2:9" x14ac:dyDescent="0.25">
      <c r="B64" s="325" t="s">
        <v>81</v>
      </c>
      <c r="C64" s="325"/>
      <c r="D64" s="325"/>
      <c r="E64" s="325"/>
      <c r="F64" s="348">
        <f>+F63+F7</f>
        <v>27628.392805555555</v>
      </c>
      <c r="G64" s="348">
        <f>SUM(G7:G63)</f>
        <v>14989.444444444445</v>
      </c>
      <c r="H64" s="440">
        <f>SUM(H7:H63)</f>
        <v>12638.94836111111</v>
      </c>
      <c r="I64" s="373"/>
    </row>
    <row r="65" spans="7:8" x14ac:dyDescent="0.25">
      <c r="G65" s="230">
        <f>+G64/F64</f>
        <v>0.54253769120548867</v>
      </c>
      <c r="H65" s="230">
        <f>+H64/F64</f>
        <v>0.45746230879451133</v>
      </c>
    </row>
  </sheetData>
  <mergeCells count="3">
    <mergeCell ref="B2:H2"/>
    <mergeCell ref="B3:H3"/>
    <mergeCell ref="C5:E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9"/>
  <sheetViews>
    <sheetView zoomScaleNormal="100" workbookViewId="0">
      <selection activeCell="G13" sqref="G13"/>
    </sheetView>
  </sheetViews>
  <sheetFormatPr baseColWidth="10" defaultRowHeight="15" x14ac:dyDescent="0.25"/>
  <cols>
    <col min="1" max="1" width="3.7109375" customWidth="1"/>
    <col min="2" max="2" width="23.140625" customWidth="1"/>
    <col min="3" max="4" width="12.5703125" customWidth="1"/>
    <col min="5" max="5" width="14.5703125" customWidth="1"/>
    <col min="6" max="6" width="14.7109375" customWidth="1"/>
    <col min="7" max="7" width="13.140625" customWidth="1"/>
    <col min="8" max="8" width="12.5703125" customWidth="1"/>
  </cols>
  <sheetData>
    <row r="1" spans="2:9" ht="15.75" thickBot="1" x14ac:dyDescent="0.3"/>
    <row r="2" spans="2:9" ht="15.75" thickBot="1" x14ac:dyDescent="0.3">
      <c r="B2" s="452" t="s">
        <v>82</v>
      </c>
      <c r="C2" s="452"/>
      <c r="D2" s="452"/>
      <c r="E2" s="452"/>
      <c r="F2" s="452"/>
      <c r="G2" s="452"/>
      <c r="H2" s="452"/>
      <c r="I2" s="426">
        <f>Resumen!C9</f>
        <v>3</v>
      </c>
    </row>
    <row r="3" spans="2:9" ht="15.75" thickBot="1" x14ac:dyDescent="0.3">
      <c r="B3" s="453" t="s">
        <v>83</v>
      </c>
      <c r="C3" s="453"/>
      <c r="D3" s="453"/>
      <c r="E3" s="453"/>
      <c r="F3" s="453"/>
      <c r="G3" s="453"/>
      <c r="H3" s="453"/>
    </row>
    <row r="4" spans="2:9" ht="26.25" thickBot="1" x14ac:dyDescent="0.3">
      <c r="B4" s="339" t="s">
        <v>32</v>
      </c>
      <c r="C4" s="340" t="s">
        <v>84</v>
      </c>
      <c r="D4" s="340" t="s">
        <v>85</v>
      </c>
      <c r="E4" s="340" t="s">
        <v>86</v>
      </c>
      <c r="F4" s="340" t="s">
        <v>87</v>
      </c>
      <c r="G4" s="340" t="s">
        <v>88</v>
      </c>
      <c r="H4" s="341" t="s">
        <v>89</v>
      </c>
    </row>
    <row r="5" spans="2:9" x14ac:dyDescent="0.25">
      <c r="B5" s="10" t="s">
        <v>90</v>
      </c>
      <c r="C5" s="429">
        <f>+'Inversión inicial'!F9</f>
        <v>4402.7777777777774</v>
      </c>
      <c r="D5" s="13">
        <v>5</v>
      </c>
      <c r="E5" s="14">
        <f t="shared" ref="E5:E8" si="0">1/D5</f>
        <v>0.2</v>
      </c>
      <c r="F5" s="427">
        <f t="shared" ref="F5:F8" si="1">+E5*C5</f>
        <v>880.55555555555554</v>
      </c>
      <c r="G5" s="428">
        <f>+F5*$I$2</f>
        <v>2641.6666666666665</v>
      </c>
      <c r="H5" s="430">
        <f>C5-G5</f>
        <v>1761.1111111111109</v>
      </c>
    </row>
    <row r="6" spans="2:9" x14ac:dyDescent="0.25">
      <c r="B6" s="10" t="s">
        <v>38</v>
      </c>
      <c r="C6" s="429">
        <f>+'Inversión inicial'!F14</f>
        <v>1270.6944444444446</v>
      </c>
      <c r="D6" s="13">
        <v>2</v>
      </c>
      <c r="E6" s="14">
        <f t="shared" si="0"/>
        <v>0.5</v>
      </c>
      <c r="F6" s="427">
        <f t="shared" si="1"/>
        <v>635.34722222222229</v>
      </c>
      <c r="G6" s="428">
        <f>+F6*1</f>
        <v>635.34722222222229</v>
      </c>
      <c r="H6" s="430">
        <f>C6-G6</f>
        <v>635.34722222222229</v>
      </c>
    </row>
    <row r="7" spans="2:9" x14ac:dyDescent="0.25">
      <c r="B7" s="10" t="s">
        <v>91</v>
      </c>
      <c r="C7" s="429">
        <f>+'Inversión inicial'!F31</f>
        <v>4555.5555555555547</v>
      </c>
      <c r="D7" s="13">
        <v>3</v>
      </c>
      <c r="E7" s="14">
        <f t="shared" si="0"/>
        <v>0.33333333333333331</v>
      </c>
      <c r="F7" s="427">
        <f t="shared" si="1"/>
        <v>1518.5185185185182</v>
      </c>
      <c r="G7" s="428">
        <f>+F7*I2</f>
        <v>4555.5555555555547</v>
      </c>
      <c r="H7" s="430">
        <f>C7-G7</f>
        <v>0</v>
      </c>
    </row>
    <row r="8" spans="2:9" ht="15.75" thickBot="1" x14ac:dyDescent="0.3">
      <c r="B8" s="10" t="s">
        <v>92</v>
      </c>
      <c r="C8" s="430">
        <f>+'Inversión inicial'!F25</f>
        <v>1275</v>
      </c>
      <c r="D8" s="13">
        <v>5</v>
      </c>
      <c r="E8" s="14">
        <f t="shared" si="0"/>
        <v>0.2</v>
      </c>
      <c r="F8" s="427">
        <f t="shared" si="1"/>
        <v>255</v>
      </c>
      <c r="G8" s="428">
        <f>+F8*$I$2</f>
        <v>765</v>
      </c>
      <c r="H8" s="430">
        <f>C8-G8</f>
        <v>510</v>
      </c>
    </row>
    <row r="9" spans="2:9" ht="15.75" thickBot="1" x14ac:dyDescent="0.3">
      <c r="B9" s="342" t="s">
        <v>29</v>
      </c>
      <c r="C9" s="343"/>
      <c r="D9" s="344"/>
      <c r="E9" s="344"/>
      <c r="F9" s="441">
        <f>SUM(F5:F8)</f>
        <v>3289.4212962962961</v>
      </c>
      <c r="G9" s="343"/>
      <c r="H9" s="442">
        <f>SUM(H5:H8)</f>
        <v>2906.458333333333</v>
      </c>
    </row>
  </sheetData>
  <mergeCells count="2">
    <mergeCell ref="B2:H2"/>
    <mergeCell ref="B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42"/>
  <sheetViews>
    <sheetView topLeftCell="A7" zoomScale="87" zoomScaleNormal="87" workbookViewId="0">
      <selection activeCell="C8" sqref="C8"/>
    </sheetView>
  </sheetViews>
  <sheetFormatPr baseColWidth="10" defaultRowHeight="15" x14ac:dyDescent="0.25"/>
  <cols>
    <col min="1" max="1" width="11.42578125" style="1"/>
    <col min="2" max="2" width="41" style="1" customWidth="1"/>
    <col min="3" max="7" width="14.7109375" style="1" customWidth="1"/>
    <col min="8" max="16384" width="11.42578125" style="1"/>
  </cols>
  <sheetData>
    <row r="2" spans="2:7" x14ac:dyDescent="0.25">
      <c r="B2" s="458" t="s">
        <v>434</v>
      </c>
      <c r="C2" s="458"/>
      <c r="D2" s="458"/>
      <c r="E2" s="458"/>
      <c r="F2" s="458"/>
      <c r="G2" s="458"/>
    </row>
    <row r="4" spans="2:7" x14ac:dyDescent="0.25">
      <c r="B4" s="337" t="s">
        <v>23</v>
      </c>
      <c r="C4" s="456" t="s">
        <v>117</v>
      </c>
      <c r="D4" s="456" t="s">
        <v>118</v>
      </c>
      <c r="E4" s="454" t="s">
        <v>119</v>
      </c>
      <c r="F4" s="455"/>
      <c r="G4" s="335" t="s">
        <v>106</v>
      </c>
    </row>
    <row r="5" spans="2:7" x14ac:dyDescent="0.25">
      <c r="B5" s="335"/>
      <c r="C5" s="457"/>
      <c r="D5" s="457"/>
      <c r="E5" s="335" t="s">
        <v>120</v>
      </c>
      <c r="F5" s="335" t="s">
        <v>121</v>
      </c>
      <c r="G5" s="335"/>
    </row>
    <row r="6" spans="2:7" x14ac:dyDescent="0.25">
      <c r="B6" s="37" t="s">
        <v>122</v>
      </c>
      <c r="C6" s="2"/>
      <c r="D6" s="2"/>
      <c r="E6" s="2"/>
      <c r="F6" s="2"/>
      <c r="G6" s="2"/>
    </row>
    <row r="7" spans="2:7" x14ac:dyDescent="0.25">
      <c r="B7" s="252" t="s">
        <v>123</v>
      </c>
      <c r="C7" s="2"/>
      <c r="D7" s="2"/>
      <c r="E7" s="2"/>
      <c r="F7" s="2">
        <f>+F8+F13+F18</f>
        <v>7634.9205833333335</v>
      </c>
      <c r="G7" s="2">
        <f>+F7</f>
        <v>7634.9205833333335</v>
      </c>
    </row>
    <row r="8" spans="2:7" x14ac:dyDescent="0.25">
      <c r="B8" s="336" t="s">
        <v>124</v>
      </c>
      <c r="C8" s="443">
        <f>SUM(C9:C12)</f>
        <v>67.539470555555553</v>
      </c>
      <c r="D8" s="336"/>
      <c r="E8" s="336"/>
      <c r="F8" s="336">
        <f>SUM(F9:F12)</f>
        <v>3376.9735277777777</v>
      </c>
      <c r="G8" s="336">
        <f t="shared" ref="G8:G23" si="0">+F8</f>
        <v>3376.9735277777777</v>
      </c>
    </row>
    <row r="9" spans="2:7" x14ac:dyDescent="0.25">
      <c r="B9" s="2" t="s">
        <v>125</v>
      </c>
      <c r="C9" s="366">
        <f>+(Resumen!C19/100)*850</f>
        <v>66.3</v>
      </c>
      <c r="D9" s="2">
        <v>50</v>
      </c>
      <c r="E9" s="2"/>
      <c r="F9" s="2">
        <f>+C9*D9</f>
        <v>3315</v>
      </c>
      <c r="G9" s="2">
        <f t="shared" si="0"/>
        <v>3315</v>
      </c>
    </row>
    <row r="10" spans="2:7" x14ac:dyDescent="0.25">
      <c r="B10" s="2" t="s">
        <v>126</v>
      </c>
      <c r="C10" s="366">
        <v>0.27777777777777779</v>
      </c>
      <c r="D10" s="2">
        <v>50</v>
      </c>
      <c r="E10" s="2"/>
      <c r="F10" s="266">
        <f t="shared" ref="F10:F12" si="1">+C10*D10</f>
        <v>13.888888888888889</v>
      </c>
      <c r="G10" s="266">
        <f t="shared" si="0"/>
        <v>13.888888888888889</v>
      </c>
    </row>
    <row r="11" spans="2:7" x14ac:dyDescent="0.25">
      <c r="B11" s="2" t="s">
        <v>127</v>
      </c>
      <c r="C11" s="366">
        <v>0.94329277777777787</v>
      </c>
      <c r="D11" s="2">
        <v>50</v>
      </c>
      <c r="E11" s="2"/>
      <c r="F11" s="266">
        <f t="shared" si="1"/>
        <v>47.164638888888895</v>
      </c>
      <c r="G11" s="266">
        <f t="shared" si="0"/>
        <v>47.164638888888895</v>
      </c>
    </row>
    <row r="12" spans="2:7" x14ac:dyDescent="0.25">
      <c r="B12" s="2" t="s">
        <v>131</v>
      </c>
      <c r="C12" s="2">
        <v>1.84E-2</v>
      </c>
      <c r="D12" s="2">
        <v>50</v>
      </c>
      <c r="E12" s="2"/>
      <c r="F12" s="2">
        <f t="shared" si="1"/>
        <v>0.91999999999999993</v>
      </c>
      <c r="G12" s="2">
        <f t="shared" si="0"/>
        <v>0.91999999999999993</v>
      </c>
    </row>
    <row r="13" spans="2:7" x14ac:dyDescent="0.25">
      <c r="B13" s="336" t="s">
        <v>67</v>
      </c>
      <c r="C13" s="267">
        <f>SUM(C14:C17)</f>
        <v>44.919470555555556</v>
      </c>
      <c r="D13" s="336"/>
      <c r="E13" s="336"/>
      <c r="F13" s="336">
        <f>SUM(F14:F17)</f>
        <v>2245.9735277777777</v>
      </c>
      <c r="G13" s="336">
        <f t="shared" si="0"/>
        <v>2245.9735277777777</v>
      </c>
    </row>
    <row r="14" spans="2:7" x14ac:dyDescent="0.25">
      <c r="B14" s="2" t="s">
        <v>125</v>
      </c>
      <c r="C14" s="2">
        <f>+(Resumen!C19/100)*560</f>
        <v>43.68</v>
      </c>
      <c r="D14" s="2">
        <v>50</v>
      </c>
      <c r="E14" s="2"/>
      <c r="F14" s="2">
        <f>+C14*D14</f>
        <v>2184</v>
      </c>
      <c r="G14" s="2">
        <f t="shared" si="0"/>
        <v>2184</v>
      </c>
    </row>
    <row r="15" spans="2:7" x14ac:dyDescent="0.25">
      <c r="B15" s="2" t="s">
        <v>126</v>
      </c>
      <c r="C15" s="366">
        <v>0.27777777777777801</v>
      </c>
      <c r="D15" s="2">
        <v>50</v>
      </c>
      <c r="E15" s="2"/>
      <c r="F15" s="266">
        <f t="shared" ref="F15:F17" si="2">+C15*D15</f>
        <v>13.8888888888889</v>
      </c>
      <c r="G15" s="266">
        <f t="shared" si="0"/>
        <v>13.8888888888889</v>
      </c>
    </row>
    <row r="16" spans="2:7" x14ac:dyDescent="0.25">
      <c r="B16" s="2" t="s">
        <v>127</v>
      </c>
      <c r="C16" s="366">
        <v>0.94329277777777787</v>
      </c>
      <c r="D16" s="2">
        <v>50</v>
      </c>
      <c r="E16" s="2"/>
      <c r="F16" s="266">
        <f t="shared" si="2"/>
        <v>47.164638888888895</v>
      </c>
      <c r="G16" s="266">
        <f t="shared" si="0"/>
        <v>47.164638888888895</v>
      </c>
    </row>
    <row r="17" spans="2:7" x14ac:dyDescent="0.25">
      <c r="B17" s="2" t="s">
        <v>131</v>
      </c>
      <c r="C17" s="366">
        <v>1.84E-2</v>
      </c>
      <c r="D17" s="2">
        <v>50</v>
      </c>
      <c r="E17" s="2"/>
      <c r="F17" s="2">
        <f t="shared" si="2"/>
        <v>0.91999999999999993</v>
      </c>
      <c r="G17" s="2">
        <f t="shared" si="0"/>
        <v>0.91999999999999993</v>
      </c>
    </row>
    <row r="18" spans="2:7" x14ac:dyDescent="0.25">
      <c r="B18" s="336" t="s">
        <v>68</v>
      </c>
      <c r="C18" s="443">
        <f>SUM(C19:C22)</f>
        <v>40.239470555555556</v>
      </c>
      <c r="D18" s="336"/>
      <c r="E18" s="336"/>
      <c r="F18" s="368">
        <f>SUM(F19:F22)</f>
        <v>2011.9735277777779</v>
      </c>
      <c r="G18" s="368">
        <f t="shared" si="0"/>
        <v>2011.9735277777779</v>
      </c>
    </row>
    <row r="19" spans="2:7" x14ac:dyDescent="0.25">
      <c r="B19" s="2" t="s">
        <v>125</v>
      </c>
      <c r="C19" s="366">
        <f>+(Resumen!C19/100)*500</f>
        <v>39</v>
      </c>
      <c r="D19" s="2">
        <v>50</v>
      </c>
      <c r="E19" s="2"/>
      <c r="F19" s="2">
        <f>+C19*D19</f>
        <v>1950</v>
      </c>
      <c r="G19" s="2">
        <f t="shared" si="0"/>
        <v>1950</v>
      </c>
    </row>
    <row r="20" spans="2:7" x14ac:dyDescent="0.25">
      <c r="B20" s="2" t="s">
        <v>126</v>
      </c>
      <c r="C20" s="366">
        <v>0.27777777777777779</v>
      </c>
      <c r="D20" s="2">
        <v>50</v>
      </c>
      <c r="E20" s="2"/>
      <c r="F20" s="266">
        <f t="shared" ref="F20:F22" si="3">+C20*D20</f>
        <v>13.888888888888889</v>
      </c>
      <c r="G20" s="266">
        <f t="shared" si="0"/>
        <v>13.888888888888889</v>
      </c>
    </row>
    <row r="21" spans="2:7" x14ac:dyDescent="0.25">
      <c r="B21" s="2" t="s">
        <v>127</v>
      </c>
      <c r="C21" s="366">
        <v>0.94329277777777787</v>
      </c>
      <c r="D21" s="2">
        <v>50</v>
      </c>
      <c r="E21" s="2"/>
      <c r="F21" s="266">
        <f t="shared" si="3"/>
        <v>47.164638888888895</v>
      </c>
      <c r="G21" s="266">
        <f t="shared" si="0"/>
        <v>47.164638888888895</v>
      </c>
    </row>
    <row r="22" spans="2:7" x14ac:dyDescent="0.25">
      <c r="B22" s="2" t="s">
        <v>131</v>
      </c>
      <c r="C22" s="2">
        <v>1.84E-2</v>
      </c>
      <c r="D22" s="2">
        <v>50</v>
      </c>
      <c r="E22" s="2"/>
      <c r="F22" s="2">
        <f t="shared" si="3"/>
        <v>0.91999999999999993</v>
      </c>
      <c r="G22" s="2">
        <f t="shared" si="0"/>
        <v>0.91999999999999993</v>
      </c>
    </row>
    <row r="23" spans="2:7" x14ac:dyDescent="0.25">
      <c r="B23" s="2"/>
      <c r="C23" s="2"/>
      <c r="D23" s="2"/>
      <c r="E23" s="2"/>
      <c r="F23" s="2"/>
      <c r="G23" s="2">
        <f t="shared" si="0"/>
        <v>0</v>
      </c>
    </row>
    <row r="24" spans="2:7" x14ac:dyDescent="0.25">
      <c r="B24" s="336" t="s">
        <v>128</v>
      </c>
      <c r="C24" s="336"/>
      <c r="D24" s="336"/>
      <c r="E24" s="336"/>
      <c r="F24" s="336">
        <v>5000</v>
      </c>
      <c r="G24" s="336">
        <f>+F24</f>
        <v>5000</v>
      </c>
    </row>
    <row r="25" spans="2:7" x14ac:dyDescent="0.25">
      <c r="B25" s="2" t="s">
        <v>66</v>
      </c>
      <c r="C25" s="2"/>
      <c r="D25" s="2"/>
      <c r="E25" s="2"/>
      <c r="F25" s="37">
        <f>+F26</f>
        <v>1250</v>
      </c>
      <c r="G25" s="2">
        <f>+F25</f>
        <v>1250</v>
      </c>
    </row>
    <row r="26" spans="2:7" x14ac:dyDescent="0.25">
      <c r="B26" s="2" t="s">
        <v>129</v>
      </c>
      <c r="C26" s="252">
        <f>+Resumen!C16</f>
        <v>25</v>
      </c>
      <c r="D26" s="2">
        <v>50</v>
      </c>
      <c r="E26" s="2"/>
      <c r="F26" s="2">
        <f t="shared" ref="F26:F30" si="4">+C26*D26</f>
        <v>1250</v>
      </c>
      <c r="G26" s="2"/>
    </row>
    <row r="27" spans="2:7" x14ac:dyDescent="0.25">
      <c r="B27" s="2" t="s">
        <v>67</v>
      </c>
      <c r="C27" s="2"/>
      <c r="D27" s="2"/>
      <c r="E27" s="2"/>
      <c r="F27" s="367">
        <f>+F28</f>
        <v>1111.1111111111099</v>
      </c>
      <c r="G27" s="266">
        <f>+F27</f>
        <v>1111.1111111111099</v>
      </c>
    </row>
    <row r="28" spans="2:7" x14ac:dyDescent="0.25">
      <c r="B28" s="2" t="s">
        <v>129</v>
      </c>
      <c r="C28" s="267">
        <f>+Resumen!C17</f>
        <v>22.2222222222222</v>
      </c>
      <c r="D28" s="2">
        <v>50</v>
      </c>
      <c r="E28" s="2"/>
      <c r="F28" s="266">
        <f t="shared" si="4"/>
        <v>1111.1111111111099</v>
      </c>
      <c r="G28" s="266"/>
    </row>
    <row r="29" spans="2:7" x14ac:dyDescent="0.25">
      <c r="B29" s="2" t="s">
        <v>68</v>
      </c>
      <c r="C29" s="266"/>
      <c r="D29" s="2"/>
      <c r="E29" s="2"/>
      <c r="F29" s="367">
        <f>+F30</f>
        <v>902.77777777777999</v>
      </c>
      <c r="G29" s="266">
        <f>+F29</f>
        <v>902.77777777777999</v>
      </c>
    </row>
    <row r="30" spans="2:7" x14ac:dyDescent="0.25">
      <c r="B30" s="2" t="s">
        <v>129</v>
      </c>
      <c r="C30" s="267">
        <f>+Resumen!C18</f>
        <v>18.0555555555556</v>
      </c>
      <c r="D30" s="2">
        <v>50</v>
      </c>
      <c r="E30" s="2"/>
      <c r="F30" s="266">
        <f t="shared" si="4"/>
        <v>902.77777777777999</v>
      </c>
      <c r="G30" s="266"/>
    </row>
    <row r="31" spans="2:7" x14ac:dyDescent="0.25">
      <c r="B31" s="2"/>
      <c r="C31" s="266"/>
      <c r="D31" s="2"/>
      <c r="E31" s="2"/>
      <c r="F31" s="2"/>
      <c r="G31" s="2"/>
    </row>
    <row r="32" spans="2:7" x14ac:dyDescent="0.25">
      <c r="B32" s="37" t="s">
        <v>130</v>
      </c>
      <c r="C32" s="367">
        <v>251.94444444444443</v>
      </c>
      <c r="D32" s="37">
        <v>3</v>
      </c>
      <c r="E32" s="37">
        <v>0</v>
      </c>
      <c r="F32" s="367">
        <f>+F24+F7</f>
        <v>12634.920583333333</v>
      </c>
      <c r="G32" s="367">
        <f>+G24+G7</f>
        <v>12634.920583333333</v>
      </c>
    </row>
    <row r="35" spans="2:7" x14ac:dyDescent="0.25">
      <c r="B35" s="458" t="s">
        <v>265</v>
      </c>
      <c r="C35" s="458"/>
      <c r="D35" s="458"/>
      <c r="E35" s="458"/>
      <c r="F35" s="458"/>
      <c r="G35" s="458"/>
    </row>
    <row r="36" spans="2:7" ht="18.75" thickBot="1" x14ac:dyDescent="0.3">
      <c r="B36" s="201"/>
      <c r="C36" s="201"/>
      <c r="D36" s="201"/>
      <c r="E36" s="201"/>
      <c r="F36" s="201"/>
      <c r="G36" s="202"/>
    </row>
    <row r="37" spans="2:7" ht="15.75" thickBot="1" x14ac:dyDescent="0.3">
      <c r="B37" s="351" t="s">
        <v>266</v>
      </c>
      <c r="C37" s="352">
        <v>1</v>
      </c>
      <c r="D37" s="352">
        <v>2</v>
      </c>
      <c r="E37" s="359">
        <v>3</v>
      </c>
      <c r="F37" s="353"/>
      <c r="G37" s="354"/>
    </row>
    <row r="38" spans="2:7" x14ac:dyDescent="0.25">
      <c r="B38" s="203" t="s">
        <v>267</v>
      </c>
      <c r="C38" s="204"/>
      <c r="D38" s="204"/>
      <c r="E38" s="360"/>
      <c r="F38" s="355"/>
      <c r="G38" s="356"/>
    </row>
    <row r="39" spans="2:7" x14ac:dyDescent="0.25">
      <c r="B39" s="83" t="s">
        <v>268</v>
      </c>
      <c r="C39" s="361">
        <f>+C8*'Presupuesto de ventas'!O8+C13*'Presupuesto de ventas'!O9+'Costo de producción'!C18*'Presupuesto de ventas'!O10</f>
        <v>91619.046999999991</v>
      </c>
      <c r="D39" s="84">
        <f>+C8*'Presupuesto de ventas'!O12+C13*'Presupuesto de ventas'!O13+'Costo de producción'!C18*'Presupuesto de ventas'!O14</f>
        <v>94800.935233333337</v>
      </c>
      <c r="E39" s="362">
        <f>+C8*'Presupuesto de ventas'!O16+C13*'Presupuesto de ventas'!O17+'Costo de producción'!C18*'Presupuesto de ventas'!O18</f>
        <v>99487.604406666665</v>
      </c>
      <c r="F39" s="357"/>
      <c r="G39" s="357"/>
    </row>
    <row r="40" spans="2:7" x14ac:dyDescent="0.25">
      <c r="B40" s="95" t="s">
        <v>269</v>
      </c>
      <c r="C40" s="84">
        <f>+Resumen!C16*'Presupuesto de ventas'!O8+Resumen!C17*'Presupuesto de ventas'!O9+Resumen!C18*'Presupuesto de ventas'!O10</f>
        <v>39166.666666666679</v>
      </c>
      <c r="D40" s="84">
        <f>+Resumen!C16*'Presupuesto de ventas'!O12+Resumen!C17*'Presupuesto de ventas'!O13+Resumen!C18*'Presupuesto de ventas'!O14</f>
        <v>40516.666666666679</v>
      </c>
      <c r="E40" s="362">
        <f>+Resumen!C16*'Presupuesto de ventas'!O16+Resumen!C17*'Presupuesto de ventas'!O17+Resumen!C18*'Presupuesto de ventas'!O18</f>
        <v>42566.666666666679</v>
      </c>
      <c r="F40" s="357"/>
      <c r="G40" s="357"/>
    </row>
    <row r="41" spans="2:7" ht="15.75" thickBot="1" x14ac:dyDescent="0.3">
      <c r="B41" s="205" t="s">
        <v>130</v>
      </c>
      <c r="C41" s="206">
        <f>SUM(C39:C40)</f>
        <v>130785.71366666668</v>
      </c>
      <c r="D41" s="206">
        <f>SUM(D39:D40)</f>
        <v>135317.60190000001</v>
      </c>
      <c r="E41" s="363">
        <f>SUM(E39:E40)</f>
        <v>142054.27107333334</v>
      </c>
      <c r="F41" s="357"/>
      <c r="G41" s="357"/>
    </row>
    <row r="42" spans="2:7" x14ac:dyDescent="0.25">
      <c r="F42" s="358"/>
      <c r="G42" s="358"/>
    </row>
  </sheetData>
  <mergeCells count="5">
    <mergeCell ref="E4:F4"/>
    <mergeCell ref="C4:C5"/>
    <mergeCell ref="D4:D5"/>
    <mergeCell ref="B35:G35"/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K25"/>
  <sheetViews>
    <sheetView topLeftCell="A7" workbookViewId="0">
      <selection activeCell="B13" sqref="B13"/>
    </sheetView>
  </sheetViews>
  <sheetFormatPr baseColWidth="10" defaultColWidth="9.140625" defaultRowHeight="15" x14ac:dyDescent="0.25"/>
  <cols>
    <col min="1" max="1" width="6.140625" style="42" customWidth="1"/>
    <col min="2" max="2" width="31.140625" style="42" customWidth="1"/>
    <col min="3" max="3" width="11.28515625" style="42" customWidth="1"/>
    <col min="4" max="4" width="9.85546875" style="42" customWidth="1"/>
    <col min="5" max="5" width="12.42578125" style="42" customWidth="1"/>
    <col min="6" max="6" width="9.85546875" style="43" customWidth="1"/>
    <col min="7" max="7" width="9.85546875" style="42" customWidth="1"/>
    <col min="8" max="8" width="11.85546875" style="42" customWidth="1"/>
    <col min="9" max="9" width="9.7109375" style="42" customWidth="1"/>
    <col min="10" max="11" width="11.5703125" style="42" bestFit="1" customWidth="1"/>
    <col min="12" max="256" width="9.140625" style="42"/>
    <col min="257" max="257" width="6.140625" style="42" customWidth="1"/>
    <col min="258" max="258" width="31.140625" style="42" customWidth="1"/>
    <col min="259" max="259" width="11.28515625" style="42" customWidth="1"/>
    <col min="260" max="260" width="9.85546875" style="42" customWidth="1"/>
    <col min="261" max="261" width="12.42578125" style="42" customWidth="1"/>
    <col min="262" max="263" width="9.85546875" style="42" customWidth="1"/>
    <col min="264" max="264" width="11.85546875" style="42" customWidth="1"/>
    <col min="265" max="265" width="9.7109375" style="42" customWidth="1"/>
    <col min="266" max="267" width="11.5703125" style="42" bestFit="1" customWidth="1"/>
    <col min="268" max="512" width="9.140625" style="42"/>
    <col min="513" max="513" width="6.140625" style="42" customWidth="1"/>
    <col min="514" max="514" width="31.140625" style="42" customWidth="1"/>
    <col min="515" max="515" width="11.28515625" style="42" customWidth="1"/>
    <col min="516" max="516" width="9.85546875" style="42" customWidth="1"/>
    <col min="517" max="517" width="12.42578125" style="42" customWidth="1"/>
    <col min="518" max="519" width="9.85546875" style="42" customWidth="1"/>
    <col min="520" max="520" width="11.85546875" style="42" customWidth="1"/>
    <col min="521" max="521" width="9.7109375" style="42" customWidth="1"/>
    <col min="522" max="523" width="11.5703125" style="42" bestFit="1" customWidth="1"/>
    <col min="524" max="768" width="9.140625" style="42"/>
    <col min="769" max="769" width="6.140625" style="42" customWidth="1"/>
    <col min="770" max="770" width="31.140625" style="42" customWidth="1"/>
    <col min="771" max="771" width="11.28515625" style="42" customWidth="1"/>
    <col min="772" max="772" width="9.85546875" style="42" customWidth="1"/>
    <col min="773" max="773" width="12.42578125" style="42" customWidth="1"/>
    <col min="774" max="775" width="9.85546875" style="42" customWidth="1"/>
    <col min="776" max="776" width="11.85546875" style="42" customWidth="1"/>
    <col min="777" max="777" width="9.7109375" style="42" customWidth="1"/>
    <col min="778" max="779" width="11.5703125" style="42" bestFit="1" customWidth="1"/>
    <col min="780" max="1024" width="9.140625" style="42"/>
    <col min="1025" max="1025" width="6.140625" style="42" customWidth="1"/>
    <col min="1026" max="1026" width="31.140625" style="42" customWidth="1"/>
    <col min="1027" max="1027" width="11.28515625" style="42" customWidth="1"/>
    <col min="1028" max="1028" width="9.85546875" style="42" customWidth="1"/>
    <col min="1029" max="1029" width="12.42578125" style="42" customWidth="1"/>
    <col min="1030" max="1031" width="9.85546875" style="42" customWidth="1"/>
    <col min="1032" max="1032" width="11.85546875" style="42" customWidth="1"/>
    <col min="1033" max="1033" width="9.7109375" style="42" customWidth="1"/>
    <col min="1034" max="1035" width="11.5703125" style="42" bestFit="1" customWidth="1"/>
    <col min="1036" max="1280" width="9.140625" style="42"/>
    <col min="1281" max="1281" width="6.140625" style="42" customWidth="1"/>
    <col min="1282" max="1282" width="31.140625" style="42" customWidth="1"/>
    <col min="1283" max="1283" width="11.28515625" style="42" customWidth="1"/>
    <col min="1284" max="1284" width="9.85546875" style="42" customWidth="1"/>
    <col min="1285" max="1285" width="12.42578125" style="42" customWidth="1"/>
    <col min="1286" max="1287" width="9.85546875" style="42" customWidth="1"/>
    <col min="1288" max="1288" width="11.85546875" style="42" customWidth="1"/>
    <col min="1289" max="1289" width="9.7109375" style="42" customWidth="1"/>
    <col min="1290" max="1291" width="11.5703125" style="42" bestFit="1" customWidth="1"/>
    <col min="1292" max="1536" width="9.140625" style="42"/>
    <col min="1537" max="1537" width="6.140625" style="42" customWidth="1"/>
    <col min="1538" max="1538" width="31.140625" style="42" customWidth="1"/>
    <col min="1539" max="1539" width="11.28515625" style="42" customWidth="1"/>
    <col min="1540" max="1540" width="9.85546875" style="42" customWidth="1"/>
    <col min="1541" max="1541" width="12.42578125" style="42" customWidth="1"/>
    <col min="1542" max="1543" width="9.85546875" style="42" customWidth="1"/>
    <col min="1544" max="1544" width="11.85546875" style="42" customWidth="1"/>
    <col min="1545" max="1545" width="9.7109375" style="42" customWidth="1"/>
    <col min="1546" max="1547" width="11.5703125" style="42" bestFit="1" customWidth="1"/>
    <col min="1548" max="1792" width="9.140625" style="42"/>
    <col min="1793" max="1793" width="6.140625" style="42" customWidth="1"/>
    <col min="1794" max="1794" width="31.140625" style="42" customWidth="1"/>
    <col min="1795" max="1795" width="11.28515625" style="42" customWidth="1"/>
    <col min="1796" max="1796" width="9.85546875" style="42" customWidth="1"/>
    <col min="1797" max="1797" width="12.42578125" style="42" customWidth="1"/>
    <col min="1798" max="1799" width="9.85546875" style="42" customWidth="1"/>
    <col min="1800" max="1800" width="11.85546875" style="42" customWidth="1"/>
    <col min="1801" max="1801" width="9.7109375" style="42" customWidth="1"/>
    <col min="1802" max="1803" width="11.5703125" style="42" bestFit="1" customWidth="1"/>
    <col min="1804" max="2048" width="9.140625" style="42"/>
    <col min="2049" max="2049" width="6.140625" style="42" customWidth="1"/>
    <col min="2050" max="2050" width="31.140625" style="42" customWidth="1"/>
    <col min="2051" max="2051" width="11.28515625" style="42" customWidth="1"/>
    <col min="2052" max="2052" width="9.85546875" style="42" customWidth="1"/>
    <col min="2053" max="2053" width="12.42578125" style="42" customWidth="1"/>
    <col min="2054" max="2055" width="9.85546875" style="42" customWidth="1"/>
    <col min="2056" max="2056" width="11.85546875" style="42" customWidth="1"/>
    <col min="2057" max="2057" width="9.7109375" style="42" customWidth="1"/>
    <col min="2058" max="2059" width="11.5703125" style="42" bestFit="1" customWidth="1"/>
    <col min="2060" max="2304" width="9.140625" style="42"/>
    <col min="2305" max="2305" width="6.140625" style="42" customWidth="1"/>
    <col min="2306" max="2306" width="31.140625" style="42" customWidth="1"/>
    <col min="2307" max="2307" width="11.28515625" style="42" customWidth="1"/>
    <col min="2308" max="2308" width="9.85546875" style="42" customWidth="1"/>
    <col min="2309" max="2309" width="12.42578125" style="42" customWidth="1"/>
    <col min="2310" max="2311" width="9.85546875" style="42" customWidth="1"/>
    <col min="2312" max="2312" width="11.85546875" style="42" customWidth="1"/>
    <col min="2313" max="2313" width="9.7109375" style="42" customWidth="1"/>
    <col min="2314" max="2315" width="11.5703125" style="42" bestFit="1" customWidth="1"/>
    <col min="2316" max="2560" width="9.140625" style="42"/>
    <col min="2561" max="2561" width="6.140625" style="42" customWidth="1"/>
    <col min="2562" max="2562" width="31.140625" style="42" customWidth="1"/>
    <col min="2563" max="2563" width="11.28515625" style="42" customWidth="1"/>
    <col min="2564" max="2564" width="9.85546875" style="42" customWidth="1"/>
    <col min="2565" max="2565" width="12.42578125" style="42" customWidth="1"/>
    <col min="2566" max="2567" width="9.85546875" style="42" customWidth="1"/>
    <col min="2568" max="2568" width="11.85546875" style="42" customWidth="1"/>
    <col min="2569" max="2569" width="9.7109375" style="42" customWidth="1"/>
    <col min="2570" max="2571" width="11.5703125" style="42" bestFit="1" customWidth="1"/>
    <col min="2572" max="2816" width="9.140625" style="42"/>
    <col min="2817" max="2817" width="6.140625" style="42" customWidth="1"/>
    <col min="2818" max="2818" width="31.140625" style="42" customWidth="1"/>
    <col min="2819" max="2819" width="11.28515625" style="42" customWidth="1"/>
    <col min="2820" max="2820" width="9.85546875" style="42" customWidth="1"/>
    <col min="2821" max="2821" width="12.42578125" style="42" customWidth="1"/>
    <col min="2822" max="2823" width="9.85546875" style="42" customWidth="1"/>
    <col min="2824" max="2824" width="11.85546875" style="42" customWidth="1"/>
    <col min="2825" max="2825" width="9.7109375" style="42" customWidth="1"/>
    <col min="2826" max="2827" width="11.5703125" style="42" bestFit="1" customWidth="1"/>
    <col min="2828" max="3072" width="9.140625" style="42"/>
    <col min="3073" max="3073" width="6.140625" style="42" customWidth="1"/>
    <col min="3074" max="3074" width="31.140625" style="42" customWidth="1"/>
    <col min="3075" max="3075" width="11.28515625" style="42" customWidth="1"/>
    <col min="3076" max="3076" width="9.85546875" style="42" customWidth="1"/>
    <col min="3077" max="3077" width="12.42578125" style="42" customWidth="1"/>
    <col min="3078" max="3079" width="9.85546875" style="42" customWidth="1"/>
    <col min="3080" max="3080" width="11.85546875" style="42" customWidth="1"/>
    <col min="3081" max="3081" width="9.7109375" style="42" customWidth="1"/>
    <col min="3082" max="3083" width="11.5703125" style="42" bestFit="1" customWidth="1"/>
    <col min="3084" max="3328" width="9.140625" style="42"/>
    <col min="3329" max="3329" width="6.140625" style="42" customWidth="1"/>
    <col min="3330" max="3330" width="31.140625" style="42" customWidth="1"/>
    <col min="3331" max="3331" width="11.28515625" style="42" customWidth="1"/>
    <col min="3332" max="3332" width="9.85546875" style="42" customWidth="1"/>
    <col min="3333" max="3333" width="12.42578125" style="42" customWidth="1"/>
    <col min="3334" max="3335" width="9.85546875" style="42" customWidth="1"/>
    <col min="3336" max="3336" width="11.85546875" style="42" customWidth="1"/>
    <col min="3337" max="3337" width="9.7109375" style="42" customWidth="1"/>
    <col min="3338" max="3339" width="11.5703125" style="42" bestFit="1" customWidth="1"/>
    <col min="3340" max="3584" width="9.140625" style="42"/>
    <col min="3585" max="3585" width="6.140625" style="42" customWidth="1"/>
    <col min="3586" max="3586" width="31.140625" style="42" customWidth="1"/>
    <col min="3587" max="3587" width="11.28515625" style="42" customWidth="1"/>
    <col min="3588" max="3588" width="9.85546875" style="42" customWidth="1"/>
    <col min="3589" max="3589" width="12.42578125" style="42" customWidth="1"/>
    <col min="3590" max="3591" width="9.85546875" style="42" customWidth="1"/>
    <col min="3592" max="3592" width="11.85546875" style="42" customWidth="1"/>
    <col min="3593" max="3593" width="9.7109375" style="42" customWidth="1"/>
    <col min="3594" max="3595" width="11.5703125" style="42" bestFit="1" customWidth="1"/>
    <col min="3596" max="3840" width="9.140625" style="42"/>
    <col min="3841" max="3841" width="6.140625" style="42" customWidth="1"/>
    <col min="3842" max="3842" width="31.140625" style="42" customWidth="1"/>
    <col min="3843" max="3843" width="11.28515625" style="42" customWidth="1"/>
    <col min="3844" max="3844" width="9.85546875" style="42" customWidth="1"/>
    <col min="3845" max="3845" width="12.42578125" style="42" customWidth="1"/>
    <col min="3846" max="3847" width="9.85546875" style="42" customWidth="1"/>
    <col min="3848" max="3848" width="11.85546875" style="42" customWidth="1"/>
    <col min="3849" max="3849" width="9.7109375" style="42" customWidth="1"/>
    <col min="3850" max="3851" width="11.5703125" style="42" bestFit="1" customWidth="1"/>
    <col min="3852" max="4096" width="9.140625" style="42"/>
    <col min="4097" max="4097" width="6.140625" style="42" customWidth="1"/>
    <col min="4098" max="4098" width="31.140625" style="42" customWidth="1"/>
    <col min="4099" max="4099" width="11.28515625" style="42" customWidth="1"/>
    <col min="4100" max="4100" width="9.85546875" style="42" customWidth="1"/>
    <col min="4101" max="4101" width="12.42578125" style="42" customWidth="1"/>
    <col min="4102" max="4103" width="9.85546875" style="42" customWidth="1"/>
    <col min="4104" max="4104" width="11.85546875" style="42" customWidth="1"/>
    <col min="4105" max="4105" width="9.7109375" style="42" customWidth="1"/>
    <col min="4106" max="4107" width="11.5703125" style="42" bestFit="1" customWidth="1"/>
    <col min="4108" max="4352" width="9.140625" style="42"/>
    <col min="4353" max="4353" width="6.140625" style="42" customWidth="1"/>
    <col min="4354" max="4354" width="31.140625" style="42" customWidth="1"/>
    <col min="4355" max="4355" width="11.28515625" style="42" customWidth="1"/>
    <col min="4356" max="4356" width="9.85546875" style="42" customWidth="1"/>
    <col min="4357" max="4357" width="12.42578125" style="42" customWidth="1"/>
    <col min="4358" max="4359" width="9.85546875" style="42" customWidth="1"/>
    <col min="4360" max="4360" width="11.85546875" style="42" customWidth="1"/>
    <col min="4361" max="4361" width="9.7109375" style="42" customWidth="1"/>
    <col min="4362" max="4363" width="11.5703125" style="42" bestFit="1" customWidth="1"/>
    <col min="4364" max="4608" width="9.140625" style="42"/>
    <col min="4609" max="4609" width="6.140625" style="42" customWidth="1"/>
    <col min="4610" max="4610" width="31.140625" style="42" customWidth="1"/>
    <col min="4611" max="4611" width="11.28515625" style="42" customWidth="1"/>
    <col min="4612" max="4612" width="9.85546875" style="42" customWidth="1"/>
    <col min="4613" max="4613" width="12.42578125" style="42" customWidth="1"/>
    <col min="4614" max="4615" width="9.85546875" style="42" customWidth="1"/>
    <col min="4616" max="4616" width="11.85546875" style="42" customWidth="1"/>
    <col min="4617" max="4617" width="9.7109375" style="42" customWidth="1"/>
    <col min="4618" max="4619" width="11.5703125" style="42" bestFit="1" customWidth="1"/>
    <col min="4620" max="4864" width="9.140625" style="42"/>
    <col min="4865" max="4865" width="6.140625" style="42" customWidth="1"/>
    <col min="4866" max="4866" width="31.140625" style="42" customWidth="1"/>
    <col min="4867" max="4867" width="11.28515625" style="42" customWidth="1"/>
    <col min="4868" max="4868" width="9.85546875" style="42" customWidth="1"/>
    <col min="4869" max="4869" width="12.42578125" style="42" customWidth="1"/>
    <col min="4870" max="4871" width="9.85546875" style="42" customWidth="1"/>
    <col min="4872" max="4872" width="11.85546875" style="42" customWidth="1"/>
    <col min="4873" max="4873" width="9.7109375" style="42" customWidth="1"/>
    <col min="4874" max="4875" width="11.5703125" style="42" bestFit="1" customWidth="1"/>
    <col min="4876" max="5120" width="9.140625" style="42"/>
    <col min="5121" max="5121" width="6.140625" style="42" customWidth="1"/>
    <col min="5122" max="5122" width="31.140625" style="42" customWidth="1"/>
    <col min="5123" max="5123" width="11.28515625" style="42" customWidth="1"/>
    <col min="5124" max="5124" width="9.85546875" style="42" customWidth="1"/>
    <col min="5125" max="5125" width="12.42578125" style="42" customWidth="1"/>
    <col min="5126" max="5127" width="9.85546875" style="42" customWidth="1"/>
    <col min="5128" max="5128" width="11.85546875" style="42" customWidth="1"/>
    <col min="5129" max="5129" width="9.7109375" style="42" customWidth="1"/>
    <col min="5130" max="5131" width="11.5703125" style="42" bestFit="1" customWidth="1"/>
    <col min="5132" max="5376" width="9.140625" style="42"/>
    <col min="5377" max="5377" width="6.140625" style="42" customWidth="1"/>
    <col min="5378" max="5378" width="31.140625" style="42" customWidth="1"/>
    <col min="5379" max="5379" width="11.28515625" style="42" customWidth="1"/>
    <col min="5380" max="5380" width="9.85546875" style="42" customWidth="1"/>
    <col min="5381" max="5381" width="12.42578125" style="42" customWidth="1"/>
    <col min="5382" max="5383" width="9.85546875" style="42" customWidth="1"/>
    <col min="5384" max="5384" width="11.85546875" style="42" customWidth="1"/>
    <col min="5385" max="5385" width="9.7109375" style="42" customWidth="1"/>
    <col min="5386" max="5387" width="11.5703125" style="42" bestFit="1" customWidth="1"/>
    <col min="5388" max="5632" width="9.140625" style="42"/>
    <col min="5633" max="5633" width="6.140625" style="42" customWidth="1"/>
    <col min="5634" max="5634" width="31.140625" style="42" customWidth="1"/>
    <col min="5635" max="5635" width="11.28515625" style="42" customWidth="1"/>
    <col min="5636" max="5636" width="9.85546875" style="42" customWidth="1"/>
    <col min="5637" max="5637" width="12.42578125" style="42" customWidth="1"/>
    <col min="5638" max="5639" width="9.85546875" style="42" customWidth="1"/>
    <col min="5640" max="5640" width="11.85546875" style="42" customWidth="1"/>
    <col min="5641" max="5641" width="9.7109375" style="42" customWidth="1"/>
    <col min="5642" max="5643" width="11.5703125" style="42" bestFit="1" customWidth="1"/>
    <col min="5644" max="5888" width="9.140625" style="42"/>
    <col min="5889" max="5889" width="6.140625" style="42" customWidth="1"/>
    <col min="5890" max="5890" width="31.140625" style="42" customWidth="1"/>
    <col min="5891" max="5891" width="11.28515625" style="42" customWidth="1"/>
    <col min="5892" max="5892" width="9.85546875" style="42" customWidth="1"/>
    <col min="5893" max="5893" width="12.42578125" style="42" customWidth="1"/>
    <col min="5894" max="5895" width="9.85546875" style="42" customWidth="1"/>
    <col min="5896" max="5896" width="11.85546875" style="42" customWidth="1"/>
    <col min="5897" max="5897" width="9.7109375" style="42" customWidth="1"/>
    <col min="5898" max="5899" width="11.5703125" style="42" bestFit="1" customWidth="1"/>
    <col min="5900" max="6144" width="9.140625" style="42"/>
    <col min="6145" max="6145" width="6.140625" style="42" customWidth="1"/>
    <col min="6146" max="6146" width="31.140625" style="42" customWidth="1"/>
    <col min="6147" max="6147" width="11.28515625" style="42" customWidth="1"/>
    <col min="6148" max="6148" width="9.85546875" style="42" customWidth="1"/>
    <col min="6149" max="6149" width="12.42578125" style="42" customWidth="1"/>
    <col min="6150" max="6151" width="9.85546875" style="42" customWidth="1"/>
    <col min="6152" max="6152" width="11.85546875" style="42" customWidth="1"/>
    <col min="6153" max="6153" width="9.7109375" style="42" customWidth="1"/>
    <col min="6154" max="6155" width="11.5703125" style="42" bestFit="1" customWidth="1"/>
    <col min="6156" max="6400" width="9.140625" style="42"/>
    <col min="6401" max="6401" width="6.140625" style="42" customWidth="1"/>
    <col min="6402" max="6402" width="31.140625" style="42" customWidth="1"/>
    <col min="6403" max="6403" width="11.28515625" style="42" customWidth="1"/>
    <col min="6404" max="6404" width="9.85546875" style="42" customWidth="1"/>
    <col min="6405" max="6405" width="12.42578125" style="42" customWidth="1"/>
    <col min="6406" max="6407" width="9.85546875" style="42" customWidth="1"/>
    <col min="6408" max="6408" width="11.85546875" style="42" customWidth="1"/>
    <col min="6409" max="6409" width="9.7109375" style="42" customWidth="1"/>
    <col min="6410" max="6411" width="11.5703125" style="42" bestFit="1" customWidth="1"/>
    <col min="6412" max="6656" width="9.140625" style="42"/>
    <col min="6657" max="6657" width="6.140625" style="42" customWidth="1"/>
    <col min="6658" max="6658" width="31.140625" style="42" customWidth="1"/>
    <col min="6659" max="6659" width="11.28515625" style="42" customWidth="1"/>
    <col min="6660" max="6660" width="9.85546875" style="42" customWidth="1"/>
    <col min="6661" max="6661" width="12.42578125" style="42" customWidth="1"/>
    <col min="6662" max="6663" width="9.85546875" style="42" customWidth="1"/>
    <col min="6664" max="6664" width="11.85546875" style="42" customWidth="1"/>
    <col min="6665" max="6665" width="9.7109375" style="42" customWidth="1"/>
    <col min="6666" max="6667" width="11.5703125" style="42" bestFit="1" customWidth="1"/>
    <col min="6668" max="6912" width="9.140625" style="42"/>
    <col min="6913" max="6913" width="6.140625" style="42" customWidth="1"/>
    <col min="6914" max="6914" width="31.140625" style="42" customWidth="1"/>
    <col min="6915" max="6915" width="11.28515625" style="42" customWidth="1"/>
    <col min="6916" max="6916" width="9.85546875" style="42" customWidth="1"/>
    <col min="6917" max="6917" width="12.42578125" style="42" customWidth="1"/>
    <col min="6918" max="6919" width="9.85546875" style="42" customWidth="1"/>
    <col min="6920" max="6920" width="11.85546875" style="42" customWidth="1"/>
    <col min="6921" max="6921" width="9.7109375" style="42" customWidth="1"/>
    <col min="6922" max="6923" width="11.5703125" style="42" bestFit="1" customWidth="1"/>
    <col min="6924" max="7168" width="9.140625" style="42"/>
    <col min="7169" max="7169" width="6.140625" style="42" customWidth="1"/>
    <col min="7170" max="7170" width="31.140625" style="42" customWidth="1"/>
    <col min="7171" max="7171" width="11.28515625" style="42" customWidth="1"/>
    <col min="7172" max="7172" width="9.85546875" style="42" customWidth="1"/>
    <col min="7173" max="7173" width="12.42578125" style="42" customWidth="1"/>
    <col min="7174" max="7175" width="9.85546875" style="42" customWidth="1"/>
    <col min="7176" max="7176" width="11.85546875" style="42" customWidth="1"/>
    <col min="7177" max="7177" width="9.7109375" style="42" customWidth="1"/>
    <col min="7178" max="7179" width="11.5703125" style="42" bestFit="1" customWidth="1"/>
    <col min="7180" max="7424" width="9.140625" style="42"/>
    <col min="7425" max="7425" width="6.140625" style="42" customWidth="1"/>
    <col min="7426" max="7426" width="31.140625" style="42" customWidth="1"/>
    <col min="7427" max="7427" width="11.28515625" style="42" customWidth="1"/>
    <col min="7428" max="7428" width="9.85546875" style="42" customWidth="1"/>
    <col min="7429" max="7429" width="12.42578125" style="42" customWidth="1"/>
    <col min="7430" max="7431" width="9.85546875" style="42" customWidth="1"/>
    <col min="7432" max="7432" width="11.85546875" style="42" customWidth="1"/>
    <col min="7433" max="7433" width="9.7109375" style="42" customWidth="1"/>
    <col min="7434" max="7435" width="11.5703125" style="42" bestFit="1" customWidth="1"/>
    <col min="7436" max="7680" width="9.140625" style="42"/>
    <col min="7681" max="7681" width="6.140625" style="42" customWidth="1"/>
    <col min="7682" max="7682" width="31.140625" style="42" customWidth="1"/>
    <col min="7683" max="7683" width="11.28515625" style="42" customWidth="1"/>
    <col min="7684" max="7684" width="9.85546875" style="42" customWidth="1"/>
    <col min="7685" max="7685" width="12.42578125" style="42" customWidth="1"/>
    <col min="7686" max="7687" width="9.85546875" style="42" customWidth="1"/>
    <col min="7688" max="7688" width="11.85546875" style="42" customWidth="1"/>
    <col min="7689" max="7689" width="9.7109375" style="42" customWidth="1"/>
    <col min="7690" max="7691" width="11.5703125" style="42" bestFit="1" customWidth="1"/>
    <col min="7692" max="7936" width="9.140625" style="42"/>
    <col min="7937" max="7937" width="6.140625" style="42" customWidth="1"/>
    <col min="7938" max="7938" width="31.140625" style="42" customWidth="1"/>
    <col min="7939" max="7939" width="11.28515625" style="42" customWidth="1"/>
    <col min="7940" max="7940" width="9.85546875" style="42" customWidth="1"/>
    <col min="7941" max="7941" width="12.42578125" style="42" customWidth="1"/>
    <col min="7942" max="7943" width="9.85546875" style="42" customWidth="1"/>
    <col min="7944" max="7944" width="11.85546875" style="42" customWidth="1"/>
    <col min="7945" max="7945" width="9.7109375" style="42" customWidth="1"/>
    <col min="7946" max="7947" width="11.5703125" style="42" bestFit="1" customWidth="1"/>
    <col min="7948" max="8192" width="9.140625" style="42"/>
    <col min="8193" max="8193" width="6.140625" style="42" customWidth="1"/>
    <col min="8194" max="8194" width="31.140625" style="42" customWidth="1"/>
    <col min="8195" max="8195" width="11.28515625" style="42" customWidth="1"/>
    <col min="8196" max="8196" width="9.85546875" style="42" customWidth="1"/>
    <col min="8197" max="8197" width="12.42578125" style="42" customWidth="1"/>
    <col min="8198" max="8199" width="9.85546875" style="42" customWidth="1"/>
    <col min="8200" max="8200" width="11.85546875" style="42" customWidth="1"/>
    <col min="8201" max="8201" width="9.7109375" style="42" customWidth="1"/>
    <col min="8202" max="8203" width="11.5703125" style="42" bestFit="1" customWidth="1"/>
    <col min="8204" max="8448" width="9.140625" style="42"/>
    <col min="8449" max="8449" width="6.140625" style="42" customWidth="1"/>
    <col min="8450" max="8450" width="31.140625" style="42" customWidth="1"/>
    <col min="8451" max="8451" width="11.28515625" style="42" customWidth="1"/>
    <col min="8452" max="8452" width="9.85546875" style="42" customWidth="1"/>
    <col min="8453" max="8453" width="12.42578125" style="42" customWidth="1"/>
    <col min="8454" max="8455" width="9.85546875" style="42" customWidth="1"/>
    <col min="8456" max="8456" width="11.85546875" style="42" customWidth="1"/>
    <col min="8457" max="8457" width="9.7109375" style="42" customWidth="1"/>
    <col min="8458" max="8459" width="11.5703125" style="42" bestFit="1" customWidth="1"/>
    <col min="8460" max="8704" width="9.140625" style="42"/>
    <col min="8705" max="8705" width="6.140625" style="42" customWidth="1"/>
    <col min="8706" max="8706" width="31.140625" style="42" customWidth="1"/>
    <col min="8707" max="8707" width="11.28515625" style="42" customWidth="1"/>
    <col min="8708" max="8708" width="9.85546875" style="42" customWidth="1"/>
    <col min="8709" max="8709" width="12.42578125" style="42" customWidth="1"/>
    <col min="8710" max="8711" width="9.85546875" style="42" customWidth="1"/>
    <col min="8712" max="8712" width="11.85546875" style="42" customWidth="1"/>
    <col min="8713" max="8713" width="9.7109375" style="42" customWidth="1"/>
    <col min="8714" max="8715" width="11.5703125" style="42" bestFit="1" customWidth="1"/>
    <col min="8716" max="8960" width="9.140625" style="42"/>
    <col min="8961" max="8961" width="6.140625" style="42" customWidth="1"/>
    <col min="8962" max="8962" width="31.140625" style="42" customWidth="1"/>
    <col min="8963" max="8963" width="11.28515625" style="42" customWidth="1"/>
    <col min="8964" max="8964" width="9.85546875" style="42" customWidth="1"/>
    <col min="8965" max="8965" width="12.42578125" style="42" customWidth="1"/>
    <col min="8966" max="8967" width="9.85546875" style="42" customWidth="1"/>
    <col min="8968" max="8968" width="11.85546875" style="42" customWidth="1"/>
    <col min="8969" max="8969" width="9.7109375" style="42" customWidth="1"/>
    <col min="8970" max="8971" width="11.5703125" style="42" bestFit="1" customWidth="1"/>
    <col min="8972" max="9216" width="9.140625" style="42"/>
    <col min="9217" max="9217" width="6.140625" style="42" customWidth="1"/>
    <col min="9218" max="9218" width="31.140625" style="42" customWidth="1"/>
    <col min="9219" max="9219" width="11.28515625" style="42" customWidth="1"/>
    <col min="9220" max="9220" width="9.85546875" style="42" customWidth="1"/>
    <col min="9221" max="9221" width="12.42578125" style="42" customWidth="1"/>
    <col min="9222" max="9223" width="9.85546875" style="42" customWidth="1"/>
    <col min="9224" max="9224" width="11.85546875" style="42" customWidth="1"/>
    <col min="9225" max="9225" width="9.7109375" style="42" customWidth="1"/>
    <col min="9226" max="9227" width="11.5703125" style="42" bestFit="1" customWidth="1"/>
    <col min="9228" max="9472" width="9.140625" style="42"/>
    <col min="9473" max="9473" width="6.140625" style="42" customWidth="1"/>
    <col min="9474" max="9474" width="31.140625" style="42" customWidth="1"/>
    <col min="9475" max="9475" width="11.28515625" style="42" customWidth="1"/>
    <col min="9476" max="9476" width="9.85546875" style="42" customWidth="1"/>
    <col min="9477" max="9477" width="12.42578125" style="42" customWidth="1"/>
    <col min="9478" max="9479" width="9.85546875" style="42" customWidth="1"/>
    <col min="9480" max="9480" width="11.85546875" style="42" customWidth="1"/>
    <col min="9481" max="9481" width="9.7109375" style="42" customWidth="1"/>
    <col min="9482" max="9483" width="11.5703125" style="42" bestFit="1" customWidth="1"/>
    <col min="9484" max="9728" width="9.140625" style="42"/>
    <col min="9729" max="9729" width="6.140625" style="42" customWidth="1"/>
    <col min="9730" max="9730" width="31.140625" style="42" customWidth="1"/>
    <col min="9731" max="9731" width="11.28515625" style="42" customWidth="1"/>
    <col min="9732" max="9732" width="9.85546875" style="42" customWidth="1"/>
    <col min="9733" max="9733" width="12.42578125" style="42" customWidth="1"/>
    <col min="9734" max="9735" width="9.85546875" style="42" customWidth="1"/>
    <col min="9736" max="9736" width="11.85546875" style="42" customWidth="1"/>
    <col min="9737" max="9737" width="9.7109375" style="42" customWidth="1"/>
    <col min="9738" max="9739" width="11.5703125" style="42" bestFit="1" customWidth="1"/>
    <col min="9740" max="9984" width="9.140625" style="42"/>
    <col min="9985" max="9985" width="6.140625" style="42" customWidth="1"/>
    <col min="9986" max="9986" width="31.140625" style="42" customWidth="1"/>
    <col min="9987" max="9987" width="11.28515625" style="42" customWidth="1"/>
    <col min="9988" max="9988" width="9.85546875" style="42" customWidth="1"/>
    <col min="9989" max="9989" width="12.42578125" style="42" customWidth="1"/>
    <col min="9990" max="9991" width="9.85546875" style="42" customWidth="1"/>
    <col min="9992" max="9992" width="11.85546875" style="42" customWidth="1"/>
    <col min="9993" max="9993" width="9.7109375" style="42" customWidth="1"/>
    <col min="9994" max="9995" width="11.5703125" style="42" bestFit="1" customWidth="1"/>
    <col min="9996" max="10240" width="9.140625" style="42"/>
    <col min="10241" max="10241" width="6.140625" style="42" customWidth="1"/>
    <col min="10242" max="10242" width="31.140625" style="42" customWidth="1"/>
    <col min="10243" max="10243" width="11.28515625" style="42" customWidth="1"/>
    <col min="10244" max="10244" width="9.85546875" style="42" customWidth="1"/>
    <col min="10245" max="10245" width="12.42578125" style="42" customWidth="1"/>
    <col min="10246" max="10247" width="9.85546875" style="42" customWidth="1"/>
    <col min="10248" max="10248" width="11.85546875" style="42" customWidth="1"/>
    <col min="10249" max="10249" width="9.7109375" style="42" customWidth="1"/>
    <col min="10250" max="10251" width="11.5703125" style="42" bestFit="1" customWidth="1"/>
    <col min="10252" max="10496" width="9.140625" style="42"/>
    <col min="10497" max="10497" width="6.140625" style="42" customWidth="1"/>
    <col min="10498" max="10498" width="31.140625" style="42" customWidth="1"/>
    <col min="10499" max="10499" width="11.28515625" style="42" customWidth="1"/>
    <col min="10500" max="10500" width="9.85546875" style="42" customWidth="1"/>
    <col min="10501" max="10501" width="12.42578125" style="42" customWidth="1"/>
    <col min="10502" max="10503" width="9.85546875" style="42" customWidth="1"/>
    <col min="10504" max="10504" width="11.85546875" style="42" customWidth="1"/>
    <col min="10505" max="10505" width="9.7109375" style="42" customWidth="1"/>
    <col min="10506" max="10507" width="11.5703125" style="42" bestFit="1" customWidth="1"/>
    <col min="10508" max="10752" width="9.140625" style="42"/>
    <col min="10753" max="10753" width="6.140625" style="42" customWidth="1"/>
    <col min="10754" max="10754" width="31.140625" style="42" customWidth="1"/>
    <col min="10755" max="10755" width="11.28515625" style="42" customWidth="1"/>
    <col min="10756" max="10756" width="9.85546875" style="42" customWidth="1"/>
    <col min="10757" max="10757" width="12.42578125" style="42" customWidth="1"/>
    <col min="10758" max="10759" width="9.85546875" style="42" customWidth="1"/>
    <col min="10760" max="10760" width="11.85546875" style="42" customWidth="1"/>
    <col min="10761" max="10761" width="9.7109375" style="42" customWidth="1"/>
    <col min="10762" max="10763" width="11.5703125" style="42" bestFit="1" customWidth="1"/>
    <col min="10764" max="11008" width="9.140625" style="42"/>
    <col min="11009" max="11009" width="6.140625" style="42" customWidth="1"/>
    <col min="11010" max="11010" width="31.140625" style="42" customWidth="1"/>
    <col min="11011" max="11011" width="11.28515625" style="42" customWidth="1"/>
    <col min="11012" max="11012" width="9.85546875" style="42" customWidth="1"/>
    <col min="11013" max="11013" width="12.42578125" style="42" customWidth="1"/>
    <col min="11014" max="11015" width="9.85546875" style="42" customWidth="1"/>
    <col min="11016" max="11016" width="11.85546875" style="42" customWidth="1"/>
    <col min="11017" max="11017" width="9.7109375" style="42" customWidth="1"/>
    <col min="11018" max="11019" width="11.5703125" style="42" bestFit="1" customWidth="1"/>
    <col min="11020" max="11264" width="9.140625" style="42"/>
    <col min="11265" max="11265" width="6.140625" style="42" customWidth="1"/>
    <col min="11266" max="11266" width="31.140625" style="42" customWidth="1"/>
    <col min="11267" max="11267" width="11.28515625" style="42" customWidth="1"/>
    <col min="11268" max="11268" width="9.85546875" style="42" customWidth="1"/>
    <col min="11269" max="11269" width="12.42578125" style="42" customWidth="1"/>
    <col min="11270" max="11271" width="9.85546875" style="42" customWidth="1"/>
    <col min="11272" max="11272" width="11.85546875" style="42" customWidth="1"/>
    <col min="11273" max="11273" width="9.7109375" style="42" customWidth="1"/>
    <col min="11274" max="11275" width="11.5703125" style="42" bestFit="1" customWidth="1"/>
    <col min="11276" max="11520" width="9.140625" style="42"/>
    <col min="11521" max="11521" width="6.140625" style="42" customWidth="1"/>
    <col min="11522" max="11522" width="31.140625" style="42" customWidth="1"/>
    <col min="11523" max="11523" width="11.28515625" style="42" customWidth="1"/>
    <col min="11524" max="11524" width="9.85546875" style="42" customWidth="1"/>
    <col min="11525" max="11525" width="12.42578125" style="42" customWidth="1"/>
    <col min="11526" max="11527" width="9.85546875" style="42" customWidth="1"/>
    <col min="11528" max="11528" width="11.85546875" style="42" customWidth="1"/>
    <col min="11529" max="11529" width="9.7109375" style="42" customWidth="1"/>
    <col min="11530" max="11531" width="11.5703125" style="42" bestFit="1" customWidth="1"/>
    <col min="11532" max="11776" width="9.140625" style="42"/>
    <col min="11777" max="11777" width="6.140625" style="42" customWidth="1"/>
    <col min="11778" max="11778" width="31.140625" style="42" customWidth="1"/>
    <col min="11779" max="11779" width="11.28515625" style="42" customWidth="1"/>
    <col min="11780" max="11780" width="9.85546875" style="42" customWidth="1"/>
    <col min="11781" max="11781" width="12.42578125" style="42" customWidth="1"/>
    <col min="11782" max="11783" width="9.85546875" style="42" customWidth="1"/>
    <col min="11784" max="11784" width="11.85546875" style="42" customWidth="1"/>
    <col min="11785" max="11785" width="9.7109375" style="42" customWidth="1"/>
    <col min="11786" max="11787" width="11.5703125" style="42" bestFit="1" customWidth="1"/>
    <col min="11788" max="12032" width="9.140625" style="42"/>
    <col min="12033" max="12033" width="6.140625" style="42" customWidth="1"/>
    <col min="12034" max="12034" width="31.140625" style="42" customWidth="1"/>
    <col min="12035" max="12035" width="11.28515625" style="42" customWidth="1"/>
    <col min="12036" max="12036" width="9.85546875" style="42" customWidth="1"/>
    <col min="12037" max="12037" width="12.42578125" style="42" customWidth="1"/>
    <col min="12038" max="12039" width="9.85546875" style="42" customWidth="1"/>
    <col min="12040" max="12040" width="11.85546875" style="42" customWidth="1"/>
    <col min="12041" max="12041" width="9.7109375" style="42" customWidth="1"/>
    <col min="12042" max="12043" width="11.5703125" style="42" bestFit="1" customWidth="1"/>
    <col min="12044" max="12288" width="9.140625" style="42"/>
    <col min="12289" max="12289" width="6.140625" style="42" customWidth="1"/>
    <col min="12290" max="12290" width="31.140625" style="42" customWidth="1"/>
    <col min="12291" max="12291" width="11.28515625" style="42" customWidth="1"/>
    <col min="12292" max="12292" width="9.85546875" style="42" customWidth="1"/>
    <col min="12293" max="12293" width="12.42578125" style="42" customWidth="1"/>
    <col min="12294" max="12295" width="9.85546875" style="42" customWidth="1"/>
    <col min="12296" max="12296" width="11.85546875" style="42" customWidth="1"/>
    <col min="12297" max="12297" width="9.7109375" style="42" customWidth="1"/>
    <col min="12298" max="12299" width="11.5703125" style="42" bestFit="1" customWidth="1"/>
    <col min="12300" max="12544" width="9.140625" style="42"/>
    <col min="12545" max="12545" width="6.140625" style="42" customWidth="1"/>
    <col min="12546" max="12546" width="31.140625" style="42" customWidth="1"/>
    <col min="12547" max="12547" width="11.28515625" style="42" customWidth="1"/>
    <col min="12548" max="12548" width="9.85546875" style="42" customWidth="1"/>
    <col min="12549" max="12549" width="12.42578125" style="42" customWidth="1"/>
    <col min="12550" max="12551" width="9.85546875" style="42" customWidth="1"/>
    <col min="12552" max="12552" width="11.85546875" style="42" customWidth="1"/>
    <col min="12553" max="12553" width="9.7109375" style="42" customWidth="1"/>
    <col min="12554" max="12555" width="11.5703125" style="42" bestFit="1" customWidth="1"/>
    <col min="12556" max="12800" width="9.140625" style="42"/>
    <col min="12801" max="12801" width="6.140625" style="42" customWidth="1"/>
    <col min="12802" max="12802" width="31.140625" style="42" customWidth="1"/>
    <col min="12803" max="12803" width="11.28515625" style="42" customWidth="1"/>
    <col min="12804" max="12804" width="9.85546875" style="42" customWidth="1"/>
    <col min="12805" max="12805" width="12.42578125" style="42" customWidth="1"/>
    <col min="12806" max="12807" width="9.85546875" style="42" customWidth="1"/>
    <col min="12808" max="12808" width="11.85546875" style="42" customWidth="1"/>
    <col min="12809" max="12809" width="9.7109375" style="42" customWidth="1"/>
    <col min="12810" max="12811" width="11.5703125" style="42" bestFit="1" customWidth="1"/>
    <col min="12812" max="13056" width="9.140625" style="42"/>
    <col min="13057" max="13057" width="6.140625" style="42" customWidth="1"/>
    <col min="13058" max="13058" width="31.140625" style="42" customWidth="1"/>
    <col min="13059" max="13059" width="11.28515625" style="42" customWidth="1"/>
    <col min="13060" max="13060" width="9.85546875" style="42" customWidth="1"/>
    <col min="13061" max="13061" width="12.42578125" style="42" customWidth="1"/>
    <col min="13062" max="13063" width="9.85546875" style="42" customWidth="1"/>
    <col min="13064" max="13064" width="11.85546875" style="42" customWidth="1"/>
    <col min="13065" max="13065" width="9.7109375" style="42" customWidth="1"/>
    <col min="13066" max="13067" width="11.5703125" style="42" bestFit="1" customWidth="1"/>
    <col min="13068" max="13312" width="9.140625" style="42"/>
    <col min="13313" max="13313" width="6.140625" style="42" customWidth="1"/>
    <col min="13314" max="13314" width="31.140625" style="42" customWidth="1"/>
    <col min="13315" max="13315" width="11.28515625" style="42" customWidth="1"/>
    <col min="13316" max="13316" width="9.85546875" style="42" customWidth="1"/>
    <col min="13317" max="13317" width="12.42578125" style="42" customWidth="1"/>
    <col min="13318" max="13319" width="9.85546875" style="42" customWidth="1"/>
    <col min="13320" max="13320" width="11.85546875" style="42" customWidth="1"/>
    <col min="13321" max="13321" width="9.7109375" style="42" customWidth="1"/>
    <col min="13322" max="13323" width="11.5703125" style="42" bestFit="1" customWidth="1"/>
    <col min="13324" max="13568" width="9.140625" style="42"/>
    <col min="13569" max="13569" width="6.140625" style="42" customWidth="1"/>
    <col min="13570" max="13570" width="31.140625" style="42" customWidth="1"/>
    <col min="13571" max="13571" width="11.28515625" style="42" customWidth="1"/>
    <col min="13572" max="13572" width="9.85546875" style="42" customWidth="1"/>
    <col min="13573" max="13573" width="12.42578125" style="42" customWidth="1"/>
    <col min="13574" max="13575" width="9.85546875" style="42" customWidth="1"/>
    <col min="13576" max="13576" width="11.85546875" style="42" customWidth="1"/>
    <col min="13577" max="13577" width="9.7109375" style="42" customWidth="1"/>
    <col min="13578" max="13579" width="11.5703125" style="42" bestFit="1" customWidth="1"/>
    <col min="13580" max="13824" width="9.140625" style="42"/>
    <col min="13825" max="13825" width="6.140625" style="42" customWidth="1"/>
    <col min="13826" max="13826" width="31.140625" style="42" customWidth="1"/>
    <col min="13827" max="13827" width="11.28515625" style="42" customWidth="1"/>
    <col min="13828" max="13828" width="9.85546875" style="42" customWidth="1"/>
    <col min="13829" max="13829" width="12.42578125" style="42" customWidth="1"/>
    <col min="13830" max="13831" width="9.85546875" style="42" customWidth="1"/>
    <col min="13832" max="13832" width="11.85546875" style="42" customWidth="1"/>
    <col min="13833" max="13833" width="9.7109375" style="42" customWidth="1"/>
    <col min="13834" max="13835" width="11.5703125" style="42" bestFit="1" customWidth="1"/>
    <col min="13836" max="14080" width="9.140625" style="42"/>
    <col min="14081" max="14081" width="6.140625" style="42" customWidth="1"/>
    <col min="14082" max="14082" width="31.140625" style="42" customWidth="1"/>
    <col min="14083" max="14083" width="11.28515625" style="42" customWidth="1"/>
    <col min="14084" max="14084" width="9.85546875" style="42" customWidth="1"/>
    <col min="14085" max="14085" width="12.42578125" style="42" customWidth="1"/>
    <col min="14086" max="14087" width="9.85546875" style="42" customWidth="1"/>
    <col min="14088" max="14088" width="11.85546875" style="42" customWidth="1"/>
    <col min="14089" max="14089" width="9.7109375" style="42" customWidth="1"/>
    <col min="14090" max="14091" width="11.5703125" style="42" bestFit="1" customWidth="1"/>
    <col min="14092" max="14336" width="9.140625" style="42"/>
    <col min="14337" max="14337" width="6.140625" style="42" customWidth="1"/>
    <col min="14338" max="14338" width="31.140625" style="42" customWidth="1"/>
    <col min="14339" max="14339" width="11.28515625" style="42" customWidth="1"/>
    <col min="14340" max="14340" width="9.85546875" style="42" customWidth="1"/>
    <col min="14341" max="14341" width="12.42578125" style="42" customWidth="1"/>
    <col min="14342" max="14343" width="9.85546875" style="42" customWidth="1"/>
    <col min="14344" max="14344" width="11.85546875" style="42" customWidth="1"/>
    <col min="14345" max="14345" width="9.7109375" style="42" customWidth="1"/>
    <col min="14346" max="14347" width="11.5703125" style="42" bestFit="1" customWidth="1"/>
    <col min="14348" max="14592" width="9.140625" style="42"/>
    <col min="14593" max="14593" width="6.140625" style="42" customWidth="1"/>
    <col min="14594" max="14594" width="31.140625" style="42" customWidth="1"/>
    <col min="14595" max="14595" width="11.28515625" style="42" customWidth="1"/>
    <col min="14596" max="14596" width="9.85546875" style="42" customWidth="1"/>
    <col min="14597" max="14597" width="12.42578125" style="42" customWidth="1"/>
    <col min="14598" max="14599" width="9.85546875" style="42" customWidth="1"/>
    <col min="14600" max="14600" width="11.85546875" style="42" customWidth="1"/>
    <col min="14601" max="14601" width="9.7109375" style="42" customWidth="1"/>
    <col min="14602" max="14603" width="11.5703125" style="42" bestFit="1" customWidth="1"/>
    <col min="14604" max="14848" width="9.140625" style="42"/>
    <col min="14849" max="14849" width="6.140625" style="42" customWidth="1"/>
    <col min="14850" max="14850" width="31.140625" style="42" customWidth="1"/>
    <col min="14851" max="14851" width="11.28515625" style="42" customWidth="1"/>
    <col min="14852" max="14852" width="9.85546875" style="42" customWidth="1"/>
    <col min="14853" max="14853" width="12.42578125" style="42" customWidth="1"/>
    <col min="14854" max="14855" width="9.85546875" style="42" customWidth="1"/>
    <col min="14856" max="14856" width="11.85546875" style="42" customWidth="1"/>
    <col min="14857" max="14857" width="9.7109375" style="42" customWidth="1"/>
    <col min="14858" max="14859" width="11.5703125" style="42" bestFit="1" customWidth="1"/>
    <col min="14860" max="15104" width="9.140625" style="42"/>
    <col min="15105" max="15105" width="6.140625" style="42" customWidth="1"/>
    <col min="15106" max="15106" width="31.140625" style="42" customWidth="1"/>
    <col min="15107" max="15107" width="11.28515625" style="42" customWidth="1"/>
    <col min="15108" max="15108" width="9.85546875" style="42" customWidth="1"/>
    <col min="15109" max="15109" width="12.42578125" style="42" customWidth="1"/>
    <col min="15110" max="15111" width="9.85546875" style="42" customWidth="1"/>
    <col min="15112" max="15112" width="11.85546875" style="42" customWidth="1"/>
    <col min="15113" max="15113" width="9.7109375" style="42" customWidth="1"/>
    <col min="15114" max="15115" width="11.5703125" style="42" bestFit="1" customWidth="1"/>
    <col min="15116" max="15360" width="9.140625" style="42"/>
    <col min="15361" max="15361" width="6.140625" style="42" customWidth="1"/>
    <col min="15362" max="15362" width="31.140625" style="42" customWidth="1"/>
    <col min="15363" max="15363" width="11.28515625" style="42" customWidth="1"/>
    <col min="15364" max="15364" width="9.85546875" style="42" customWidth="1"/>
    <col min="15365" max="15365" width="12.42578125" style="42" customWidth="1"/>
    <col min="15366" max="15367" width="9.85546875" style="42" customWidth="1"/>
    <col min="15368" max="15368" width="11.85546875" style="42" customWidth="1"/>
    <col min="15369" max="15369" width="9.7109375" style="42" customWidth="1"/>
    <col min="15370" max="15371" width="11.5703125" style="42" bestFit="1" customWidth="1"/>
    <col min="15372" max="15616" width="9.140625" style="42"/>
    <col min="15617" max="15617" width="6.140625" style="42" customWidth="1"/>
    <col min="15618" max="15618" width="31.140625" style="42" customWidth="1"/>
    <col min="15619" max="15619" width="11.28515625" style="42" customWidth="1"/>
    <col min="15620" max="15620" width="9.85546875" style="42" customWidth="1"/>
    <col min="15621" max="15621" width="12.42578125" style="42" customWidth="1"/>
    <col min="15622" max="15623" width="9.85546875" style="42" customWidth="1"/>
    <col min="15624" max="15624" width="11.85546875" style="42" customWidth="1"/>
    <col min="15625" max="15625" width="9.7109375" style="42" customWidth="1"/>
    <col min="15626" max="15627" width="11.5703125" style="42" bestFit="1" customWidth="1"/>
    <col min="15628" max="15872" width="9.140625" style="42"/>
    <col min="15873" max="15873" width="6.140625" style="42" customWidth="1"/>
    <col min="15874" max="15874" width="31.140625" style="42" customWidth="1"/>
    <col min="15875" max="15875" width="11.28515625" style="42" customWidth="1"/>
    <col min="15876" max="15876" width="9.85546875" style="42" customWidth="1"/>
    <col min="15877" max="15877" width="12.42578125" style="42" customWidth="1"/>
    <col min="15878" max="15879" width="9.85546875" style="42" customWidth="1"/>
    <col min="15880" max="15880" width="11.85546875" style="42" customWidth="1"/>
    <col min="15881" max="15881" width="9.7109375" style="42" customWidth="1"/>
    <col min="15882" max="15883" width="11.5703125" style="42" bestFit="1" customWidth="1"/>
    <col min="15884" max="16128" width="9.140625" style="42"/>
    <col min="16129" max="16129" width="6.140625" style="42" customWidth="1"/>
    <col min="16130" max="16130" width="31.140625" style="42" customWidth="1"/>
    <col min="16131" max="16131" width="11.28515625" style="42" customWidth="1"/>
    <col min="16132" max="16132" width="9.85546875" style="42" customWidth="1"/>
    <col min="16133" max="16133" width="12.42578125" style="42" customWidth="1"/>
    <col min="16134" max="16135" width="9.85546875" style="42" customWidth="1"/>
    <col min="16136" max="16136" width="11.85546875" style="42" customWidth="1"/>
    <col min="16137" max="16137" width="9.7109375" style="42" customWidth="1"/>
    <col min="16138" max="16139" width="11.5703125" style="42" bestFit="1" customWidth="1"/>
    <col min="16140" max="16384" width="9.140625" style="42"/>
  </cols>
  <sheetData>
    <row r="3" spans="2:9" x14ac:dyDescent="0.25">
      <c r="B3" s="458" t="s">
        <v>423</v>
      </c>
      <c r="C3" s="458"/>
      <c r="D3" s="458"/>
      <c r="E3" s="458"/>
      <c r="F3" s="458"/>
      <c r="G3" s="458"/>
      <c r="H3" s="458"/>
      <c r="I3" s="458"/>
    </row>
    <row r="5" spans="2:9" x14ac:dyDescent="0.25">
      <c r="B5" s="446" t="s">
        <v>133</v>
      </c>
      <c r="C5" s="446"/>
      <c r="D5" s="446"/>
      <c r="E5" s="446"/>
      <c r="F5" s="446"/>
      <c r="G5" s="446"/>
      <c r="H5" s="446"/>
      <c r="I5" s="446"/>
    </row>
    <row r="6" spans="2:9" x14ac:dyDescent="0.25">
      <c r="B6" s="21"/>
      <c r="C6" s="21"/>
      <c r="D6" s="21"/>
      <c r="E6" s="21"/>
      <c r="F6" s="21"/>
      <c r="G6" s="21"/>
      <c r="H6" s="21"/>
      <c r="I6" s="21"/>
    </row>
    <row r="7" spans="2:9" x14ac:dyDescent="0.25">
      <c r="B7" s="44" t="s">
        <v>134</v>
      </c>
      <c r="C7" s="44" t="s">
        <v>135</v>
      </c>
      <c r="D7" s="44" t="s">
        <v>136</v>
      </c>
      <c r="E7" s="44" t="s">
        <v>137</v>
      </c>
      <c r="F7" s="44" t="s">
        <v>138</v>
      </c>
      <c r="G7" s="44" t="s">
        <v>139</v>
      </c>
      <c r="H7" s="44" t="s">
        <v>140</v>
      </c>
      <c r="I7" s="22" t="s">
        <v>106</v>
      </c>
    </row>
    <row r="8" spans="2:9" x14ac:dyDescent="0.25">
      <c r="B8" s="45" t="s">
        <v>141</v>
      </c>
      <c r="C8" s="370">
        <f>SUM(C9:C11)</f>
        <v>1888.8888888888887</v>
      </c>
      <c r="D8" s="370">
        <f t="shared" ref="D8:I8" si="0">SUM(D9:D11)</f>
        <v>22666.666666666664</v>
      </c>
      <c r="E8" s="370">
        <f t="shared" si="0"/>
        <v>2833.333333333333</v>
      </c>
      <c r="F8" s="46">
        <f t="shared" si="0"/>
        <v>3</v>
      </c>
      <c r="G8" s="46">
        <f t="shared" si="0"/>
        <v>25500</v>
      </c>
      <c r="H8" s="46">
        <f t="shared" si="0"/>
        <v>2039.9999999999998</v>
      </c>
      <c r="I8" s="46">
        <f t="shared" si="0"/>
        <v>27540</v>
      </c>
    </row>
    <row r="9" spans="2:9" x14ac:dyDescent="0.25">
      <c r="B9" s="47" t="s">
        <v>142</v>
      </c>
      <c r="C9" s="48">
        <f>3000/Resumen!C20</f>
        <v>833.33333333333326</v>
      </c>
      <c r="D9" s="48">
        <f>C9*12</f>
        <v>10000</v>
      </c>
      <c r="E9" s="48">
        <f>(C9/2)+(C9/2)+(C9/2)</f>
        <v>1250</v>
      </c>
      <c r="F9" s="49">
        <v>1</v>
      </c>
      <c r="G9" s="49">
        <f>(D9+E9)*F9</f>
        <v>11250</v>
      </c>
      <c r="H9" s="49">
        <f>(C9*9%)*12</f>
        <v>899.99999999999977</v>
      </c>
      <c r="I9" s="50">
        <f>SUM(G9:H9)</f>
        <v>12150</v>
      </c>
    </row>
    <row r="10" spans="2:9" x14ac:dyDescent="0.25">
      <c r="B10" s="47" t="s">
        <v>143</v>
      </c>
      <c r="C10" s="48">
        <f>2000/Resumen!C20</f>
        <v>555.55555555555554</v>
      </c>
      <c r="D10" s="48">
        <f>C10*12</f>
        <v>6666.6666666666661</v>
      </c>
      <c r="E10" s="48">
        <f>(C10/2)+(C10/2)+(C10/2)</f>
        <v>833.33333333333326</v>
      </c>
      <c r="F10" s="49">
        <v>1</v>
      </c>
      <c r="G10" s="49">
        <f>(D10+E10)*F10</f>
        <v>7499.9999999999991</v>
      </c>
      <c r="H10" s="49">
        <f>(C10*9%)*12</f>
        <v>600</v>
      </c>
      <c r="I10" s="50">
        <f>SUM(G10:H10)</f>
        <v>8099.9999999999991</v>
      </c>
    </row>
    <row r="11" spans="2:9" x14ac:dyDescent="0.25">
      <c r="B11" s="51" t="s">
        <v>144</v>
      </c>
      <c r="C11" s="48">
        <f>1800/Resumen!C20</f>
        <v>500</v>
      </c>
      <c r="D11" s="48">
        <f>C11*12</f>
        <v>6000</v>
      </c>
      <c r="E11" s="48">
        <f>(C11/2)+(C11/2)+(C11/2)</f>
        <v>750</v>
      </c>
      <c r="F11" s="49">
        <v>1</v>
      </c>
      <c r="G11" s="49">
        <f>(D11+E11)*F11</f>
        <v>6750</v>
      </c>
      <c r="H11" s="49">
        <f>(C11*9%)*12</f>
        <v>540</v>
      </c>
      <c r="I11" s="50">
        <f>SUM(G11:H11)</f>
        <v>7290</v>
      </c>
    </row>
    <row r="12" spans="2:9" x14ac:dyDescent="0.25">
      <c r="B12" s="45" t="s">
        <v>145</v>
      </c>
      <c r="C12" s="52">
        <f t="shared" ref="C12:I12" si="1">SUM(C13:C13)</f>
        <v>500</v>
      </c>
      <c r="D12" s="52">
        <f t="shared" si="1"/>
        <v>6000</v>
      </c>
      <c r="E12" s="52">
        <f t="shared" si="1"/>
        <v>750</v>
      </c>
      <c r="F12" s="46">
        <f t="shared" si="1"/>
        <v>1</v>
      </c>
      <c r="G12" s="46">
        <f t="shared" si="1"/>
        <v>6750</v>
      </c>
      <c r="H12" s="46">
        <f t="shared" si="1"/>
        <v>540</v>
      </c>
      <c r="I12" s="371">
        <f t="shared" si="1"/>
        <v>7290</v>
      </c>
    </row>
    <row r="13" spans="2:9" x14ac:dyDescent="0.25">
      <c r="B13" s="47" t="s">
        <v>146</v>
      </c>
      <c r="C13" s="48">
        <f>1800/Resumen!C20</f>
        <v>500</v>
      </c>
      <c r="D13" s="48">
        <f>C13*12</f>
        <v>6000</v>
      </c>
      <c r="E13" s="48">
        <f>(C13/2)+(C13/2)+(C13/2)</f>
        <v>750</v>
      </c>
      <c r="F13" s="49">
        <v>1</v>
      </c>
      <c r="G13" s="49">
        <f>(D13+E13)*F13</f>
        <v>6750</v>
      </c>
      <c r="H13" s="49">
        <f>(C13*9%)*12</f>
        <v>540</v>
      </c>
      <c r="I13" s="50">
        <f>SUM(G13:H13)</f>
        <v>7290</v>
      </c>
    </row>
    <row r="14" spans="2:9" x14ac:dyDescent="0.25">
      <c r="B14" s="44" t="s">
        <v>106</v>
      </c>
      <c r="C14" s="53">
        <f>+C8+C12</f>
        <v>2388.8888888888887</v>
      </c>
      <c r="D14" s="53">
        <f t="shared" ref="D14:I14" si="2">+D8+D12</f>
        <v>28666.666666666664</v>
      </c>
      <c r="E14" s="53">
        <f t="shared" si="2"/>
        <v>3583.333333333333</v>
      </c>
      <c r="F14" s="44">
        <f t="shared" si="2"/>
        <v>4</v>
      </c>
      <c r="G14" s="44">
        <f t="shared" si="2"/>
        <v>32250</v>
      </c>
      <c r="H14" s="44">
        <f t="shared" si="2"/>
        <v>2580</v>
      </c>
      <c r="I14" s="44">
        <f t="shared" si="2"/>
        <v>34830</v>
      </c>
    </row>
    <row r="15" spans="2:9" x14ac:dyDescent="0.25">
      <c r="B15" s="54" t="s">
        <v>147</v>
      </c>
      <c r="C15" s="21"/>
      <c r="D15" s="21"/>
      <c r="E15" s="21"/>
      <c r="F15" s="21"/>
      <c r="G15" s="21"/>
      <c r="H15" s="21"/>
      <c r="I15" s="21"/>
    </row>
    <row r="16" spans="2:9" x14ac:dyDescent="0.25">
      <c r="B16" s="54" t="s">
        <v>148</v>
      </c>
      <c r="C16" s="21"/>
      <c r="D16" s="21"/>
      <c r="E16" s="21"/>
      <c r="F16" s="21"/>
      <c r="G16" s="21"/>
      <c r="H16" s="21"/>
      <c r="I16" s="21"/>
    </row>
    <row r="17" spans="2:11" ht="15.75" x14ac:dyDescent="0.25">
      <c r="B17" s="55"/>
      <c r="C17" s="459"/>
      <c r="D17" s="459"/>
      <c r="E17" s="459"/>
      <c r="F17" s="459"/>
      <c r="G17" s="459"/>
      <c r="H17" s="459"/>
      <c r="I17" s="459"/>
      <c r="J17" s="459"/>
      <c r="K17" s="459"/>
    </row>
    <row r="18" spans="2:11" ht="15.75" x14ac:dyDescent="0.25">
      <c r="B18" s="460" t="s">
        <v>149</v>
      </c>
      <c r="C18" s="460"/>
      <c r="D18" s="460"/>
      <c r="E18" s="460"/>
      <c r="F18" s="460"/>
      <c r="G18" s="460"/>
      <c r="H18" s="56"/>
      <c r="I18" s="56"/>
      <c r="J18" s="56"/>
      <c r="K18" s="56"/>
    </row>
    <row r="19" spans="2:11" ht="15.75" thickBot="1" x14ac:dyDescent="0.3">
      <c r="B19" s="55"/>
      <c r="C19" s="57"/>
      <c r="D19" s="57"/>
      <c r="E19" s="57"/>
      <c r="F19" s="57"/>
      <c r="G19" s="57"/>
      <c r="H19" s="57"/>
      <c r="I19" s="57"/>
      <c r="J19" s="21"/>
      <c r="K19" s="21"/>
    </row>
    <row r="20" spans="2:11" x14ac:dyDescent="0.25">
      <c r="B20" s="461" t="s">
        <v>150</v>
      </c>
      <c r="C20" s="463" t="s">
        <v>151</v>
      </c>
      <c r="D20" s="463"/>
      <c r="E20" s="463"/>
      <c r="F20" s="463"/>
      <c r="G20" s="464"/>
      <c r="H20" s="58"/>
      <c r="I20" s="59"/>
      <c r="J20" s="59"/>
      <c r="K20" s="59"/>
    </row>
    <row r="21" spans="2:11" ht="16.5" customHeight="1" thickBot="1" x14ac:dyDescent="0.3">
      <c r="B21" s="462"/>
      <c r="C21" s="60">
        <v>1</v>
      </c>
      <c r="D21" s="61">
        <f>C21+1</f>
        <v>2</v>
      </c>
      <c r="E21" s="61">
        <f>D21+1</f>
        <v>3</v>
      </c>
      <c r="F21" s="61"/>
      <c r="G21" s="62"/>
      <c r="H21" s="63"/>
      <c r="I21" s="64"/>
      <c r="J21" s="64"/>
      <c r="K21" s="64"/>
    </row>
    <row r="22" spans="2:11" x14ac:dyDescent="0.25">
      <c r="B22" s="65" t="s">
        <v>152</v>
      </c>
      <c r="C22" s="66">
        <f>$I$8</f>
        <v>27540</v>
      </c>
      <c r="D22" s="66">
        <f>$I$8</f>
        <v>27540</v>
      </c>
      <c r="E22" s="66">
        <f>$I$8</f>
        <v>27540</v>
      </c>
      <c r="F22" s="66"/>
      <c r="G22" s="66"/>
      <c r="H22" s="67"/>
      <c r="I22" s="68"/>
      <c r="J22" s="68"/>
      <c r="K22" s="68"/>
    </row>
    <row r="23" spans="2:11" ht="15.75" thickBot="1" x14ac:dyDescent="0.3">
      <c r="B23" s="69" t="s">
        <v>153</v>
      </c>
      <c r="C23" s="70">
        <f>$I$12</f>
        <v>7290</v>
      </c>
      <c r="D23" s="70">
        <f>$I$12</f>
        <v>7290</v>
      </c>
      <c r="E23" s="70">
        <f>$I$12</f>
        <v>7290</v>
      </c>
      <c r="F23" s="70"/>
      <c r="G23" s="70"/>
      <c r="H23" s="67"/>
      <c r="I23" s="68"/>
      <c r="J23" s="68"/>
      <c r="K23" s="68"/>
    </row>
    <row r="24" spans="2:11" ht="15.75" thickBot="1" x14ac:dyDescent="0.3">
      <c r="B24" s="71" t="s">
        <v>106</v>
      </c>
      <c r="C24" s="72">
        <f>SUM(C22:C23)</f>
        <v>34830</v>
      </c>
      <c r="D24" s="72">
        <f>SUM(D22:D23)</f>
        <v>34830</v>
      </c>
      <c r="E24" s="72">
        <f>SUM(E22:E23)</f>
        <v>34830</v>
      </c>
      <c r="F24" s="72"/>
      <c r="G24" s="72"/>
      <c r="H24" s="58"/>
      <c r="I24" s="73"/>
      <c r="J24" s="73"/>
      <c r="K24" s="73"/>
    </row>
    <row r="25" spans="2:11" x14ac:dyDescent="0.25">
      <c r="B25" s="55"/>
      <c r="C25" s="74"/>
      <c r="D25" s="57"/>
      <c r="E25" s="57"/>
      <c r="F25" s="57"/>
      <c r="G25" s="57"/>
      <c r="H25" s="57"/>
      <c r="I25" s="57"/>
    </row>
  </sheetData>
  <mergeCells count="6">
    <mergeCell ref="B3:I3"/>
    <mergeCell ref="B5:I5"/>
    <mergeCell ref="C17:K17"/>
    <mergeCell ref="B18:G18"/>
    <mergeCell ref="B20:B21"/>
    <mergeCell ref="C20:G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I39"/>
  <sheetViews>
    <sheetView topLeftCell="A4" workbookViewId="0">
      <selection activeCell="J18" sqref="J18"/>
    </sheetView>
  </sheetViews>
  <sheetFormatPr baseColWidth="10" defaultColWidth="9.140625" defaultRowHeight="15" x14ac:dyDescent="0.25"/>
  <cols>
    <col min="1" max="1" width="9.140625" style="42"/>
    <col min="2" max="2" width="12.7109375" style="42" customWidth="1"/>
    <col min="3" max="3" width="36.28515625" style="42" customWidth="1"/>
    <col min="4" max="4" width="11" style="42" customWidth="1"/>
    <col min="5" max="5" width="13.28515625" style="42" customWidth="1"/>
    <col min="6" max="6" width="8.85546875" style="42" customWidth="1"/>
    <col min="7" max="7" width="11.140625" style="42" customWidth="1"/>
    <col min="8" max="8" width="11.28515625" style="42" customWidth="1"/>
    <col min="9" max="9" width="15.7109375" style="42" customWidth="1"/>
    <col min="10" max="10" width="8.140625" style="42" customWidth="1"/>
    <col min="11" max="257" width="9.140625" style="42"/>
    <col min="258" max="258" width="12.7109375" style="42" customWidth="1"/>
    <col min="259" max="259" width="36.28515625" style="42" customWidth="1"/>
    <col min="260" max="260" width="11" style="42" customWidth="1"/>
    <col min="261" max="261" width="13.28515625" style="42" customWidth="1"/>
    <col min="262" max="262" width="8.85546875" style="42" customWidth="1"/>
    <col min="263" max="263" width="11.140625" style="42" customWidth="1"/>
    <col min="264" max="264" width="11.28515625" style="42" customWidth="1"/>
    <col min="265" max="265" width="15.7109375" style="42" customWidth="1"/>
    <col min="266" max="266" width="8.140625" style="42" customWidth="1"/>
    <col min="267" max="513" width="9.140625" style="42"/>
    <col min="514" max="514" width="12.7109375" style="42" customWidth="1"/>
    <col min="515" max="515" width="36.28515625" style="42" customWidth="1"/>
    <col min="516" max="516" width="11" style="42" customWidth="1"/>
    <col min="517" max="517" width="13.28515625" style="42" customWidth="1"/>
    <col min="518" max="518" width="8.85546875" style="42" customWidth="1"/>
    <col min="519" max="519" width="11.140625" style="42" customWidth="1"/>
    <col min="520" max="520" width="11.28515625" style="42" customWidth="1"/>
    <col min="521" max="521" width="15.7109375" style="42" customWidth="1"/>
    <col min="522" max="522" width="8.140625" style="42" customWidth="1"/>
    <col min="523" max="769" width="9.140625" style="42"/>
    <col min="770" max="770" width="12.7109375" style="42" customWidth="1"/>
    <col min="771" max="771" width="36.28515625" style="42" customWidth="1"/>
    <col min="772" max="772" width="11" style="42" customWidth="1"/>
    <col min="773" max="773" width="13.28515625" style="42" customWidth="1"/>
    <col min="774" max="774" width="8.85546875" style="42" customWidth="1"/>
    <col min="775" max="775" width="11.140625" style="42" customWidth="1"/>
    <col min="776" max="776" width="11.28515625" style="42" customWidth="1"/>
    <col min="777" max="777" width="15.7109375" style="42" customWidth="1"/>
    <col min="778" max="778" width="8.140625" style="42" customWidth="1"/>
    <col min="779" max="1025" width="9.140625" style="42"/>
    <col min="1026" max="1026" width="12.7109375" style="42" customWidth="1"/>
    <col min="1027" max="1027" width="36.28515625" style="42" customWidth="1"/>
    <col min="1028" max="1028" width="11" style="42" customWidth="1"/>
    <col min="1029" max="1029" width="13.28515625" style="42" customWidth="1"/>
    <col min="1030" max="1030" width="8.85546875" style="42" customWidth="1"/>
    <col min="1031" max="1031" width="11.140625" style="42" customWidth="1"/>
    <col min="1032" max="1032" width="11.28515625" style="42" customWidth="1"/>
    <col min="1033" max="1033" width="15.7109375" style="42" customWidth="1"/>
    <col min="1034" max="1034" width="8.140625" style="42" customWidth="1"/>
    <col min="1035" max="1281" width="9.140625" style="42"/>
    <col min="1282" max="1282" width="12.7109375" style="42" customWidth="1"/>
    <col min="1283" max="1283" width="36.28515625" style="42" customWidth="1"/>
    <col min="1284" max="1284" width="11" style="42" customWidth="1"/>
    <col min="1285" max="1285" width="13.28515625" style="42" customWidth="1"/>
    <col min="1286" max="1286" width="8.85546875" style="42" customWidth="1"/>
    <col min="1287" max="1287" width="11.140625" style="42" customWidth="1"/>
    <col min="1288" max="1288" width="11.28515625" style="42" customWidth="1"/>
    <col min="1289" max="1289" width="15.7109375" style="42" customWidth="1"/>
    <col min="1290" max="1290" width="8.140625" style="42" customWidth="1"/>
    <col min="1291" max="1537" width="9.140625" style="42"/>
    <col min="1538" max="1538" width="12.7109375" style="42" customWidth="1"/>
    <col min="1539" max="1539" width="36.28515625" style="42" customWidth="1"/>
    <col min="1540" max="1540" width="11" style="42" customWidth="1"/>
    <col min="1541" max="1541" width="13.28515625" style="42" customWidth="1"/>
    <col min="1542" max="1542" width="8.85546875" style="42" customWidth="1"/>
    <col min="1543" max="1543" width="11.140625" style="42" customWidth="1"/>
    <col min="1544" max="1544" width="11.28515625" style="42" customWidth="1"/>
    <col min="1545" max="1545" width="15.7109375" style="42" customWidth="1"/>
    <col min="1546" max="1546" width="8.140625" style="42" customWidth="1"/>
    <col min="1547" max="1793" width="9.140625" style="42"/>
    <col min="1794" max="1794" width="12.7109375" style="42" customWidth="1"/>
    <col min="1795" max="1795" width="36.28515625" style="42" customWidth="1"/>
    <col min="1796" max="1796" width="11" style="42" customWidth="1"/>
    <col min="1797" max="1797" width="13.28515625" style="42" customWidth="1"/>
    <col min="1798" max="1798" width="8.85546875" style="42" customWidth="1"/>
    <col min="1799" max="1799" width="11.140625" style="42" customWidth="1"/>
    <col min="1800" max="1800" width="11.28515625" style="42" customWidth="1"/>
    <col min="1801" max="1801" width="15.7109375" style="42" customWidth="1"/>
    <col min="1802" max="1802" width="8.140625" style="42" customWidth="1"/>
    <col min="1803" max="2049" width="9.140625" style="42"/>
    <col min="2050" max="2050" width="12.7109375" style="42" customWidth="1"/>
    <col min="2051" max="2051" width="36.28515625" style="42" customWidth="1"/>
    <col min="2052" max="2052" width="11" style="42" customWidth="1"/>
    <col min="2053" max="2053" width="13.28515625" style="42" customWidth="1"/>
    <col min="2054" max="2054" width="8.85546875" style="42" customWidth="1"/>
    <col min="2055" max="2055" width="11.140625" style="42" customWidth="1"/>
    <col min="2056" max="2056" width="11.28515625" style="42" customWidth="1"/>
    <col min="2057" max="2057" width="15.7109375" style="42" customWidth="1"/>
    <col min="2058" max="2058" width="8.140625" style="42" customWidth="1"/>
    <col min="2059" max="2305" width="9.140625" style="42"/>
    <col min="2306" max="2306" width="12.7109375" style="42" customWidth="1"/>
    <col min="2307" max="2307" width="36.28515625" style="42" customWidth="1"/>
    <col min="2308" max="2308" width="11" style="42" customWidth="1"/>
    <col min="2309" max="2309" width="13.28515625" style="42" customWidth="1"/>
    <col min="2310" max="2310" width="8.85546875" style="42" customWidth="1"/>
    <col min="2311" max="2311" width="11.140625" style="42" customWidth="1"/>
    <col min="2312" max="2312" width="11.28515625" style="42" customWidth="1"/>
    <col min="2313" max="2313" width="15.7109375" style="42" customWidth="1"/>
    <col min="2314" max="2314" width="8.140625" style="42" customWidth="1"/>
    <col min="2315" max="2561" width="9.140625" style="42"/>
    <col min="2562" max="2562" width="12.7109375" style="42" customWidth="1"/>
    <col min="2563" max="2563" width="36.28515625" style="42" customWidth="1"/>
    <col min="2564" max="2564" width="11" style="42" customWidth="1"/>
    <col min="2565" max="2565" width="13.28515625" style="42" customWidth="1"/>
    <col min="2566" max="2566" width="8.85546875" style="42" customWidth="1"/>
    <col min="2567" max="2567" width="11.140625" style="42" customWidth="1"/>
    <col min="2568" max="2568" width="11.28515625" style="42" customWidth="1"/>
    <col min="2569" max="2569" width="15.7109375" style="42" customWidth="1"/>
    <col min="2570" max="2570" width="8.140625" style="42" customWidth="1"/>
    <col min="2571" max="2817" width="9.140625" style="42"/>
    <col min="2818" max="2818" width="12.7109375" style="42" customWidth="1"/>
    <col min="2819" max="2819" width="36.28515625" style="42" customWidth="1"/>
    <col min="2820" max="2820" width="11" style="42" customWidth="1"/>
    <col min="2821" max="2821" width="13.28515625" style="42" customWidth="1"/>
    <col min="2822" max="2822" width="8.85546875" style="42" customWidth="1"/>
    <col min="2823" max="2823" width="11.140625" style="42" customWidth="1"/>
    <col min="2824" max="2824" width="11.28515625" style="42" customWidth="1"/>
    <col min="2825" max="2825" width="15.7109375" style="42" customWidth="1"/>
    <col min="2826" max="2826" width="8.140625" style="42" customWidth="1"/>
    <col min="2827" max="3073" width="9.140625" style="42"/>
    <col min="3074" max="3074" width="12.7109375" style="42" customWidth="1"/>
    <col min="3075" max="3075" width="36.28515625" style="42" customWidth="1"/>
    <col min="3076" max="3076" width="11" style="42" customWidth="1"/>
    <col min="3077" max="3077" width="13.28515625" style="42" customWidth="1"/>
    <col min="3078" max="3078" width="8.85546875" style="42" customWidth="1"/>
    <col min="3079" max="3079" width="11.140625" style="42" customWidth="1"/>
    <col min="3080" max="3080" width="11.28515625" style="42" customWidth="1"/>
    <col min="3081" max="3081" width="15.7109375" style="42" customWidth="1"/>
    <col min="3082" max="3082" width="8.140625" style="42" customWidth="1"/>
    <col min="3083" max="3329" width="9.140625" style="42"/>
    <col min="3330" max="3330" width="12.7109375" style="42" customWidth="1"/>
    <col min="3331" max="3331" width="36.28515625" style="42" customWidth="1"/>
    <col min="3332" max="3332" width="11" style="42" customWidth="1"/>
    <col min="3333" max="3333" width="13.28515625" style="42" customWidth="1"/>
    <col min="3334" max="3334" width="8.85546875" style="42" customWidth="1"/>
    <col min="3335" max="3335" width="11.140625" style="42" customWidth="1"/>
    <col min="3336" max="3336" width="11.28515625" style="42" customWidth="1"/>
    <col min="3337" max="3337" width="15.7109375" style="42" customWidth="1"/>
    <col min="3338" max="3338" width="8.140625" style="42" customWidth="1"/>
    <col min="3339" max="3585" width="9.140625" style="42"/>
    <col min="3586" max="3586" width="12.7109375" style="42" customWidth="1"/>
    <col min="3587" max="3587" width="36.28515625" style="42" customWidth="1"/>
    <col min="3588" max="3588" width="11" style="42" customWidth="1"/>
    <col min="3589" max="3589" width="13.28515625" style="42" customWidth="1"/>
    <col min="3590" max="3590" width="8.85546875" style="42" customWidth="1"/>
    <col min="3591" max="3591" width="11.140625" style="42" customWidth="1"/>
    <col min="3592" max="3592" width="11.28515625" style="42" customWidth="1"/>
    <col min="3593" max="3593" width="15.7109375" style="42" customWidth="1"/>
    <col min="3594" max="3594" width="8.140625" style="42" customWidth="1"/>
    <col min="3595" max="3841" width="9.140625" style="42"/>
    <col min="3842" max="3842" width="12.7109375" style="42" customWidth="1"/>
    <col min="3843" max="3843" width="36.28515625" style="42" customWidth="1"/>
    <col min="3844" max="3844" width="11" style="42" customWidth="1"/>
    <col min="3845" max="3845" width="13.28515625" style="42" customWidth="1"/>
    <col min="3846" max="3846" width="8.85546875" style="42" customWidth="1"/>
    <col min="3847" max="3847" width="11.140625" style="42" customWidth="1"/>
    <col min="3848" max="3848" width="11.28515625" style="42" customWidth="1"/>
    <col min="3849" max="3849" width="15.7109375" style="42" customWidth="1"/>
    <col min="3850" max="3850" width="8.140625" style="42" customWidth="1"/>
    <col min="3851" max="4097" width="9.140625" style="42"/>
    <col min="4098" max="4098" width="12.7109375" style="42" customWidth="1"/>
    <col min="4099" max="4099" width="36.28515625" style="42" customWidth="1"/>
    <col min="4100" max="4100" width="11" style="42" customWidth="1"/>
    <col min="4101" max="4101" width="13.28515625" style="42" customWidth="1"/>
    <col min="4102" max="4102" width="8.85546875" style="42" customWidth="1"/>
    <col min="4103" max="4103" width="11.140625" style="42" customWidth="1"/>
    <col min="4104" max="4104" width="11.28515625" style="42" customWidth="1"/>
    <col min="4105" max="4105" width="15.7109375" style="42" customWidth="1"/>
    <col min="4106" max="4106" width="8.140625" style="42" customWidth="1"/>
    <col min="4107" max="4353" width="9.140625" style="42"/>
    <col min="4354" max="4354" width="12.7109375" style="42" customWidth="1"/>
    <col min="4355" max="4355" width="36.28515625" style="42" customWidth="1"/>
    <col min="4356" max="4356" width="11" style="42" customWidth="1"/>
    <col min="4357" max="4357" width="13.28515625" style="42" customWidth="1"/>
    <col min="4358" max="4358" width="8.85546875" style="42" customWidth="1"/>
    <col min="4359" max="4359" width="11.140625" style="42" customWidth="1"/>
    <col min="4360" max="4360" width="11.28515625" style="42" customWidth="1"/>
    <col min="4361" max="4361" width="15.7109375" style="42" customWidth="1"/>
    <col min="4362" max="4362" width="8.140625" style="42" customWidth="1"/>
    <col min="4363" max="4609" width="9.140625" style="42"/>
    <col min="4610" max="4610" width="12.7109375" style="42" customWidth="1"/>
    <col min="4611" max="4611" width="36.28515625" style="42" customWidth="1"/>
    <col min="4612" max="4612" width="11" style="42" customWidth="1"/>
    <col min="4613" max="4613" width="13.28515625" style="42" customWidth="1"/>
    <col min="4614" max="4614" width="8.85546875" style="42" customWidth="1"/>
    <col min="4615" max="4615" width="11.140625" style="42" customWidth="1"/>
    <col min="4616" max="4616" width="11.28515625" style="42" customWidth="1"/>
    <col min="4617" max="4617" width="15.7109375" style="42" customWidth="1"/>
    <col min="4618" max="4618" width="8.140625" style="42" customWidth="1"/>
    <col min="4619" max="4865" width="9.140625" style="42"/>
    <col min="4866" max="4866" width="12.7109375" style="42" customWidth="1"/>
    <col min="4867" max="4867" width="36.28515625" style="42" customWidth="1"/>
    <col min="4868" max="4868" width="11" style="42" customWidth="1"/>
    <col min="4869" max="4869" width="13.28515625" style="42" customWidth="1"/>
    <col min="4870" max="4870" width="8.85546875" style="42" customWidth="1"/>
    <col min="4871" max="4871" width="11.140625" style="42" customWidth="1"/>
    <col min="4872" max="4872" width="11.28515625" style="42" customWidth="1"/>
    <col min="4873" max="4873" width="15.7109375" style="42" customWidth="1"/>
    <col min="4874" max="4874" width="8.140625" style="42" customWidth="1"/>
    <col min="4875" max="5121" width="9.140625" style="42"/>
    <col min="5122" max="5122" width="12.7109375" style="42" customWidth="1"/>
    <col min="5123" max="5123" width="36.28515625" style="42" customWidth="1"/>
    <col min="5124" max="5124" width="11" style="42" customWidth="1"/>
    <col min="5125" max="5125" width="13.28515625" style="42" customWidth="1"/>
    <col min="5126" max="5126" width="8.85546875" style="42" customWidth="1"/>
    <col min="5127" max="5127" width="11.140625" style="42" customWidth="1"/>
    <col min="5128" max="5128" width="11.28515625" style="42" customWidth="1"/>
    <col min="5129" max="5129" width="15.7109375" style="42" customWidth="1"/>
    <col min="5130" max="5130" width="8.140625" style="42" customWidth="1"/>
    <col min="5131" max="5377" width="9.140625" style="42"/>
    <col min="5378" max="5378" width="12.7109375" style="42" customWidth="1"/>
    <col min="5379" max="5379" width="36.28515625" style="42" customWidth="1"/>
    <col min="5380" max="5380" width="11" style="42" customWidth="1"/>
    <col min="5381" max="5381" width="13.28515625" style="42" customWidth="1"/>
    <col min="5382" max="5382" width="8.85546875" style="42" customWidth="1"/>
    <col min="5383" max="5383" width="11.140625" style="42" customWidth="1"/>
    <col min="5384" max="5384" width="11.28515625" style="42" customWidth="1"/>
    <col min="5385" max="5385" width="15.7109375" style="42" customWidth="1"/>
    <col min="5386" max="5386" width="8.140625" style="42" customWidth="1"/>
    <col min="5387" max="5633" width="9.140625" style="42"/>
    <col min="5634" max="5634" width="12.7109375" style="42" customWidth="1"/>
    <col min="5635" max="5635" width="36.28515625" style="42" customWidth="1"/>
    <col min="5636" max="5636" width="11" style="42" customWidth="1"/>
    <col min="5637" max="5637" width="13.28515625" style="42" customWidth="1"/>
    <col min="5638" max="5638" width="8.85546875" style="42" customWidth="1"/>
    <col min="5639" max="5639" width="11.140625" style="42" customWidth="1"/>
    <col min="5640" max="5640" width="11.28515625" style="42" customWidth="1"/>
    <col min="5641" max="5641" width="15.7109375" style="42" customWidth="1"/>
    <col min="5642" max="5642" width="8.140625" style="42" customWidth="1"/>
    <col min="5643" max="5889" width="9.140625" style="42"/>
    <col min="5890" max="5890" width="12.7109375" style="42" customWidth="1"/>
    <col min="5891" max="5891" width="36.28515625" style="42" customWidth="1"/>
    <col min="5892" max="5892" width="11" style="42" customWidth="1"/>
    <col min="5893" max="5893" width="13.28515625" style="42" customWidth="1"/>
    <col min="5894" max="5894" width="8.85546875" style="42" customWidth="1"/>
    <col min="5895" max="5895" width="11.140625" style="42" customWidth="1"/>
    <col min="5896" max="5896" width="11.28515625" style="42" customWidth="1"/>
    <col min="5897" max="5897" width="15.7109375" style="42" customWidth="1"/>
    <col min="5898" max="5898" width="8.140625" style="42" customWidth="1"/>
    <col min="5899" max="6145" width="9.140625" style="42"/>
    <col min="6146" max="6146" width="12.7109375" style="42" customWidth="1"/>
    <col min="6147" max="6147" width="36.28515625" style="42" customWidth="1"/>
    <col min="6148" max="6148" width="11" style="42" customWidth="1"/>
    <col min="6149" max="6149" width="13.28515625" style="42" customWidth="1"/>
    <col min="6150" max="6150" width="8.85546875" style="42" customWidth="1"/>
    <col min="6151" max="6151" width="11.140625" style="42" customWidth="1"/>
    <col min="6152" max="6152" width="11.28515625" style="42" customWidth="1"/>
    <col min="6153" max="6153" width="15.7109375" style="42" customWidth="1"/>
    <col min="6154" max="6154" width="8.140625" style="42" customWidth="1"/>
    <col min="6155" max="6401" width="9.140625" style="42"/>
    <col min="6402" max="6402" width="12.7109375" style="42" customWidth="1"/>
    <col min="6403" max="6403" width="36.28515625" style="42" customWidth="1"/>
    <col min="6404" max="6404" width="11" style="42" customWidth="1"/>
    <col min="6405" max="6405" width="13.28515625" style="42" customWidth="1"/>
    <col min="6406" max="6406" width="8.85546875" style="42" customWidth="1"/>
    <col min="6407" max="6407" width="11.140625" style="42" customWidth="1"/>
    <col min="6408" max="6408" width="11.28515625" style="42" customWidth="1"/>
    <col min="6409" max="6409" width="15.7109375" style="42" customWidth="1"/>
    <col min="6410" max="6410" width="8.140625" style="42" customWidth="1"/>
    <col min="6411" max="6657" width="9.140625" style="42"/>
    <col min="6658" max="6658" width="12.7109375" style="42" customWidth="1"/>
    <col min="6659" max="6659" width="36.28515625" style="42" customWidth="1"/>
    <col min="6660" max="6660" width="11" style="42" customWidth="1"/>
    <col min="6661" max="6661" width="13.28515625" style="42" customWidth="1"/>
    <col min="6662" max="6662" width="8.85546875" style="42" customWidth="1"/>
    <col min="6663" max="6663" width="11.140625" style="42" customWidth="1"/>
    <col min="6664" max="6664" width="11.28515625" style="42" customWidth="1"/>
    <col min="6665" max="6665" width="15.7109375" style="42" customWidth="1"/>
    <col min="6666" max="6666" width="8.140625" style="42" customWidth="1"/>
    <col min="6667" max="6913" width="9.140625" style="42"/>
    <col min="6914" max="6914" width="12.7109375" style="42" customWidth="1"/>
    <col min="6915" max="6915" width="36.28515625" style="42" customWidth="1"/>
    <col min="6916" max="6916" width="11" style="42" customWidth="1"/>
    <col min="6917" max="6917" width="13.28515625" style="42" customWidth="1"/>
    <col min="6918" max="6918" width="8.85546875" style="42" customWidth="1"/>
    <col min="6919" max="6919" width="11.140625" style="42" customWidth="1"/>
    <col min="6920" max="6920" width="11.28515625" style="42" customWidth="1"/>
    <col min="6921" max="6921" width="15.7109375" style="42" customWidth="1"/>
    <col min="6922" max="6922" width="8.140625" style="42" customWidth="1"/>
    <col min="6923" max="7169" width="9.140625" style="42"/>
    <col min="7170" max="7170" width="12.7109375" style="42" customWidth="1"/>
    <col min="7171" max="7171" width="36.28515625" style="42" customWidth="1"/>
    <col min="7172" max="7172" width="11" style="42" customWidth="1"/>
    <col min="7173" max="7173" width="13.28515625" style="42" customWidth="1"/>
    <col min="7174" max="7174" width="8.85546875" style="42" customWidth="1"/>
    <col min="7175" max="7175" width="11.140625" style="42" customWidth="1"/>
    <col min="7176" max="7176" width="11.28515625" style="42" customWidth="1"/>
    <col min="7177" max="7177" width="15.7109375" style="42" customWidth="1"/>
    <col min="7178" max="7178" width="8.140625" style="42" customWidth="1"/>
    <col min="7179" max="7425" width="9.140625" style="42"/>
    <col min="7426" max="7426" width="12.7109375" style="42" customWidth="1"/>
    <col min="7427" max="7427" width="36.28515625" style="42" customWidth="1"/>
    <col min="7428" max="7428" width="11" style="42" customWidth="1"/>
    <col min="7429" max="7429" width="13.28515625" style="42" customWidth="1"/>
    <col min="7430" max="7430" width="8.85546875" style="42" customWidth="1"/>
    <col min="7431" max="7431" width="11.140625" style="42" customWidth="1"/>
    <col min="7432" max="7432" width="11.28515625" style="42" customWidth="1"/>
    <col min="7433" max="7433" width="15.7109375" style="42" customWidth="1"/>
    <col min="7434" max="7434" width="8.140625" style="42" customWidth="1"/>
    <col min="7435" max="7681" width="9.140625" style="42"/>
    <col min="7682" max="7682" width="12.7109375" style="42" customWidth="1"/>
    <col min="7683" max="7683" width="36.28515625" style="42" customWidth="1"/>
    <col min="7684" max="7684" width="11" style="42" customWidth="1"/>
    <col min="7685" max="7685" width="13.28515625" style="42" customWidth="1"/>
    <col min="7686" max="7686" width="8.85546875" style="42" customWidth="1"/>
    <col min="7687" max="7687" width="11.140625" style="42" customWidth="1"/>
    <col min="7688" max="7688" width="11.28515625" style="42" customWidth="1"/>
    <col min="7689" max="7689" width="15.7109375" style="42" customWidth="1"/>
    <col min="7690" max="7690" width="8.140625" style="42" customWidth="1"/>
    <col min="7691" max="7937" width="9.140625" style="42"/>
    <col min="7938" max="7938" width="12.7109375" style="42" customWidth="1"/>
    <col min="7939" max="7939" width="36.28515625" style="42" customWidth="1"/>
    <col min="7940" max="7940" width="11" style="42" customWidth="1"/>
    <col min="7941" max="7941" width="13.28515625" style="42" customWidth="1"/>
    <col min="7942" max="7942" width="8.85546875" style="42" customWidth="1"/>
    <col min="7943" max="7943" width="11.140625" style="42" customWidth="1"/>
    <col min="7944" max="7944" width="11.28515625" style="42" customWidth="1"/>
    <col min="7945" max="7945" width="15.7109375" style="42" customWidth="1"/>
    <col min="7946" max="7946" width="8.140625" style="42" customWidth="1"/>
    <col min="7947" max="8193" width="9.140625" style="42"/>
    <col min="8194" max="8194" width="12.7109375" style="42" customWidth="1"/>
    <col min="8195" max="8195" width="36.28515625" style="42" customWidth="1"/>
    <col min="8196" max="8196" width="11" style="42" customWidth="1"/>
    <col min="8197" max="8197" width="13.28515625" style="42" customWidth="1"/>
    <col min="8198" max="8198" width="8.85546875" style="42" customWidth="1"/>
    <col min="8199" max="8199" width="11.140625" style="42" customWidth="1"/>
    <col min="8200" max="8200" width="11.28515625" style="42" customWidth="1"/>
    <col min="8201" max="8201" width="15.7109375" style="42" customWidth="1"/>
    <col min="8202" max="8202" width="8.140625" style="42" customWidth="1"/>
    <col min="8203" max="8449" width="9.140625" style="42"/>
    <col min="8450" max="8450" width="12.7109375" style="42" customWidth="1"/>
    <col min="8451" max="8451" width="36.28515625" style="42" customWidth="1"/>
    <col min="8452" max="8452" width="11" style="42" customWidth="1"/>
    <col min="8453" max="8453" width="13.28515625" style="42" customWidth="1"/>
    <col min="8454" max="8454" width="8.85546875" style="42" customWidth="1"/>
    <col min="8455" max="8455" width="11.140625" style="42" customWidth="1"/>
    <col min="8456" max="8456" width="11.28515625" style="42" customWidth="1"/>
    <col min="8457" max="8457" width="15.7109375" style="42" customWidth="1"/>
    <col min="8458" max="8458" width="8.140625" style="42" customWidth="1"/>
    <col min="8459" max="8705" width="9.140625" style="42"/>
    <col min="8706" max="8706" width="12.7109375" style="42" customWidth="1"/>
    <col min="8707" max="8707" width="36.28515625" style="42" customWidth="1"/>
    <col min="8708" max="8708" width="11" style="42" customWidth="1"/>
    <col min="8709" max="8709" width="13.28515625" style="42" customWidth="1"/>
    <col min="8710" max="8710" width="8.85546875" style="42" customWidth="1"/>
    <col min="8711" max="8711" width="11.140625" style="42" customWidth="1"/>
    <col min="8712" max="8712" width="11.28515625" style="42" customWidth="1"/>
    <col min="8713" max="8713" width="15.7109375" style="42" customWidth="1"/>
    <col min="8714" max="8714" width="8.140625" style="42" customWidth="1"/>
    <col min="8715" max="8961" width="9.140625" style="42"/>
    <col min="8962" max="8962" width="12.7109375" style="42" customWidth="1"/>
    <col min="8963" max="8963" width="36.28515625" style="42" customWidth="1"/>
    <col min="8964" max="8964" width="11" style="42" customWidth="1"/>
    <col min="8965" max="8965" width="13.28515625" style="42" customWidth="1"/>
    <col min="8966" max="8966" width="8.85546875" style="42" customWidth="1"/>
    <col min="8967" max="8967" width="11.140625" style="42" customWidth="1"/>
    <col min="8968" max="8968" width="11.28515625" style="42" customWidth="1"/>
    <col min="8969" max="8969" width="15.7109375" style="42" customWidth="1"/>
    <col min="8970" max="8970" width="8.140625" style="42" customWidth="1"/>
    <col min="8971" max="9217" width="9.140625" style="42"/>
    <col min="9218" max="9218" width="12.7109375" style="42" customWidth="1"/>
    <col min="9219" max="9219" width="36.28515625" style="42" customWidth="1"/>
    <col min="9220" max="9220" width="11" style="42" customWidth="1"/>
    <col min="9221" max="9221" width="13.28515625" style="42" customWidth="1"/>
    <col min="9222" max="9222" width="8.85546875" style="42" customWidth="1"/>
    <col min="9223" max="9223" width="11.140625" style="42" customWidth="1"/>
    <col min="9224" max="9224" width="11.28515625" style="42" customWidth="1"/>
    <col min="9225" max="9225" width="15.7109375" style="42" customWidth="1"/>
    <col min="9226" max="9226" width="8.140625" style="42" customWidth="1"/>
    <col min="9227" max="9473" width="9.140625" style="42"/>
    <col min="9474" max="9474" width="12.7109375" style="42" customWidth="1"/>
    <col min="9475" max="9475" width="36.28515625" style="42" customWidth="1"/>
    <col min="9476" max="9476" width="11" style="42" customWidth="1"/>
    <col min="9477" max="9477" width="13.28515625" style="42" customWidth="1"/>
    <col min="9478" max="9478" width="8.85546875" style="42" customWidth="1"/>
    <col min="9479" max="9479" width="11.140625" style="42" customWidth="1"/>
    <col min="9480" max="9480" width="11.28515625" style="42" customWidth="1"/>
    <col min="9481" max="9481" width="15.7109375" style="42" customWidth="1"/>
    <col min="9482" max="9482" width="8.140625" style="42" customWidth="1"/>
    <col min="9483" max="9729" width="9.140625" style="42"/>
    <col min="9730" max="9730" width="12.7109375" style="42" customWidth="1"/>
    <col min="9731" max="9731" width="36.28515625" style="42" customWidth="1"/>
    <col min="9732" max="9732" width="11" style="42" customWidth="1"/>
    <col min="9733" max="9733" width="13.28515625" style="42" customWidth="1"/>
    <col min="9734" max="9734" width="8.85546875" style="42" customWidth="1"/>
    <col min="9735" max="9735" width="11.140625" style="42" customWidth="1"/>
    <col min="9736" max="9736" width="11.28515625" style="42" customWidth="1"/>
    <col min="9737" max="9737" width="15.7109375" style="42" customWidth="1"/>
    <col min="9738" max="9738" width="8.140625" style="42" customWidth="1"/>
    <col min="9739" max="9985" width="9.140625" style="42"/>
    <col min="9986" max="9986" width="12.7109375" style="42" customWidth="1"/>
    <col min="9987" max="9987" width="36.28515625" style="42" customWidth="1"/>
    <col min="9988" max="9988" width="11" style="42" customWidth="1"/>
    <col min="9989" max="9989" width="13.28515625" style="42" customWidth="1"/>
    <col min="9990" max="9990" width="8.85546875" style="42" customWidth="1"/>
    <col min="9991" max="9991" width="11.140625" style="42" customWidth="1"/>
    <col min="9992" max="9992" width="11.28515625" style="42" customWidth="1"/>
    <col min="9993" max="9993" width="15.7109375" style="42" customWidth="1"/>
    <col min="9994" max="9994" width="8.140625" style="42" customWidth="1"/>
    <col min="9995" max="10241" width="9.140625" style="42"/>
    <col min="10242" max="10242" width="12.7109375" style="42" customWidth="1"/>
    <col min="10243" max="10243" width="36.28515625" style="42" customWidth="1"/>
    <col min="10244" max="10244" width="11" style="42" customWidth="1"/>
    <col min="10245" max="10245" width="13.28515625" style="42" customWidth="1"/>
    <col min="10246" max="10246" width="8.85546875" style="42" customWidth="1"/>
    <col min="10247" max="10247" width="11.140625" style="42" customWidth="1"/>
    <col min="10248" max="10248" width="11.28515625" style="42" customWidth="1"/>
    <col min="10249" max="10249" width="15.7109375" style="42" customWidth="1"/>
    <col min="10250" max="10250" width="8.140625" style="42" customWidth="1"/>
    <col min="10251" max="10497" width="9.140625" style="42"/>
    <col min="10498" max="10498" width="12.7109375" style="42" customWidth="1"/>
    <col min="10499" max="10499" width="36.28515625" style="42" customWidth="1"/>
    <col min="10500" max="10500" width="11" style="42" customWidth="1"/>
    <col min="10501" max="10501" width="13.28515625" style="42" customWidth="1"/>
    <col min="10502" max="10502" width="8.85546875" style="42" customWidth="1"/>
    <col min="10503" max="10503" width="11.140625" style="42" customWidth="1"/>
    <col min="10504" max="10504" width="11.28515625" style="42" customWidth="1"/>
    <col min="10505" max="10505" width="15.7109375" style="42" customWidth="1"/>
    <col min="10506" max="10506" width="8.140625" style="42" customWidth="1"/>
    <col min="10507" max="10753" width="9.140625" style="42"/>
    <col min="10754" max="10754" width="12.7109375" style="42" customWidth="1"/>
    <col min="10755" max="10755" width="36.28515625" style="42" customWidth="1"/>
    <col min="10756" max="10756" width="11" style="42" customWidth="1"/>
    <col min="10757" max="10757" width="13.28515625" style="42" customWidth="1"/>
    <col min="10758" max="10758" width="8.85546875" style="42" customWidth="1"/>
    <col min="10759" max="10759" width="11.140625" style="42" customWidth="1"/>
    <col min="10760" max="10760" width="11.28515625" style="42" customWidth="1"/>
    <col min="10761" max="10761" width="15.7109375" style="42" customWidth="1"/>
    <col min="10762" max="10762" width="8.140625" style="42" customWidth="1"/>
    <col min="10763" max="11009" width="9.140625" style="42"/>
    <col min="11010" max="11010" width="12.7109375" style="42" customWidth="1"/>
    <col min="11011" max="11011" width="36.28515625" style="42" customWidth="1"/>
    <col min="11012" max="11012" width="11" style="42" customWidth="1"/>
    <col min="11013" max="11013" width="13.28515625" style="42" customWidth="1"/>
    <col min="11014" max="11014" width="8.85546875" style="42" customWidth="1"/>
    <col min="11015" max="11015" width="11.140625" style="42" customWidth="1"/>
    <col min="11016" max="11016" width="11.28515625" style="42" customWidth="1"/>
    <col min="11017" max="11017" width="15.7109375" style="42" customWidth="1"/>
    <col min="11018" max="11018" width="8.140625" style="42" customWidth="1"/>
    <col min="11019" max="11265" width="9.140625" style="42"/>
    <col min="11266" max="11266" width="12.7109375" style="42" customWidth="1"/>
    <col min="11267" max="11267" width="36.28515625" style="42" customWidth="1"/>
    <col min="11268" max="11268" width="11" style="42" customWidth="1"/>
    <col min="11269" max="11269" width="13.28515625" style="42" customWidth="1"/>
    <col min="11270" max="11270" width="8.85546875" style="42" customWidth="1"/>
    <col min="11271" max="11271" width="11.140625" style="42" customWidth="1"/>
    <col min="11272" max="11272" width="11.28515625" style="42" customWidth="1"/>
    <col min="11273" max="11273" width="15.7109375" style="42" customWidth="1"/>
    <col min="11274" max="11274" width="8.140625" style="42" customWidth="1"/>
    <col min="11275" max="11521" width="9.140625" style="42"/>
    <col min="11522" max="11522" width="12.7109375" style="42" customWidth="1"/>
    <col min="11523" max="11523" width="36.28515625" style="42" customWidth="1"/>
    <col min="11524" max="11524" width="11" style="42" customWidth="1"/>
    <col min="11525" max="11525" width="13.28515625" style="42" customWidth="1"/>
    <col min="11526" max="11526" width="8.85546875" style="42" customWidth="1"/>
    <col min="11527" max="11527" width="11.140625" style="42" customWidth="1"/>
    <col min="11528" max="11528" width="11.28515625" style="42" customWidth="1"/>
    <col min="11529" max="11529" width="15.7109375" style="42" customWidth="1"/>
    <col min="11530" max="11530" width="8.140625" style="42" customWidth="1"/>
    <col min="11531" max="11777" width="9.140625" style="42"/>
    <col min="11778" max="11778" width="12.7109375" style="42" customWidth="1"/>
    <col min="11779" max="11779" width="36.28515625" style="42" customWidth="1"/>
    <col min="11780" max="11780" width="11" style="42" customWidth="1"/>
    <col min="11781" max="11781" width="13.28515625" style="42" customWidth="1"/>
    <col min="11782" max="11782" width="8.85546875" style="42" customWidth="1"/>
    <col min="11783" max="11783" width="11.140625" style="42" customWidth="1"/>
    <col min="11784" max="11784" width="11.28515625" style="42" customWidth="1"/>
    <col min="11785" max="11785" width="15.7109375" style="42" customWidth="1"/>
    <col min="11786" max="11786" width="8.140625" style="42" customWidth="1"/>
    <col min="11787" max="12033" width="9.140625" style="42"/>
    <col min="12034" max="12034" width="12.7109375" style="42" customWidth="1"/>
    <col min="12035" max="12035" width="36.28515625" style="42" customWidth="1"/>
    <col min="12036" max="12036" width="11" style="42" customWidth="1"/>
    <col min="12037" max="12037" width="13.28515625" style="42" customWidth="1"/>
    <col min="12038" max="12038" width="8.85546875" style="42" customWidth="1"/>
    <col min="12039" max="12039" width="11.140625" style="42" customWidth="1"/>
    <col min="12040" max="12040" width="11.28515625" style="42" customWidth="1"/>
    <col min="12041" max="12041" width="15.7109375" style="42" customWidth="1"/>
    <col min="12042" max="12042" width="8.140625" style="42" customWidth="1"/>
    <col min="12043" max="12289" width="9.140625" style="42"/>
    <col min="12290" max="12290" width="12.7109375" style="42" customWidth="1"/>
    <col min="12291" max="12291" width="36.28515625" style="42" customWidth="1"/>
    <col min="12292" max="12292" width="11" style="42" customWidth="1"/>
    <col min="12293" max="12293" width="13.28515625" style="42" customWidth="1"/>
    <col min="12294" max="12294" width="8.85546875" style="42" customWidth="1"/>
    <col min="12295" max="12295" width="11.140625" style="42" customWidth="1"/>
    <col min="12296" max="12296" width="11.28515625" style="42" customWidth="1"/>
    <col min="12297" max="12297" width="15.7109375" style="42" customWidth="1"/>
    <col min="12298" max="12298" width="8.140625" style="42" customWidth="1"/>
    <col min="12299" max="12545" width="9.140625" style="42"/>
    <col min="12546" max="12546" width="12.7109375" style="42" customWidth="1"/>
    <col min="12547" max="12547" width="36.28515625" style="42" customWidth="1"/>
    <col min="12548" max="12548" width="11" style="42" customWidth="1"/>
    <col min="12549" max="12549" width="13.28515625" style="42" customWidth="1"/>
    <col min="12550" max="12550" width="8.85546875" style="42" customWidth="1"/>
    <col min="12551" max="12551" width="11.140625" style="42" customWidth="1"/>
    <col min="12552" max="12552" width="11.28515625" style="42" customWidth="1"/>
    <col min="12553" max="12553" width="15.7109375" style="42" customWidth="1"/>
    <col min="12554" max="12554" width="8.140625" style="42" customWidth="1"/>
    <col min="12555" max="12801" width="9.140625" style="42"/>
    <col min="12802" max="12802" width="12.7109375" style="42" customWidth="1"/>
    <col min="12803" max="12803" width="36.28515625" style="42" customWidth="1"/>
    <col min="12804" max="12804" width="11" style="42" customWidth="1"/>
    <col min="12805" max="12805" width="13.28515625" style="42" customWidth="1"/>
    <col min="12806" max="12806" width="8.85546875" style="42" customWidth="1"/>
    <col min="12807" max="12807" width="11.140625" style="42" customWidth="1"/>
    <col min="12808" max="12808" width="11.28515625" style="42" customWidth="1"/>
    <col min="12809" max="12809" width="15.7109375" style="42" customWidth="1"/>
    <col min="12810" max="12810" width="8.140625" style="42" customWidth="1"/>
    <col min="12811" max="13057" width="9.140625" style="42"/>
    <col min="13058" max="13058" width="12.7109375" style="42" customWidth="1"/>
    <col min="13059" max="13059" width="36.28515625" style="42" customWidth="1"/>
    <col min="13060" max="13060" width="11" style="42" customWidth="1"/>
    <col min="13061" max="13061" width="13.28515625" style="42" customWidth="1"/>
    <col min="13062" max="13062" width="8.85546875" style="42" customWidth="1"/>
    <col min="13063" max="13063" width="11.140625" style="42" customWidth="1"/>
    <col min="13064" max="13064" width="11.28515625" style="42" customWidth="1"/>
    <col min="13065" max="13065" width="15.7109375" style="42" customWidth="1"/>
    <col min="13066" max="13066" width="8.140625" style="42" customWidth="1"/>
    <col min="13067" max="13313" width="9.140625" style="42"/>
    <col min="13314" max="13314" width="12.7109375" style="42" customWidth="1"/>
    <col min="13315" max="13315" width="36.28515625" style="42" customWidth="1"/>
    <col min="13316" max="13316" width="11" style="42" customWidth="1"/>
    <col min="13317" max="13317" width="13.28515625" style="42" customWidth="1"/>
    <col min="13318" max="13318" width="8.85546875" style="42" customWidth="1"/>
    <col min="13319" max="13319" width="11.140625" style="42" customWidth="1"/>
    <col min="13320" max="13320" width="11.28515625" style="42" customWidth="1"/>
    <col min="13321" max="13321" width="15.7109375" style="42" customWidth="1"/>
    <col min="13322" max="13322" width="8.140625" style="42" customWidth="1"/>
    <col min="13323" max="13569" width="9.140625" style="42"/>
    <col min="13570" max="13570" width="12.7109375" style="42" customWidth="1"/>
    <col min="13571" max="13571" width="36.28515625" style="42" customWidth="1"/>
    <col min="13572" max="13572" width="11" style="42" customWidth="1"/>
    <col min="13573" max="13573" width="13.28515625" style="42" customWidth="1"/>
    <col min="13574" max="13574" width="8.85546875" style="42" customWidth="1"/>
    <col min="13575" max="13575" width="11.140625" style="42" customWidth="1"/>
    <col min="13576" max="13576" width="11.28515625" style="42" customWidth="1"/>
    <col min="13577" max="13577" width="15.7109375" style="42" customWidth="1"/>
    <col min="13578" max="13578" width="8.140625" style="42" customWidth="1"/>
    <col min="13579" max="13825" width="9.140625" style="42"/>
    <col min="13826" max="13826" width="12.7109375" style="42" customWidth="1"/>
    <col min="13827" max="13827" width="36.28515625" style="42" customWidth="1"/>
    <col min="13828" max="13828" width="11" style="42" customWidth="1"/>
    <col min="13829" max="13829" width="13.28515625" style="42" customWidth="1"/>
    <col min="13830" max="13830" width="8.85546875" style="42" customWidth="1"/>
    <col min="13831" max="13831" width="11.140625" style="42" customWidth="1"/>
    <col min="13832" max="13832" width="11.28515625" style="42" customWidth="1"/>
    <col min="13833" max="13833" width="15.7109375" style="42" customWidth="1"/>
    <col min="13834" max="13834" width="8.140625" style="42" customWidth="1"/>
    <col min="13835" max="14081" width="9.140625" style="42"/>
    <col min="14082" max="14082" width="12.7109375" style="42" customWidth="1"/>
    <col min="14083" max="14083" width="36.28515625" style="42" customWidth="1"/>
    <col min="14084" max="14084" width="11" style="42" customWidth="1"/>
    <col min="14085" max="14085" width="13.28515625" style="42" customWidth="1"/>
    <col min="14086" max="14086" width="8.85546875" style="42" customWidth="1"/>
    <col min="14087" max="14087" width="11.140625" style="42" customWidth="1"/>
    <col min="14088" max="14088" width="11.28515625" style="42" customWidth="1"/>
    <col min="14089" max="14089" width="15.7109375" style="42" customWidth="1"/>
    <col min="14090" max="14090" width="8.140625" style="42" customWidth="1"/>
    <col min="14091" max="14337" width="9.140625" style="42"/>
    <col min="14338" max="14338" width="12.7109375" style="42" customWidth="1"/>
    <col min="14339" max="14339" width="36.28515625" style="42" customWidth="1"/>
    <col min="14340" max="14340" width="11" style="42" customWidth="1"/>
    <col min="14341" max="14341" width="13.28515625" style="42" customWidth="1"/>
    <col min="14342" max="14342" width="8.85546875" style="42" customWidth="1"/>
    <col min="14343" max="14343" width="11.140625" style="42" customWidth="1"/>
    <col min="14344" max="14344" width="11.28515625" style="42" customWidth="1"/>
    <col min="14345" max="14345" width="15.7109375" style="42" customWidth="1"/>
    <col min="14346" max="14346" width="8.140625" style="42" customWidth="1"/>
    <col min="14347" max="14593" width="9.140625" style="42"/>
    <col min="14594" max="14594" width="12.7109375" style="42" customWidth="1"/>
    <col min="14595" max="14595" width="36.28515625" style="42" customWidth="1"/>
    <col min="14596" max="14596" width="11" style="42" customWidth="1"/>
    <col min="14597" max="14597" width="13.28515625" style="42" customWidth="1"/>
    <col min="14598" max="14598" width="8.85546875" style="42" customWidth="1"/>
    <col min="14599" max="14599" width="11.140625" style="42" customWidth="1"/>
    <col min="14600" max="14600" width="11.28515625" style="42" customWidth="1"/>
    <col min="14601" max="14601" width="15.7109375" style="42" customWidth="1"/>
    <col min="14602" max="14602" width="8.140625" style="42" customWidth="1"/>
    <col min="14603" max="14849" width="9.140625" style="42"/>
    <col min="14850" max="14850" width="12.7109375" style="42" customWidth="1"/>
    <col min="14851" max="14851" width="36.28515625" style="42" customWidth="1"/>
    <col min="14852" max="14852" width="11" style="42" customWidth="1"/>
    <col min="14853" max="14853" width="13.28515625" style="42" customWidth="1"/>
    <col min="14854" max="14854" width="8.85546875" style="42" customWidth="1"/>
    <col min="14855" max="14855" width="11.140625" style="42" customWidth="1"/>
    <col min="14856" max="14856" width="11.28515625" style="42" customWidth="1"/>
    <col min="14857" max="14857" width="15.7109375" style="42" customWidth="1"/>
    <col min="14858" max="14858" width="8.140625" style="42" customWidth="1"/>
    <col min="14859" max="15105" width="9.140625" style="42"/>
    <col min="15106" max="15106" width="12.7109375" style="42" customWidth="1"/>
    <col min="15107" max="15107" width="36.28515625" style="42" customWidth="1"/>
    <col min="15108" max="15108" width="11" style="42" customWidth="1"/>
    <col min="15109" max="15109" width="13.28515625" style="42" customWidth="1"/>
    <col min="15110" max="15110" width="8.85546875" style="42" customWidth="1"/>
    <col min="15111" max="15111" width="11.140625" style="42" customWidth="1"/>
    <col min="15112" max="15112" width="11.28515625" style="42" customWidth="1"/>
    <col min="15113" max="15113" width="15.7109375" style="42" customWidth="1"/>
    <col min="15114" max="15114" width="8.140625" style="42" customWidth="1"/>
    <col min="15115" max="15361" width="9.140625" style="42"/>
    <col min="15362" max="15362" width="12.7109375" style="42" customWidth="1"/>
    <col min="15363" max="15363" width="36.28515625" style="42" customWidth="1"/>
    <col min="15364" max="15364" width="11" style="42" customWidth="1"/>
    <col min="15365" max="15365" width="13.28515625" style="42" customWidth="1"/>
    <col min="15366" max="15366" width="8.85546875" style="42" customWidth="1"/>
    <col min="15367" max="15367" width="11.140625" style="42" customWidth="1"/>
    <col min="15368" max="15368" width="11.28515625" style="42" customWidth="1"/>
    <col min="15369" max="15369" width="15.7109375" style="42" customWidth="1"/>
    <col min="15370" max="15370" width="8.140625" style="42" customWidth="1"/>
    <col min="15371" max="15617" width="9.140625" style="42"/>
    <col min="15618" max="15618" width="12.7109375" style="42" customWidth="1"/>
    <col min="15619" max="15619" width="36.28515625" style="42" customWidth="1"/>
    <col min="15620" max="15620" width="11" style="42" customWidth="1"/>
    <col min="15621" max="15621" width="13.28515625" style="42" customWidth="1"/>
    <col min="15622" max="15622" width="8.85546875" style="42" customWidth="1"/>
    <col min="15623" max="15623" width="11.140625" style="42" customWidth="1"/>
    <col min="15624" max="15624" width="11.28515625" style="42" customWidth="1"/>
    <col min="15625" max="15625" width="15.7109375" style="42" customWidth="1"/>
    <col min="15626" max="15626" width="8.140625" style="42" customWidth="1"/>
    <col min="15627" max="15873" width="9.140625" style="42"/>
    <col min="15874" max="15874" width="12.7109375" style="42" customWidth="1"/>
    <col min="15875" max="15875" width="36.28515625" style="42" customWidth="1"/>
    <col min="15876" max="15876" width="11" style="42" customWidth="1"/>
    <col min="15877" max="15877" width="13.28515625" style="42" customWidth="1"/>
    <col min="15878" max="15878" width="8.85546875" style="42" customWidth="1"/>
    <col min="15879" max="15879" width="11.140625" style="42" customWidth="1"/>
    <col min="15880" max="15880" width="11.28515625" style="42" customWidth="1"/>
    <col min="15881" max="15881" width="15.7109375" style="42" customWidth="1"/>
    <col min="15882" max="15882" width="8.140625" style="42" customWidth="1"/>
    <col min="15883" max="16129" width="9.140625" style="42"/>
    <col min="16130" max="16130" width="12.7109375" style="42" customWidth="1"/>
    <col min="16131" max="16131" width="36.28515625" style="42" customWidth="1"/>
    <col min="16132" max="16132" width="11" style="42" customWidth="1"/>
    <col min="16133" max="16133" width="13.28515625" style="42" customWidth="1"/>
    <col min="16134" max="16134" width="8.85546875" style="42" customWidth="1"/>
    <col min="16135" max="16135" width="11.140625" style="42" customWidth="1"/>
    <col min="16136" max="16136" width="11.28515625" style="42" customWidth="1"/>
    <col min="16137" max="16137" width="15.7109375" style="42" customWidth="1"/>
    <col min="16138" max="16138" width="8.140625" style="42" customWidth="1"/>
    <col min="16139" max="16384" width="9.140625" style="42"/>
  </cols>
  <sheetData>
    <row r="2" spans="3:9" x14ac:dyDescent="0.25">
      <c r="C2" s="458"/>
      <c r="D2" s="458"/>
      <c r="E2" s="458"/>
      <c r="F2" s="458"/>
      <c r="G2" s="458"/>
      <c r="H2" s="458"/>
    </row>
    <row r="3" spans="3:9" x14ac:dyDescent="0.25">
      <c r="C3" s="458" t="s">
        <v>424</v>
      </c>
      <c r="D3" s="458"/>
      <c r="E3" s="458"/>
      <c r="F3" s="458"/>
      <c r="G3" s="458"/>
      <c r="H3" s="458"/>
    </row>
    <row r="4" spans="3:9" ht="15.75" thickBot="1" x14ac:dyDescent="0.3"/>
    <row r="5" spans="3:9" x14ac:dyDescent="0.25">
      <c r="C5" s="481" t="s">
        <v>23</v>
      </c>
      <c r="D5" s="483" t="s">
        <v>117</v>
      </c>
      <c r="E5" s="483" t="s">
        <v>118</v>
      </c>
      <c r="F5" s="485" t="s">
        <v>119</v>
      </c>
      <c r="G5" s="485"/>
      <c r="H5" s="486" t="s">
        <v>106</v>
      </c>
    </row>
    <row r="6" spans="3:9" ht="15.75" thickBot="1" x14ac:dyDescent="0.3">
      <c r="C6" s="482"/>
      <c r="D6" s="484"/>
      <c r="E6" s="484"/>
      <c r="F6" s="75" t="s">
        <v>120</v>
      </c>
      <c r="G6" s="75" t="s">
        <v>121</v>
      </c>
      <c r="H6" s="487"/>
    </row>
    <row r="7" spans="3:9" ht="15.75" thickBot="1" x14ac:dyDescent="0.3">
      <c r="C7" s="76" t="s">
        <v>154</v>
      </c>
      <c r="D7" s="77"/>
      <c r="E7" s="77"/>
      <c r="F7" s="77"/>
      <c r="G7" s="77"/>
      <c r="H7" s="78"/>
    </row>
    <row r="8" spans="3:9" x14ac:dyDescent="0.25">
      <c r="C8" s="79" t="s">
        <v>71</v>
      </c>
      <c r="D8" s="81">
        <f>Sueldos!I8/12</f>
        <v>2295</v>
      </c>
      <c r="E8" s="81"/>
      <c r="F8" s="80">
        <f t="shared" ref="F8:F13" si="0">D8</f>
        <v>2295</v>
      </c>
      <c r="G8" s="80"/>
      <c r="H8" s="372">
        <f>F8+G8</f>
        <v>2295</v>
      </c>
    </row>
    <row r="9" spans="3:9" x14ac:dyDescent="0.25">
      <c r="C9" s="79" t="s">
        <v>72</v>
      </c>
      <c r="D9" s="81">
        <f>1500/Resumen!C20</f>
        <v>416.66666666666663</v>
      </c>
      <c r="E9" s="81">
        <v>1</v>
      </c>
      <c r="F9" s="80">
        <f t="shared" si="0"/>
        <v>416.66666666666663</v>
      </c>
      <c r="G9" s="80"/>
      <c r="H9" s="82">
        <f>F9</f>
        <v>416.66666666666663</v>
      </c>
    </row>
    <row r="10" spans="3:9" x14ac:dyDescent="0.25">
      <c r="C10" s="83" t="s">
        <v>73</v>
      </c>
      <c r="D10" s="84">
        <v>66.111111111111114</v>
      </c>
      <c r="E10" s="85">
        <v>1</v>
      </c>
      <c r="F10" s="84">
        <f>D10</f>
        <v>66.111111111111114</v>
      </c>
      <c r="G10" s="84"/>
      <c r="H10" s="82">
        <f>F10+G10</f>
        <v>66.111111111111114</v>
      </c>
    </row>
    <row r="11" spans="3:9" x14ac:dyDescent="0.25">
      <c r="C11" s="83" t="s">
        <v>74</v>
      </c>
      <c r="D11" s="84">
        <v>22.222222222222221</v>
      </c>
      <c r="E11" s="85">
        <v>1</v>
      </c>
      <c r="F11" s="84"/>
      <c r="G11" s="84">
        <f>D11</f>
        <v>22.222222222222221</v>
      </c>
      <c r="H11" s="82">
        <f>F11+G11</f>
        <v>22.222222222222221</v>
      </c>
    </row>
    <row r="12" spans="3:9" x14ac:dyDescent="0.25">
      <c r="C12" s="83" t="s">
        <v>75</v>
      </c>
      <c r="D12" s="84">
        <v>8.3333333333333339</v>
      </c>
      <c r="E12" s="85">
        <v>1</v>
      </c>
      <c r="F12" s="84"/>
      <c r="G12" s="84">
        <f>D12</f>
        <v>8.3333333333333339</v>
      </c>
      <c r="H12" s="82">
        <f>F12+G12</f>
        <v>8.3333333333333339</v>
      </c>
    </row>
    <row r="13" spans="3:9" ht="15.75" thickBot="1" x14ac:dyDescent="0.3">
      <c r="C13" s="86" t="s">
        <v>155</v>
      </c>
      <c r="D13" s="87">
        <f>+'Inversión inicial'!F35/120</f>
        <v>5.3587962962962958</v>
      </c>
      <c r="E13" s="88">
        <v>1</v>
      </c>
      <c r="F13" s="87">
        <f t="shared" si="0"/>
        <v>5.3587962962962958</v>
      </c>
      <c r="G13" s="87"/>
      <c r="H13" s="82">
        <f>F13+G13</f>
        <v>5.3587962962962958</v>
      </c>
    </row>
    <row r="14" spans="3:9" ht="15.75" thickBot="1" x14ac:dyDescent="0.3">
      <c r="C14" s="89" t="s">
        <v>156</v>
      </c>
      <c r="D14" s="90">
        <f>SUM(D8:D13)</f>
        <v>2813.6921296296296</v>
      </c>
      <c r="E14" s="90">
        <f t="shared" ref="E14:H14" si="1">SUM(E8:E13)</f>
        <v>5</v>
      </c>
      <c r="F14" s="90">
        <f t="shared" si="1"/>
        <v>2783.1365740740739</v>
      </c>
      <c r="G14" s="90">
        <f t="shared" si="1"/>
        <v>30.555555555555557</v>
      </c>
      <c r="H14" s="90">
        <f t="shared" si="1"/>
        <v>2813.6921296296296</v>
      </c>
      <c r="I14" s="91">
        <f>+H14-H13</f>
        <v>2808.3333333333335</v>
      </c>
    </row>
    <row r="15" spans="3:9" x14ac:dyDescent="0.25">
      <c r="C15" s="92" t="s">
        <v>157</v>
      </c>
      <c r="D15" s="81"/>
      <c r="E15" s="81"/>
      <c r="F15" s="81"/>
      <c r="G15" s="81"/>
      <c r="H15" s="93"/>
    </row>
    <row r="16" spans="3:9" x14ac:dyDescent="0.25">
      <c r="C16" s="47" t="s">
        <v>393</v>
      </c>
      <c r="D16" s="85">
        <f>Sueldos!I12/12</f>
        <v>607.5</v>
      </c>
      <c r="E16" s="85">
        <v>1</v>
      </c>
      <c r="F16" s="85">
        <f>D16</f>
        <v>607.5</v>
      </c>
      <c r="G16" s="85"/>
      <c r="H16" s="94">
        <f>+F16</f>
        <v>607.5</v>
      </c>
    </row>
    <row r="17" spans="3:8" x14ac:dyDescent="0.25">
      <c r="C17" s="95" t="s">
        <v>77</v>
      </c>
      <c r="D17" s="85">
        <f>3500/Resumen!C20</f>
        <v>972.22222222222217</v>
      </c>
      <c r="E17" s="85">
        <v>1</v>
      </c>
      <c r="F17" s="85"/>
      <c r="G17" s="85">
        <f>D17</f>
        <v>972.22222222222217</v>
      </c>
      <c r="H17" s="94">
        <f>SUM(F17:G17)</f>
        <v>972.22222222222217</v>
      </c>
    </row>
    <row r="18" spans="3:8" x14ac:dyDescent="0.25">
      <c r="C18" s="96" t="s">
        <v>78</v>
      </c>
      <c r="D18" s="88">
        <f>+G38/12</f>
        <v>111.11111111111113</v>
      </c>
      <c r="E18" s="88">
        <v>1</v>
      </c>
      <c r="F18" s="88"/>
      <c r="G18" s="88">
        <f>D18</f>
        <v>111.11111111111113</v>
      </c>
      <c r="H18" s="97">
        <f>F18+G18</f>
        <v>111.11111111111113</v>
      </c>
    </row>
    <row r="19" spans="3:8" ht="15.75" thickBot="1" x14ac:dyDescent="0.3">
      <c r="C19" s="96" t="s">
        <v>79</v>
      </c>
      <c r="D19" s="88">
        <v>83.333333333333329</v>
      </c>
      <c r="E19" s="88">
        <v>1</v>
      </c>
      <c r="F19" s="88"/>
      <c r="G19" s="88">
        <f>D19</f>
        <v>83.333333333333329</v>
      </c>
      <c r="H19" s="97">
        <f>F19+G19</f>
        <v>83.333333333333329</v>
      </c>
    </row>
    <row r="20" spans="3:8" ht="15.75" thickBot="1" x14ac:dyDescent="0.3">
      <c r="C20" s="89" t="s">
        <v>158</v>
      </c>
      <c r="D20" s="90">
        <f>SUM(D16:D19)</f>
        <v>1774.1666666666665</v>
      </c>
      <c r="E20" s="90">
        <f>SUM(E16:E19)</f>
        <v>4</v>
      </c>
      <c r="F20" s="90">
        <f>SUM(F16:F19)</f>
        <v>607.5</v>
      </c>
      <c r="G20" s="90">
        <f>SUM(G16:G19)</f>
        <v>1166.6666666666665</v>
      </c>
      <c r="H20" s="90">
        <f>SUM(H16:H19)</f>
        <v>1774.1666666666665</v>
      </c>
    </row>
    <row r="21" spans="3:8" ht="15.75" thickBot="1" x14ac:dyDescent="0.3">
      <c r="C21" s="98" t="s">
        <v>159</v>
      </c>
      <c r="D21" s="99">
        <f>D14+D20</f>
        <v>4587.8587962962956</v>
      </c>
      <c r="E21" s="99">
        <f>E14+E20</f>
        <v>9</v>
      </c>
      <c r="F21" s="99">
        <f>F14+F20</f>
        <v>3390.6365740740739</v>
      </c>
      <c r="G21" s="99">
        <f>G14+G20</f>
        <v>1197.2222222222222</v>
      </c>
      <c r="H21" s="99">
        <f>H14+H20</f>
        <v>4587.8587962962956</v>
      </c>
    </row>
    <row r="22" spans="3:8" x14ac:dyDescent="0.25">
      <c r="C22" s="465"/>
      <c r="D22" s="465"/>
      <c r="E22" s="100"/>
      <c r="F22" s="100"/>
      <c r="G22" s="100"/>
    </row>
    <row r="23" spans="3:8" x14ac:dyDescent="0.25">
      <c r="C23" s="460" t="s">
        <v>160</v>
      </c>
      <c r="D23" s="460"/>
      <c r="E23" s="460"/>
      <c r="F23" s="460"/>
      <c r="G23" s="460"/>
    </row>
    <row r="24" spans="3:8" ht="15.75" thickBot="1" x14ac:dyDescent="0.3">
      <c r="C24" s="101"/>
      <c r="D24" s="101"/>
      <c r="E24" s="101"/>
      <c r="F24" s="101"/>
      <c r="G24" s="101"/>
    </row>
    <row r="25" spans="3:8" ht="18.75" customHeight="1" x14ac:dyDescent="0.25">
      <c r="C25" s="466" t="s">
        <v>161</v>
      </c>
      <c r="D25" s="469" t="s">
        <v>162</v>
      </c>
      <c r="E25" s="472" t="s">
        <v>163</v>
      </c>
      <c r="F25" s="475" t="s">
        <v>164</v>
      </c>
      <c r="G25" s="478" t="s">
        <v>165</v>
      </c>
    </row>
    <row r="26" spans="3:8" x14ac:dyDescent="0.25">
      <c r="C26" s="467"/>
      <c r="D26" s="470"/>
      <c r="E26" s="473"/>
      <c r="F26" s="476"/>
      <c r="G26" s="479"/>
    </row>
    <row r="27" spans="3:8" ht="5.25" customHeight="1" thickBot="1" x14ac:dyDescent="0.3">
      <c r="C27" s="468"/>
      <c r="D27" s="471"/>
      <c r="E27" s="474"/>
      <c r="F27" s="477"/>
      <c r="G27" s="480"/>
    </row>
    <row r="28" spans="3:8" ht="17.25" customHeight="1" x14ac:dyDescent="0.25">
      <c r="C28" s="102" t="s">
        <v>166</v>
      </c>
      <c r="D28" s="103"/>
      <c r="E28" s="103"/>
      <c r="F28" s="104"/>
      <c r="G28" s="105"/>
    </row>
    <row r="29" spans="3:8" ht="16.5" customHeight="1" x14ac:dyDescent="0.25">
      <c r="C29" s="106" t="s">
        <v>167</v>
      </c>
      <c r="D29" s="107"/>
      <c r="E29" s="107"/>
      <c r="F29" s="108"/>
      <c r="G29" s="109"/>
    </row>
    <row r="30" spans="3:8" x14ac:dyDescent="0.25">
      <c r="C30" s="106" t="s">
        <v>168</v>
      </c>
      <c r="D30" s="110"/>
      <c r="E30" s="110"/>
      <c r="F30" s="110"/>
      <c r="G30" s="111"/>
    </row>
    <row r="31" spans="3:8" x14ac:dyDescent="0.25">
      <c r="C31" s="106" t="s">
        <v>169</v>
      </c>
      <c r="D31" s="110"/>
      <c r="E31" s="110"/>
      <c r="F31" s="110"/>
      <c r="G31" s="111"/>
    </row>
    <row r="32" spans="3:8" x14ac:dyDescent="0.25">
      <c r="C32" s="106" t="s">
        <v>170</v>
      </c>
      <c r="D32" s="110"/>
      <c r="E32" s="110"/>
      <c r="F32" s="110"/>
      <c r="G32" s="111"/>
    </row>
    <row r="33" spans="3:7" x14ac:dyDescent="0.25">
      <c r="C33" s="106" t="s">
        <v>171</v>
      </c>
      <c r="D33" s="110"/>
      <c r="E33" s="110"/>
      <c r="F33" s="110"/>
      <c r="G33" s="111"/>
    </row>
    <row r="34" spans="3:7" x14ac:dyDescent="0.25">
      <c r="C34" s="106" t="s">
        <v>172</v>
      </c>
      <c r="D34" s="112">
        <v>27.777777777777779</v>
      </c>
      <c r="E34" s="110">
        <v>12</v>
      </c>
      <c r="F34" s="110"/>
      <c r="G34" s="113">
        <f>D34*E34</f>
        <v>333.33333333333337</v>
      </c>
    </row>
    <row r="35" spans="3:7" x14ac:dyDescent="0.25">
      <c r="C35" s="114" t="s">
        <v>173</v>
      </c>
      <c r="D35" s="112">
        <v>27.777777777777779</v>
      </c>
      <c r="E35" s="110">
        <v>12</v>
      </c>
      <c r="F35" s="110"/>
      <c r="G35" s="113">
        <f>D35*E35</f>
        <v>333.33333333333337</v>
      </c>
    </row>
    <row r="36" spans="3:7" x14ac:dyDescent="0.25">
      <c r="C36" s="114" t="s">
        <v>174</v>
      </c>
      <c r="D36" s="112">
        <v>55.555555555555557</v>
      </c>
      <c r="E36" s="110">
        <v>12</v>
      </c>
      <c r="F36" s="110"/>
      <c r="G36" s="113">
        <f>D36*E36</f>
        <v>666.66666666666674</v>
      </c>
    </row>
    <row r="37" spans="3:7" ht="15.75" thickBot="1" x14ac:dyDescent="0.3">
      <c r="C37" s="115" t="s">
        <v>175</v>
      </c>
      <c r="D37" s="116"/>
      <c r="E37" s="116"/>
      <c r="F37" s="116"/>
      <c r="G37" s="117"/>
    </row>
    <row r="38" spans="3:7" ht="15.75" thickBot="1" x14ac:dyDescent="0.3">
      <c r="C38" s="118" t="s">
        <v>106</v>
      </c>
      <c r="D38" s="119">
        <f>SUM(D28:D37)</f>
        <v>111.11111111111111</v>
      </c>
      <c r="E38" s="119"/>
      <c r="F38" s="120"/>
      <c r="G38" s="119">
        <f>SUM(G28:G37)</f>
        <v>1333.3333333333335</v>
      </c>
    </row>
    <row r="39" spans="3:7" x14ac:dyDescent="0.25">
      <c r="C39"/>
      <c r="D39" s="121"/>
      <c r="E39" s="121"/>
    </row>
  </sheetData>
  <mergeCells count="14">
    <mergeCell ref="C2:H2"/>
    <mergeCell ref="C3:H3"/>
    <mergeCell ref="C5:C6"/>
    <mergeCell ref="D5:D6"/>
    <mergeCell ref="E5:E6"/>
    <mergeCell ref="F5:G5"/>
    <mergeCell ref="H5:H6"/>
    <mergeCell ref="C22:D22"/>
    <mergeCell ref="C23:G23"/>
    <mergeCell ref="C25:C27"/>
    <mergeCell ref="D25:D27"/>
    <mergeCell ref="E25:E27"/>
    <mergeCell ref="F25:F27"/>
    <mergeCell ref="G25:G27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Q76"/>
  <sheetViews>
    <sheetView tabSelected="1" topLeftCell="A64" zoomScale="98" zoomScaleNormal="98" workbookViewId="0">
      <selection activeCell="B46" sqref="B46"/>
    </sheetView>
  </sheetViews>
  <sheetFormatPr baseColWidth="10" defaultRowHeight="15" x14ac:dyDescent="0.25"/>
  <cols>
    <col min="1" max="1" width="5.28515625" customWidth="1"/>
    <col min="2" max="2" width="23" customWidth="1"/>
    <col min="3" max="18" width="10.28515625" customWidth="1"/>
    <col min="257" max="257" width="5.28515625" customWidth="1"/>
    <col min="258" max="274" width="10.28515625" customWidth="1"/>
    <col min="513" max="513" width="5.28515625" customWidth="1"/>
    <col min="514" max="530" width="10.28515625" customWidth="1"/>
    <col min="769" max="769" width="5.28515625" customWidth="1"/>
    <col min="770" max="786" width="10.28515625" customWidth="1"/>
    <col min="1025" max="1025" width="5.28515625" customWidth="1"/>
    <col min="1026" max="1042" width="10.28515625" customWidth="1"/>
    <col min="1281" max="1281" width="5.28515625" customWidth="1"/>
    <col min="1282" max="1298" width="10.28515625" customWidth="1"/>
    <col min="1537" max="1537" width="5.28515625" customWidth="1"/>
    <col min="1538" max="1554" width="10.28515625" customWidth="1"/>
    <col min="1793" max="1793" width="5.28515625" customWidth="1"/>
    <col min="1794" max="1810" width="10.28515625" customWidth="1"/>
    <col min="2049" max="2049" width="5.28515625" customWidth="1"/>
    <col min="2050" max="2066" width="10.28515625" customWidth="1"/>
    <col min="2305" max="2305" width="5.28515625" customWidth="1"/>
    <col min="2306" max="2322" width="10.28515625" customWidth="1"/>
    <col min="2561" max="2561" width="5.28515625" customWidth="1"/>
    <col min="2562" max="2578" width="10.28515625" customWidth="1"/>
    <col min="2817" max="2817" width="5.28515625" customWidth="1"/>
    <col min="2818" max="2834" width="10.28515625" customWidth="1"/>
    <col min="3073" max="3073" width="5.28515625" customWidth="1"/>
    <col min="3074" max="3090" width="10.28515625" customWidth="1"/>
    <col min="3329" max="3329" width="5.28515625" customWidth="1"/>
    <col min="3330" max="3346" width="10.28515625" customWidth="1"/>
    <col min="3585" max="3585" width="5.28515625" customWidth="1"/>
    <col min="3586" max="3602" width="10.28515625" customWidth="1"/>
    <col min="3841" max="3841" width="5.28515625" customWidth="1"/>
    <col min="3842" max="3858" width="10.28515625" customWidth="1"/>
    <col min="4097" max="4097" width="5.28515625" customWidth="1"/>
    <col min="4098" max="4114" width="10.28515625" customWidth="1"/>
    <col min="4353" max="4353" width="5.28515625" customWidth="1"/>
    <col min="4354" max="4370" width="10.28515625" customWidth="1"/>
    <col min="4609" max="4609" width="5.28515625" customWidth="1"/>
    <col min="4610" max="4626" width="10.28515625" customWidth="1"/>
    <col min="4865" max="4865" width="5.28515625" customWidth="1"/>
    <col min="4866" max="4882" width="10.28515625" customWidth="1"/>
    <col min="5121" max="5121" width="5.28515625" customWidth="1"/>
    <col min="5122" max="5138" width="10.28515625" customWidth="1"/>
    <col min="5377" max="5377" width="5.28515625" customWidth="1"/>
    <col min="5378" max="5394" width="10.28515625" customWidth="1"/>
    <col min="5633" max="5633" width="5.28515625" customWidth="1"/>
    <col min="5634" max="5650" width="10.28515625" customWidth="1"/>
    <col min="5889" max="5889" width="5.28515625" customWidth="1"/>
    <col min="5890" max="5906" width="10.28515625" customWidth="1"/>
    <col min="6145" max="6145" width="5.28515625" customWidth="1"/>
    <col min="6146" max="6162" width="10.28515625" customWidth="1"/>
    <col min="6401" max="6401" width="5.28515625" customWidth="1"/>
    <col min="6402" max="6418" width="10.28515625" customWidth="1"/>
    <col min="6657" max="6657" width="5.28515625" customWidth="1"/>
    <col min="6658" max="6674" width="10.28515625" customWidth="1"/>
    <col min="6913" max="6913" width="5.28515625" customWidth="1"/>
    <col min="6914" max="6930" width="10.28515625" customWidth="1"/>
    <col min="7169" max="7169" width="5.28515625" customWidth="1"/>
    <col min="7170" max="7186" width="10.28515625" customWidth="1"/>
    <col min="7425" max="7425" width="5.28515625" customWidth="1"/>
    <col min="7426" max="7442" width="10.28515625" customWidth="1"/>
    <col min="7681" max="7681" width="5.28515625" customWidth="1"/>
    <col min="7682" max="7698" width="10.28515625" customWidth="1"/>
    <col min="7937" max="7937" width="5.28515625" customWidth="1"/>
    <col min="7938" max="7954" width="10.28515625" customWidth="1"/>
    <col min="8193" max="8193" width="5.28515625" customWidth="1"/>
    <col min="8194" max="8210" width="10.28515625" customWidth="1"/>
    <col min="8449" max="8449" width="5.28515625" customWidth="1"/>
    <col min="8450" max="8466" width="10.28515625" customWidth="1"/>
    <col min="8705" max="8705" width="5.28515625" customWidth="1"/>
    <col min="8706" max="8722" width="10.28515625" customWidth="1"/>
    <col min="8961" max="8961" width="5.28515625" customWidth="1"/>
    <col min="8962" max="8978" width="10.28515625" customWidth="1"/>
    <col min="9217" max="9217" width="5.28515625" customWidth="1"/>
    <col min="9218" max="9234" width="10.28515625" customWidth="1"/>
    <col min="9473" max="9473" width="5.28515625" customWidth="1"/>
    <col min="9474" max="9490" width="10.28515625" customWidth="1"/>
    <col min="9729" max="9729" width="5.28515625" customWidth="1"/>
    <col min="9730" max="9746" width="10.28515625" customWidth="1"/>
    <col min="9985" max="9985" width="5.28515625" customWidth="1"/>
    <col min="9986" max="10002" width="10.28515625" customWidth="1"/>
    <col min="10241" max="10241" width="5.28515625" customWidth="1"/>
    <col min="10242" max="10258" width="10.28515625" customWidth="1"/>
    <col min="10497" max="10497" width="5.28515625" customWidth="1"/>
    <col min="10498" max="10514" width="10.28515625" customWidth="1"/>
    <col min="10753" max="10753" width="5.28515625" customWidth="1"/>
    <col min="10754" max="10770" width="10.28515625" customWidth="1"/>
    <col min="11009" max="11009" width="5.28515625" customWidth="1"/>
    <col min="11010" max="11026" width="10.28515625" customWidth="1"/>
    <col min="11265" max="11265" width="5.28515625" customWidth="1"/>
    <col min="11266" max="11282" width="10.28515625" customWidth="1"/>
    <col min="11521" max="11521" width="5.28515625" customWidth="1"/>
    <col min="11522" max="11538" width="10.28515625" customWidth="1"/>
    <col min="11777" max="11777" width="5.28515625" customWidth="1"/>
    <col min="11778" max="11794" width="10.28515625" customWidth="1"/>
    <col min="12033" max="12033" width="5.28515625" customWidth="1"/>
    <col min="12034" max="12050" width="10.28515625" customWidth="1"/>
    <col min="12289" max="12289" width="5.28515625" customWidth="1"/>
    <col min="12290" max="12306" width="10.28515625" customWidth="1"/>
    <col min="12545" max="12545" width="5.28515625" customWidth="1"/>
    <col min="12546" max="12562" width="10.28515625" customWidth="1"/>
    <col min="12801" max="12801" width="5.28515625" customWidth="1"/>
    <col min="12802" max="12818" width="10.28515625" customWidth="1"/>
    <col min="13057" max="13057" width="5.28515625" customWidth="1"/>
    <col min="13058" max="13074" width="10.28515625" customWidth="1"/>
    <col min="13313" max="13313" width="5.28515625" customWidth="1"/>
    <col min="13314" max="13330" width="10.28515625" customWidth="1"/>
    <col min="13569" max="13569" width="5.28515625" customWidth="1"/>
    <col min="13570" max="13586" width="10.28515625" customWidth="1"/>
    <col min="13825" max="13825" width="5.28515625" customWidth="1"/>
    <col min="13826" max="13842" width="10.28515625" customWidth="1"/>
    <col min="14081" max="14081" width="5.28515625" customWidth="1"/>
    <col min="14082" max="14098" width="10.28515625" customWidth="1"/>
    <col min="14337" max="14337" width="5.28515625" customWidth="1"/>
    <col min="14338" max="14354" width="10.28515625" customWidth="1"/>
    <col min="14593" max="14593" width="5.28515625" customWidth="1"/>
    <col min="14594" max="14610" width="10.28515625" customWidth="1"/>
    <col min="14849" max="14849" width="5.28515625" customWidth="1"/>
    <col min="14850" max="14866" width="10.28515625" customWidth="1"/>
    <col min="15105" max="15105" width="5.28515625" customWidth="1"/>
    <col min="15106" max="15122" width="10.28515625" customWidth="1"/>
    <col min="15361" max="15361" width="5.28515625" customWidth="1"/>
    <col min="15362" max="15378" width="10.28515625" customWidth="1"/>
    <col min="15617" max="15617" width="5.28515625" customWidth="1"/>
    <col min="15618" max="15634" width="10.28515625" customWidth="1"/>
    <col min="15873" max="15873" width="5.28515625" customWidth="1"/>
    <col min="15874" max="15890" width="10.28515625" customWidth="1"/>
    <col min="16129" max="16129" width="5.28515625" customWidth="1"/>
    <col min="16130" max="16146" width="10.28515625" customWidth="1"/>
  </cols>
  <sheetData>
    <row r="3" spans="2:16" x14ac:dyDescent="0.25">
      <c r="B3" s="446" t="s">
        <v>110</v>
      </c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</row>
    <row r="4" spans="2:16" ht="9.7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x14ac:dyDescent="0.25">
      <c r="B5" s="446" t="s">
        <v>111</v>
      </c>
      <c r="C5" s="446"/>
      <c r="D5" s="446"/>
      <c r="E5" s="446"/>
      <c r="F5" s="446"/>
      <c r="G5" s="446"/>
      <c r="H5" s="446"/>
      <c r="I5" s="446"/>
      <c r="J5" s="446"/>
      <c r="K5" s="446"/>
      <c r="L5" s="446"/>
      <c r="M5" s="446"/>
      <c r="N5" s="446"/>
      <c r="O5" s="446"/>
      <c r="P5" s="446"/>
    </row>
    <row r="6" spans="2:16" ht="15.75" thickBot="1" x14ac:dyDescent="0.3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x14ac:dyDescent="0.25">
      <c r="B7" s="489" t="s">
        <v>23</v>
      </c>
      <c r="C7" s="485">
        <v>0</v>
      </c>
      <c r="D7" s="485" t="s">
        <v>112</v>
      </c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486" t="s">
        <v>106</v>
      </c>
    </row>
    <row r="8" spans="2:16" x14ac:dyDescent="0.25">
      <c r="B8" s="490"/>
      <c r="C8" s="491"/>
      <c r="D8" s="22">
        <v>1</v>
      </c>
      <c r="E8" s="22">
        <v>2</v>
      </c>
      <c r="F8" s="22">
        <v>3</v>
      </c>
      <c r="G8" s="22">
        <v>4</v>
      </c>
      <c r="H8" s="22">
        <v>5</v>
      </c>
      <c r="I8" s="22">
        <v>6</v>
      </c>
      <c r="J8" s="22">
        <v>7</v>
      </c>
      <c r="K8" s="22">
        <v>8</v>
      </c>
      <c r="L8" s="22">
        <v>9</v>
      </c>
      <c r="M8" s="22">
        <v>10</v>
      </c>
      <c r="N8" s="22">
        <v>11</v>
      </c>
      <c r="O8" s="22">
        <v>12</v>
      </c>
      <c r="P8" s="492"/>
    </row>
    <row r="9" spans="2:16" x14ac:dyDescent="0.25">
      <c r="B9" s="23" t="s">
        <v>113</v>
      </c>
      <c r="C9" s="24"/>
      <c r="D9" s="25">
        <f>SUM(D10:D12)</f>
        <v>150</v>
      </c>
      <c r="E9" s="25">
        <f t="shared" ref="E9:O9" si="0">SUM(E10:E12)</f>
        <v>150</v>
      </c>
      <c r="F9" s="25">
        <f t="shared" si="0"/>
        <v>150</v>
      </c>
      <c r="G9" s="25">
        <f t="shared" si="0"/>
        <v>150</v>
      </c>
      <c r="H9" s="25">
        <f t="shared" si="0"/>
        <v>150</v>
      </c>
      <c r="I9" s="25">
        <f t="shared" si="0"/>
        <v>150</v>
      </c>
      <c r="J9" s="25">
        <f t="shared" si="0"/>
        <v>150</v>
      </c>
      <c r="K9" s="25">
        <f t="shared" si="0"/>
        <v>150</v>
      </c>
      <c r="L9" s="25">
        <f t="shared" si="0"/>
        <v>150</v>
      </c>
      <c r="M9" s="25">
        <f t="shared" si="0"/>
        <v>150</v>
      </c>
      <c r="N9" s="25">
        <f t="shared" si="0"/>
        <v>150</v>
      </c>
      <c r="O9" s="25">
        <f t="shared" si="0"/>
        <v>150</v>
      </c>
      <c r="P9" s="26">
        <f>SUM(D9:O9)</f>
        <v>1800</v>
      </c>
    </row>
    <row r="10" spans="2:16" x14ac:dyDescent="0.25">
      <c r="B10" s="27" t="s">
        <v>66</v>
      </c>
      <c r="C10" s="11"/>
      <c r="D10" s="28">
        <f>+'Presupuesto de ventas'!C8</f>
        <v>50</v>
      </c>
      <c r="E10" s="28">
        <f>+'Presupuesto de ventas'!D8</f>
        <v>50</v>
      </c>
      <c r="F10" s="28">
        <f>+'Presupuesto de ventas'!E8</f>
        <v>50</v>
      </c>
      <c r="G10" s="28">
        <f>+'Presupuesto de ventas'!F8</f>
        <v>50</v>
      </c>
      <c r="H10" s="28">
        <f>+'Presupuesto de ventas'!G8</f>
        <v>50</v>
      </c>
      <c r="I10" s="28">
        <f>+'Presupuesto de ventas'!H8</f>
        <v>50</v>
      </c>
      <c r="J10" s="28">
        <f>+'Presupuesto de ventas'!I8</f>
        <v>50</v>
      </c>
      <c r="K10" s="28">
        <f>+'Presupuesto de ventas'!J8</f>
        <v>50</v>
      </c>
      <c r="L10" s="28">
        <f>+'Presupuesto de ventas'!K8</f>
        <v>50</v>
      </c>
      <c r="M10" s="28">
        <f>+'Presupuesto de ventas'!L8</f>
        <v>50</v>
      </c>
      <c r="N10" s="28">
        <f>+'Presupuesto de ventas'!M8</f>
        <v>50</v>
      </c>
      <c r="O10" s="28">
        <f>+'Presupuesto de ventas'!N8</f>
        <v>50</v>
      </c>
      <c r="P10" s="29"/>
    </row>
    <row r="11" spans="2:16" x14ac:dyDescent="0.25">
      <c r="B11" s="27" t="s">
        <v>67</v>
      </c>
      <c r="C11" s="11"/>
      <c r="D11" s="28">
        <f>+'Presupuesto de ventas'!C9</f>
        <v>50</v>
      </c>
      <c r="E11" s="28">
        <f>+'Presupuesto de ventas'!D9</f>
        <v>50</v>
      </c>
      <c r="F11" s="28">
        <f>+'Presupuesto de ventas'!E9</f>
        <v>50</v>
      </c>
      <c r="G11" s="28">
        <f>+'Presupuesto de ventas'!F9</f>
        <v>50</v>
      </c>
      <c r="H11" s="28">
        <f>+'Presupuesto de ventas'!G9</f>
        <v>50</v>
      </c>
      <c r="I11" s="28">
        <f>+'Presupuesto de ventas'!H9</f>
        <v>50</v>
      </c>
      <c r="J11" s="28">
        <f>+'Presupuesto de ventas'!I9</f>
        <v>50</v>
      </c>
      <c r="K11" s="28">
        <f>+'Presupuesto de ventas'!J9</f>
        <v>50</v>
      </c>
      <c r="L11" s="28">
        <f>+'Presupuesto de ventas'!K9</f>
        <v>50</v>
      </c>
      <c r="M11" s="28">
        <f>+'Presupuesto de ventas'!L9</f>
        <v>50</v>
      </c>
      <c r="N11" s="28">
        <f>+'Presupuesto de ventas'!M9</f>
        <v>50</v>
      </c>
      <c r="O11" s="28">
        <f>+'Presupuesto de ventas'!N9</f>
        <v>50</v>
      </c>
      <c r="P11" s="29"/>
    </row>
    <row r="12" spans="2:16" x14ac:dyDescent="0.25">
      <c r="B12" s="27" t="s">
        <v>68</v>
      </c>
      <c r="C12" s="11"/>
      <c r="D12" s="28">
        <f>+'Presupuesto de ventas'!C10</f>
        <v>50</v>
      </c>
      <c r="E12" s="28">
        <f>+'Presupuesto de ventas'!D10</f>
        <v>50</v>
      </c>
      <c r="F12" s="28">
        <f>+'Presupuesto de ventas'!E10</f>
        <v>50</v>
      </c>
      <c r="G12" s="28">
        <f>+'Presupuesto de ventas'!F10</f>
        <v>50</v>
      </c>
      <c r="H12" s="28">
        <f>+'Presupuesto de ventas'!G10</f>
        <v>50</v>
      </c>
      <c r="I12" s="28">
        <f>+'Presupuesto de ventas'!H10</f>
        <v>50</v>
      </c>
      <c r="J12" s="28">
        <f>+'Presupuesto de ventas'!I10</f>
        <v>50</v>
      </c>
      <c r="K12" s="28">
        <f>+'Presupuesto de ventas'!J10</f>
        <v>50</v>
      </c>
      <c r="L12" s="28">
        <f>+'Presupuesto de ventas'!K10</f>
        <v>50</v>
      </c>
      <c r="M12" s="28">
        <f>+'Presupuesto de ventas'!L10</f>
        <v>50</v>
      </c>
      <c r="N12" s="28">
        <f>+'Presupuesto de ventas'!M10</f>
        <v>50</v>
      </c>
      <c r="O12" s="28">
        <f>+'Presupuesto de ventas'!N10</f>
        <v>50</v>
      </c>
      <c r="P12" s="29"/>
    </row>
    <row r="13" spans="2:16" x14ac:dyDescent="0.25">
      <c r="B13" s="23" t="s">
        <v>114</v>
      </c>
      <c r="C13" s="30"/>
      <c r="D13" s="31"/>
      <c r="E13" s="11"/>
      <c r="F13" s="11"/>
      <c r="G13" s="11"/>
      <c r="H13" s="11"/>
      <c r="I13" s="32"/>
      <c r="J13" s="32"/>
      <c r="K13" s="32"/>
      <c r="L13" s="32"/>
      <c r="M13" s="32"/>
      <c r="N13" s="32"/>
      <c r="O13" s="11"/>
      <c r="P13" s="29"/>
    </row>
    <row r="14" spans="2:16" x14ac:dyDescent="0.25">
      <c r="B14" s="27" t="s">
        <v>66</v>
      </c>
      <c r="C14" s="4"/>
      <c r="D14" s="31">
        <f>+(Resumen!$C$16+'Costo de producción'!$C$8)</f>
        <v>92.539470555555553</v>
      </c>
      <c r="E14" s="31">
        <f>+(Resumen!$C$16+'Costo de producción'!$C$8)</f>
        <v>92.539470555555553</v>
      </c>
      <c r="F14" s="31">
        <f>+(Resumen!$C$16+'Costo de producción'!$C$8)</f>
        <v>92.539470555555553</v>
      </c>
      <c r="G14" s="31">
        <f>+(Resumen!$C$16+'Costo de producción'!$C$8)</f>
        <v>92.539470555555553</v>
      </c>
      <c r="H14" s="31">
        <f>+(Resumen!$C$16+'Costo de producción'!$C$8)</f>
        <v>92.539470555555553</v>
      </c>
      <c r="I14" s="31">
        <f>+(Resumen!$C$16+'Costo de producción'!$C$8)</f>
        <v>92.539470555555553</v>
      </c>
      <c r="J14" s="31">
        <f>+(Resumen!$C$16+'Costo de producción'!$C$8)</f>
        <v>92.539470555555553</v>
      </c>
      <c r="K14" s="31">
        <f>+(Resumen!$C$16+'Costo de producción'!$C$8)</f>
        <v>92.539470555555553</v>
      </c>
      <c r="L14" s="31">
        <f>+(Resumen!$C$16+'Costo de producción'!$C$8)</f>
        <v>92.539470555555553</v>
      </c>
      <c r="M14" s="31">
        <f>+(Resumen!$C$16+'Costo de producción'!$C$8)</f>
        <v>92.539470555555553</v>
      </c>
      <c r="N14" s="31">
        <f>+(Resumen!$C$16+'Costo de producción'!$C$8)</f>
        <v>92.539470555555553</v>
      </c>
      <c r="O14" s="31">
        <f>+(Resumen!$C$16+'Costo de producción'!$C$8)</f>
        <v>92.539470555555553</v>
      </c>
      <c r="P14" s="29"/>
    </row>
    <row r="15" spans="2:16" x14ac:dyDescent="0.25">
      <c r="B15" s="27" t="s">
        <v>67</v>
      </c>
      <c r="C15" s="4"/>
      <c r="D15" s="31">
        <f>+Resumen!$C$17+'Costo de producción'!$C$13</f>
        <v>67.141692777777763</v>
      </c>
      <c r="E15" s="31">
        <f>+Resumen!$C$17+'Costo de producción'!$C$13</f>
        <v>67.141692777777763</v>
      </c>
      <c r="F15" s="31">
        <f>+Resumen!$C$17+'Costo de producción'!$C$13</f>
        <v>67.141692777777763</v>
      </c>
      <c r="G15" s="31">
        <f>+Resumen!$C$17+'Costo de producción'!$C$13</f>
        <v>67.141692777777763</v>
      </c>
      <c r="H15" s="31">
        <f>+Resumen!$C$17+'Costo de producción'!$C$13</f>
        <v>67.141692777777763</v>
      </c>
      <c r="I15" s="31">
        <f>+Resumen!$C$17+'Costo de producción'!$C$13</f>
        <v>67.141692777777763</v>
      </c>
      <c r="J15" s="31">
        <f>+Resumen!$C$17+'Costo de producción'!$C$13</f>
        <v>67.141692777777763</v>
      </c>
      <c r="K15" s="31">
        <f>+Resumen!$C$17+'Costo de producción'!$C$13</f>
        <v>67.141692777777763</v>
      </c>
      <c r="L15" s="31">
        <f>+Resumen!$C$17+'Costo de producción'!$C$13</f>
        <v>67.141692777777763</v>
      </c>
      <c r="M15" s="31">
        <f>+Resumen!$C$17+'Costo de producción'!$C$13</f>
        <v>67.141692777777763</v>
      </c>
      <c r="N15" s="31">
        <f>+Resumen!$C$17+'Costo de producción'!$C$13</f>
        <v>67.141692777777763</v>
      </c>
      <c r="O15" s="31">
        <f>+Resumen!$C$17+'Costo de producción'!$C$13</f>
        <v>67.141692777777763</v>
      </c>
      <c r="P15" s="29"/>
    </row>
    <row r="16" spans="2:16" x14ac:dyDescent="0.25">
      <c r="B16" s="27" t="s">
        <v>68</v>
      </c>
      <c r="C16" s="4"/>
      <c r="D16" s="31">
        <f>+Resumen!$C$18+'Costo de producción'!$C$18</f>
        <v>58.295026111111156</v>
      </c>
      <c r="E16" s="31">
        <f>+Resumen!$C$18+'Costo de producción'!$C$18</f>
        <v>58.295026111111156</v>
      </c>
      <c r="F16" s="31">
        <f>+Resumen!$C$18+'Costo de producción'!$C$18</f>
        <v>58.295026111111156</v>
      </c>
      <c r="G16" s="31">
        <f>+Resumen!$C$18+'Costo de producción'!$C$18</f>
        <v>58.295026111111156</v>
      </c>
      <c r="H16" s="31">
        <f>+Resumen!$C$18+'Costo de producción'!$C$18</f>
        <v>58.295026111111156</v>
      </c>
      <c r="I16" s="31">
        <f>+Resumen!$C$18+'Costo de producción'!$C$18</f>
        <v>58.295026111111156</v>
      </c>
      <c r="J16" s="31">
        <f>+Resumen!$C$18+'Costo de producción'!$C$18</f>
        <v>58.295026111111156</v>
      </c>
      <c r="K16" s="31">
        <f>+Resumen!$C$18+'Costo de producción'!$C$18</f>
        <v>58.295026111111156</v>
      </c>
      <c r="L16" s="31">
        <f>+Resumen!$C$18+'Costo de producción'!$C$18</f>
        <v>58.295026111111156</v>
      </c>
      <c r="M16" s="31">
        <f>+Resumen!$C$18+'Costo de producción'!$C$18</f>
        <v>58.295026111111156</v>
      </c>
      <c r="N16" s="31">
        <f>+Resumen!$C$18+'Costo de producción'!$C$18</f>
        <v>58.295026111111156</v>
      </c>
      <c r="O16" s="31">
        <f>+Resumen!$C$18+'Costo de producción'!$C$18</f>
        <v>58.295026111111156</v>
      </c>
      <c r="P16" s="29"/>
    </row>
    <row r="17" spans="2:17" x14ac:dyDescent="0.25">
      <c r="B17" s="23" t="s">
        <v>440</v>
      </c>
      <c r="C17" s="33"/>
      <c r="D17" s="25">
        <f>SUM(D18:D20)</f>
        <v>10898.809472222223</v>
      </c>
      <c r="E17" s="25">
        <f t="shared" ref="E17:O17" si="1">SUM(E18:E20)</f>
        <v>10898.809472222223</v>
      </c>
      <c r="F17" s="25">
        <f t="shared" si="1"/>
        <v>10898.809472222223</v>
      </c>
      <c r="G17" s="25">
        <f t="shared" si="1"/>
        <v>10898.809472222223</v>
      </c>
      <c r="H17" s="25">
        <f t="shared" si="1"/>
        <v>10898.809472222223</v>
      </c>
      <c r="I17" s="25">
        <f t="shared" si="1"/>
        <v>10898.809472222223</v>
      </c>
      <c r="J17" s="25">
        <f t="shared" si="1"/>
        <v>10898.809472222223</v>
      </c>
      <c r="K17" s="25">
        <f t="shared" si="1"/>
        <v>10898.809472222223</v>
      </c>
      <c r="L17" s="25">
        <f t="shared" si="1"/>
        <v>10898.809472222223</v>
      </c>
      <c r="M17" s="25">
        <f t="shared" si="1"/>
        <v>10898.809472222223</v>
      </c>
      <c r="N17" s="25">
        <f t="shared" si="1"/>
        <v>10898.809472222223</v>
      </c>
      <c r="O17" s="25">
        <f t="shared" si="1"/>
        <v>10898.809472222223</v>
      </c>
      <c r="P17" s="26">
        <f>SUM(D17:O17)</f>
        <v>130785.71366666671</v>
      </c>
    </row>
    <row r="18" spans="2:17" x14ac:dyDescent="0.25">
      <c r="B18" s="27" t="s">
        <v>66</v>
      </c>
      <c r="C18" s="30"/>
      <c r="D18" s="28">
        <f>D14*D10</f>
        <v>4626.9735277777772</v>
      </c>
      <c r="E18" s="28">
        <f t="shared" ref="D18:O20" si="2">E14*E10</f>
        <v>4626.9735277777772</v>
      </c>
      <c r="F18" s="28">
        <f t="shared" si="2"/>
        <v>4626.9735277777772</v>
      </c>
      <c r="G18" s="28">
        <f t="shared" si="2"/>
        <v>4626.9735277777772</v>
      </c>
      <c r="H18" s="28">
        <f t="shared" si="2"/>
        <v>4626.9735277777772</v>
      </c>
      <c r="I18" s="28">
        <f t="shared" si="2"/>
        <v>4626.9735277777772</v>
      </c>
      <c r="J18" s="28">
        <f t="shared" si="2"/>
        <v>4626.9735277777772</v>
      </c>
      <c r="K18" s="28">
        <f t="shared" si="2"/>
        <v>4626.9735277777772</v>
      </c>
      <c r="L18" s="28">
        <f t="shared" si="2"/>
        <v>4626.9735277777772</v>
      </c>
      <c r="M18" s="28">
        <f t="shared" si="2"/>
        <v>4626.9735277777772</v>
      </c>
      <c r="N18" s="28">
        <f t="shared" si="2"/>
        <v>4626.9735277777772</v>
      </c>
      <c r="O18" s="28">
        <f t="shared" si="2"/>
        <v>4626.9735277777772</v>
      </c>
      <c r="P18" s="29"/>
    </row>
    <row r="19" spans="2:17" x14ac:dyDescent="0.25">
      <c r="B19" s="27" t="s">
        <v>67</v>
      </c>
      <c r="C19" s="30"/>
      <c r="D19" s="28">
        <f t="shared" si="2"/>
        <v>3357.0846388888881</v>
      </c>
      <c r="E19" s="28">
        <f t="shared" si="2"/>
        <v>3357.0846388888881</v>
      </c>
      <c r="F19" s="28">
        <f t="shared" si="2"/>
        <v>3357.0846388888881</v>
      </c>
      <c r="G19" s="28">
        <f t="shared" si="2"/>
        <v>3357.0846388888881</v>
      </c>
      <c r="H19" s="28">
        <f t="shared" si="2"/>
        <v>3357.0846388888881</v>
      </c>
      <c r="I19" s="28">
        <f t="shared" si="2"/>
        <v>3357.0846388888881</v>
      </c>
      <c r="J19" s="28">
        <f t="shared" si="2"/>
        <v>3357.0846388888881</v>
      </c>
      <c r="K19" s="28">
        <f t="shared" si="2"/>
        <v>3357.0846388888881</v>
      </c>
      <c r="L19" s="28">
        <f t="shared" si="2"/>
        <v>3357.0846388888881</v>
      </c>
      <c r="M19" s="28">
        <f t="shared" si="2"/>
        <v>3357.0846388888881</v>
      </c>
      <c r="N19" s="28">
        <f t="shared" si="2"/>
        <v>3357.0846388888881</v>
      </c>
      <c r="O19" s="28">
        <f t="shared" si="2"/>
        <v>3357.0846388888881</v>
      </c>
      <c r="P19" s="29"/>
    </row>
    <row r="20" spans="2:17" x14ac:dyDescent="0.25">
      <c r="B20" s="27" t="s">
        <v>68</v>
      </c>
      <c r="C20" s="30"/>
      <c r="D20" s="28">
        <f t="shared" si="2"/>
        <v>2914.7513055555578</v>
      </c>
      <c r="E20" s="28">
        <f t="shared" si="2"/>
        <v>2914.7513055555578</v>
      </c>
      <c r="F20" s="28">
        <f t="shared" si="2"/>
        <v>2914.7513055555578</v>
      </c>
      <c r="G20" s="28">
        <f t="shared" si="2"/>
        <v>2914.7513055555578</v>
      </c>
      <c r="H20" s="28">
        <f t="shared" si="2"/>
        <v>2914.7513055555578</v>
      </c>
      <c r="I20" s="28">
        <f t="shared" si="2"/>
        <v>2914.7513055555578</v>
      </c>
      <c r="J20" s="28">
        <f t="shared" si="2"/>
        <v>2914.7513055555578</v>
      </c>
      <c r="K20" s="28">
        <f t="shared" si="2"/>
        <v>2914.7513055555578</v>
      </c>
      <c r="L20" s="28">
        <f t="shared" si="2"/>
        <v>2914.7513055555578</v>
      </c>
      <c r="M20" s="28">
        <f t="shared" si="2"/>
        <v>2914.7513055555578</v>
      </c>
      <c r="N20" s="28">
        <f t="shared" si="2"/>
        <v>2914.7513055555578</v>
      </c>
      <c r="O20" s="28">
        <f t="shared" si="2"/>
        <v>2914.7513055555578</v>
      </c>
      <c r="P20" s="29"/>
    </row>
    <row r="21" spans="2:17" x14ac:dyDescent="0.25">
      <c r="B21" s="23" t="s">
        <v>441</v>
      </c>
      <c r="C21" s="24"/>
      <c r="D21" s="34">
        <f>'Gastos operativos'!$H$21-'Gastos operativos'!$H$13</f>
        <v>4582.4999999999991</v>
      </c>
      <c r="E21" s="34">
        <f>'Gastos operativos'!$H$21-'Gastos operativos'!$H$13</f>
        <v>4582.4999999999991</v>
      </c>
      <c r="F21" s="34">
        <f>'Gastos operativos'!$H$21-'Gastos operativos'!$H$13</f>
        <v>4582.4999999999991</v>
      </c>
      <c r="G21" s="34">
        <f>'Gastos operativos'!$H$21-'Gastos operativos'!$H$13</f>
        <v>4582.4999999999991</v>
      </c>
      <c r="H21" s="34">
        <f>'Gastos operativos'!$H$21-'Gastos operativos'!$H$13</f>
        <v>4582.4999999999991</v>
      </c>
      <c r="I21" s="34">
        <f>'Gastos operativos'!$H$21-'Gastos operativos'!$H$13</f>
        <v>4582.4999999999991</v>
      </c>
      <c r="J21" s="34">
        <f>'Gastos operativos'!$H$21-'Gastos operativos'!$H$13</f>
        <v>4582.4999999999991</v>
      </c>
      <c r="K21" s="34">
        <f>'Gastos operativos'!$H$21-'Gastos operativos'!$H$13</f>
        <v>4582.4999999999991</v>
      </c>
      <c r="L21" s="34">
        <f>'Gastos operativos'!$H$21-'Gastos operativos'!$H$13</f>
        <v>4582.4999999999991</v>
      </c>
      <c r="M21" s="34">
        <f>'Gastos operativos'!$H$21-'Gastos operativos'!$H$13</f>
        <v>4582.4999999999991</v>
      </c>
      <c r="N21" s="34">
        <f>'Gastos operativos'!$H$21-'Gastos operativos'!$H$13</f>
        <v>4582.4999999999991</v>
      </c>
      <c r="O21" s="34">
        <f>'Gastos operativos'!$H$21-'Gastos operativos'!$H$13</f>
        <v>4582.4999999999991</v>
      </c>
      <c r="P21" s="26">
        <f>SUM(D21:O21)</f>
        <v>54989.999999999993</v>
      </c>
    </row>
    <row r="22" spans="2:17" x14ac:dyDescent="0.25">
      <c r="B22" s="27"/>
      <c r="C22" s="11"/>
      <c r="D22" s="28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9"/>
    </row>
    <row r="23" spans="2:17" x14ac:dyDescent="0.25">
      <c r="B23" s="23" t="s">
        <v>115</v>
      </c>
      <c r="C23" s="35"/>
      <c r="D23" s="364">
        <f>D17+D21</f>
        <v>15481.309472222223</v>
      </c>
      <c r="E23" s="34">
        <f t="shared" ref="E23:O23" si="3">E17+E21</f>
        <v>15481.309472222223</v>
      </c>
      <c r="F23" s="34">
        <f t="shared" si="3"/>
        <v>15481.309472222223</v>
      </c>
      <c r="G23" s="34">
        <f t="shared" si="3"/>
        <v>15481.309472222223</v>
      </c>
      <c r="H23" s="34">
        <f t="shared" si="3"/>
        <v>15481.309472222223</v>
      </c>
      <c r="I23" s="34">
        <f t="shared" si="3"/>
        <v>15481.309472222223</v>
      </c>
      <c r="J23" s="34">
        <f t="shared" si="3"/>
        <v>15481.309472222223</v>
      </c>
      <c r="K23" s="34">
        <f t="shared" si="3"/>
        <v>15481.309472222223</v>
      </c>
      <c r="L23" s="34">
        <f t="shared" si="3"/>
        <v>15481.309472222223</v>
      </c>
      <c r="M23" s="34">
        <f t="shared" si="3"/>
        <v>15481.309472222223</v>
      </c>
      <c r="N23" s="34">
        <f t="shared" si="3"/>
        <v>15481.309472222223</v>
      </c>
      <c r="O23" s="34">
        <f t="shared" si="3"/>
        <v>15481.309472222223</v>
      </c>
      <c r="P23" s="29"/>
    </row>
    <row r="24" spans="2:17" x14ac:dyDescent="0.25">
      <c r="B24" s="27" t="s">
        <v>116</v>
      </c>
      <c r="C24" s="365">
        <f>D23</f>
        <v>15481.309472222223</v>
      </c>
      <c r="D24" s="32">
        <f>E23-D23</f>
        <v>0</v>
      </c>
      <c r="E24" s="32">
        <f t="shared" ref="E24:N24" si="4">F23-E23</f>
        <v>0</v>
      </c>
      <c r="F24" s="32">
        <f t="shared" si="4"/>
        <v>0</v>
      </c>
      <c r="G24" s="32">
        <f t="shared" si="4"/>
        <v>0</v>
      </c>
      <c r="H24" s="32">
        <f t="shared" si="4"/>
        <v>0</v>
      </c>
      <c r="I24" s="32">
        <f t="shared" si="4"/>
        <v>0</v>
      </c>
      <c r="J24" s="32">
        <f t="shared" si="4"/>
        <v>0</v>
      </c>
      <c r="K24" s="32">
        <f t="shared" si="4"/>
        <v>0</v>
      </c>
      <c r="L24" s="32">
        <f t="shared" si="4"/>
        <v>0</v>
      </c>
      <c r="M24" s="32">
        <f t="shared" si="4"/>
        <v>0</v>
      </c>
      <c r="N24" s="32">
        <f t="shared" si="4"/>
        <v>0</v>
      </c>
      <c r="O24" s="32"/>
      <c r="P24" s="405">
        <f>SUM(C24:O24)</f>
        <v>15481.309472222223</v>
      </c>
      <c r="Q24" t="s">
        <v>429</v>
      </c>
    </row>
    <row r="25" spans="2:17" x14ac:dyDescent="0.25">
      <c r="B25" s="39"/>
    </row>
    <row r="26" spans="2:17" x14ac:dyDescent="0.25">
      <c r="B26" s="39"/>
    </row>
    <row r="27" spans="2:17" x14ac:dyDescent="0.25">
      <c r="B27" s="446" t="s">
        <v>110</v>
      </c>
      <c r="C27" s="446"/>
      <c r="D27" s="446"/>
      <c r="E27" s="446"/>
      <c r="F27" s="446"/>
      <c r="G27" s="446"/>
      <c r="H27" s="446"/>
      <c r="I27" s="446"/>
      <c r="J27" s="446"/>
      <c r="K27" s="446"/>
      <c r="L27" s="446"/>
      <c r="M27" s="446"/>
      <c r="N27" s="446"/>
      <c r="O27" s="446"/>
      <c r="P27" s="446"/>
    </row>
    <row r="28" spans="2:17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2:17" ht="15.75" thickBot="1" x14ac:dyDescent="0.3">
      <c r="B29" s="446" t="s">
        <v>372</v>
      </c>
      <c r="C29" s="446"/>
      <c r="D29" s="446"/>
      <c r="E29" s="446"/>
      <c r="F29" s="446"/>
      <c r="G29" s="446"/>
      <c r="H29" s="446"/>
      <c r="I29" s="446"/>
      <c r="J29" s="446"/>
      <c r="K29" s="446"/>
      <c r="L29" s="446"/>
      <c r="M29" s="446"/>
      <c r="N29" s="446"/>
      <c r="O29" s="446"/>
      <c r="P29" s="446"/>
    </row>
    <row r="30" spans="2:17" x14ac:dyDescent="0.25">
      <c r="B30" s="489" t="s">
        <v>23</v>
      </c>
      <c r="C30" s="485">
        <v>0</v>
      </c>
      <c r="D30" s="485" t="s">
        <v>112</v>
      </c>
      <c r="E30" s="485"/>
      <c r="F30" s="485"/>
      <c r="G30" s="485"/>
      <c r="H30" s="485"/>
      <c r="I30" s="485"/>
      <c r="J30" s="485"/>
      <c r="K30" s="485"/>
      <c r="L30" s="485"/>
      <c r="M30" s="485"/>
      <c r="N30" s="485"/>
      <c r="O30" s="485"/>
      <c r="P30" s="486" t="s">
        <v>106</v>
      </c>
    </row>
    <row r="31" spans="2:17" x14ac:dyDescent="0.25">
      <c r="B31" s="490"/>
      <c r="C31" s="491"/>
      <c r="D31" s="22">
        <v>1</v>
      </c>
      <c r="E31" s="22">
        <v>2</v>
      </c>
      <c r="F31" s="22">
        <v>3</v>
      </c>
      <c r="G31" s="22">
        <v>4</v>
      </c>
      <c r="H31" s="22">
        <v>5</v>
      </c>
      <c r="I31" s="22">
        <v>6</v>
      </c>
      <c r="J31" s="22">
        <v>7</v>
      </c>
      <c r="K31" s="22">
        <v>8</v>
      </c>
      <c r="L31" s="22">
        <v>9</v>
      </c>
      <c r="M31" s="22">
        <v>10</v>
      </c>
      <c r="N31" s="22">
        <v>11</v>
      </c>
      <c r="O31" s="22">
        <v>12</v>
      </c>
      <c r="P31" s="492"/>
    </row>
    <row r="32" spans="2:17" x14ac:dyDescent="0.25">
      <c r="B32" s="23" t="s">
        <v>113</v>
      </c>
      <c r="C32" s="24"/>
      <c r="D32" s="25">
        <f>SUM(D33:D35)</f>
        <v>155</v>
      </c>
      <c r="E32" s="25">
        <f t="shared" ref="E32" si="5">SUM(E33:E35)</f>
        <v>155</v>
      </c>
      <c r="F32" s="25">
        <f t="shared" ref="F32" si="6">SUM(F33:F35)</f>
        <v>155</v>
      </c>
      <c r="G32" s="25">
        <f t="shared" ref="G32" si="7">SUM(G33:G35)</f>
        <v>155</v>
      </c>
      <c r="H32" s="25">
        <f t="shared" ref="H32" si="8">SUM(H33:H35)</f>
        <v>155</v>
      </c>
      <c r="I32" s="25">
        <f t="shared" ref="I32" si="9">SUM(I33:I35)</f>
        <v>155</v>
      </c>
      <c r="J32" s="25">
        <f t="shared" ref="J32" si="10">SUM(J33:J35)</f>
        <v>155</v>
      </c>
      <c r="K32" s="25">
        <f t="shared" ref="K32" si="11">SUM(K33:K35)</f>
        <v>155</v>
      </c>
      <c r="L32" s="25">
        <f t="shared" ref="L32" si="12">SUM(L33:L35)</f>
        <v>155</v>
      </c>
      <c r="M32" s="25">
        <f t="shared" ref="M32" si="13">SUM(M33:M35)</f>
        <v>155</v>
      </c>
      <c r="N32" s="25">
        <f t="shared" ref="N32" si="14">SUM(N33:N35)</f>
        <v>155</v>
      </c>
      <c r="O32" s="25">
        <f t="shared" ref="O32" si="15">SUM(O33:O35)</f>
        <v>155</v>
      </c>
      <c r="P32" s="26">
        <f>SUM(D32:O32)</f>
        <v>1860</v>
      </c>
    </row>
    <row r="33" spans="2:17" x14ac:dyDescent="0.25">
      <c r="B33" s="27" t="s">
        <v>66</v>
      </c>
      <c r="C33" s="11"/>
      <c r="D33" s="28">
        <f>+'Presupuesto de ventas'!C12</f>
        <v>52</v>
      </c>
      <c r="E33" s="28">
        <f>+'Presupuesto de ventas'!D12</f>
        <v>52</v>
      </c>
      <c r="F33" s="28">
        <f>+'Presupuesto de ventas'!E12</f>
        <v>52</v>
      </c>
      <c r="G33" s="28">
        <f>+'Presupuesto de ventas'!F12</f>
        <v>52</v>
      </c>
      <c r="H33" s="28">
        <f>+'Presupuesto de ventas'!G12</f>
        <v>52</v>
      </c>
      <c r="I33" s="28">
        <f>+'Presupuesto de ventas'!H12</f>
        <v>52</v>
      </c>
      <c r="J33" s="28">
        <f>+'Presupuesto de ventas'!I12</f>
        <v>52</v>
      </c>
      <c r="K33" s="28">
        <f>+'Presupuesto de ventas'!J12</f>
        <v>52</v>
      </c>
      <c r="L33" s="28">
        <f>+'Presupuesto de ventas'!K12</f>
        <v>52</v>
      </c>
      <c r="M33" s="28">
        <f>+'Presupuesto de ventas'!L12</f>
        <v>52</v>
      </c>
      <c r="N33" s="28">
        <f>+'Presupuesto de ventas'!M12</f>
        <v>52</v>
      </c>
      <c r="O33" s="28">
        <f>+'Presupuesto de ventas'!N12</f>
        <v>52</v>
      </c>
      <c r="P33" s="29"/>
    </row>
    <row r="34" spans="2:17" x14ac:dyDescent="0.25">
      <c r="B34" s="27" t="s">
        <v>67</v>
      </c>
      <c r="C34" s="11"/>
      <c r="D34" s="28">
        <f>+'Presupuesto de ventas'!C13</f>
        <v>52</v>
      </c>
      <c r="E34" s="28">
        <f>+'Presupuesto de ventas'!D13</f>
        <v>52</v>
      </c>
      <c r="F34" s="28">
        <f>+'Presupuesto de ventas'!E13</f>
        <v>52</v>
      </c>
      <c r="G34" s="28">
        <f>+'Presupuesto de ventas'!F13</f>
        <v>52</v>
      </c>
      <c r="H34" s="28">
        <f>+'Presupuesto de ventas'!G13</f>
        <v>52</v>
      </c>
      <c r="I34" s="28">
        <f>+'Presupuesto de ventas'!H13</f>
        <v>52</v>
      </c>
      <c r="J34" s="28">
        <f>+'Presupuesto de ventas'!I13</f>
        <v>52</v>
      </c>
      <c r="K34" s="28">
        <f>+'Presupuesto de ventas'!J13</f>
        <v>52</v>
      </c>
      <c r="L34" s="28">
        <f>+'Presupuesto de ventas'!K13</f>
        <v>52</v>
      </c>
      <c r="M34" s="28">
        <f>+'Presupuesto de ventas'!L13</f>
        <v>52</v>
      </c>
      <c r="N34" s="28">
        <f>+'Presupuesto de ventas'!M13</f>
        <v>52</v>
      </c>
      <c r="O34" s="28">
        <f>+'Presupuesto de ventas'!N13</f>
        <v>52</v>
      </c>
      <c r="P34" s="29"/>
    </row>
    <row r="35" spans="2:17" x14ac:dyDescent="0.25">
      <c r="B35" s="27" t="s">
        <v>68</v>
      </c>
      <c r="C35" s="11"/>
      <c r="D35" s="28">
        <f>+'Presupuesto de ventas'!C14</f>
        <v>51</v>
      </c>
      <c r="E35" s="28">
        <f>+'Presupuesto de ventas'!D14</f>
        <v>51</v>
      </c>
      <c r="F35" s="28">
        <f>+'Presupuesto de ventas'!E14</f>
        <v>51</v>
      </c>
      <c r="G35" s="28">
        <f>+'Presupuesto de ventas'!F14</f>
        <v>51</v>
      </c>
      <c r="H35" s="28">
        <f>+'Presupuesto de ventas'!G14</f>
        <v>51</v>
      </c>
      <c r="I35" s="28">
        <f>+'Presupuesto de ventas'!H14</f>
        <v>51</v>
      </c>
      <c r="J35" s="28">
        <f>+'Presupuesto de ventas'!I14</f>
        <v>51</v>
      </c>
      <c r="K35" s="28">
        <f>+'Presupuesto de ventas'!J14</f>
        <v>51</v>
      </c>
      <c r="L35" s="28">
        <f>+'Presupuesto de ventas'!K14</f>
        <v>51</v>
      </c>
      <c r="M35" s="28">
        <f>+'Presupuesto de ventas'!L14</f>
        <v>51</v>
      </c>
      <c r="N35" s="28">
        <f>+'Presupuesto de ventas'!M14</f>
        <v>51</v>
      </c>
      <c r="O35" s="28">
        <f>+'Presupuesto de ventas'!N14</f>
        <v>51</v>
      </c>
      <c r="P35" s="29"/>
    </row>
    <row r="36" spans="2:17" x14ac:dyDescent="0.25">
      <c r="B36" s="23" t="s">
        <v>114</v>
      </c>
      <c r="C36" s="30"/>
      <c r="D36" s="31"/>
      <c r="E36" s="11"/>
      <c r="F36" s="11"/>
      <c r="G36" s="11"/>
      <c r="H36" s="11"/>
      <c r="I36" s="32"/>
      <c r="J36" s="32"/>
      <c r="K36" s="32"/>
      <c r="L36" s="32"/>
      <c r="M36" s="32"/>
      <c r="N36" s="32"/>
      <c r="O36" s="11"/>
      <c r="P36" s="29"/>
    </row>
    <row r="37" spans="2:17" x14ac:dyDescent="0.25">
      <c r="B37" s="27" t="s">
        <v>66</v>
      </c>
      <c r="C37" s="4"/>
      <c r="D37" s="31">
        <f>+(Resumen!$C$16+'Costo de producción'!$C$8)</f>
        <v>92.539470555555553</v>
      </c>
      <c r="E37" s="31">
        <f>+(Resumen!$C$16+'Costo de producción'!$C$8)</f>
        <v>92.539470555555553</v>
      </c>
      <c r="F37" s="31">
        <f>+(Resumen!$C$16+'Costo de producción'!$C$8)</f>
        <v>92.539470555555553</v>
      </c>
      <c r="G37" s="31">
        <f>+(Resumen!$C$16+'Costo de producción'!$C$8)</f>
        <v>92.539470555555553</v>
      </c>
      <c r="H37" s="31">
        <f>+(Resumen!$C$16+'Costo de producción'!$C$8)</f>
        <v>92.539470555555553</v>
      </c>
      <c r="I37" s="31">
        <f>+(Resumen!$C$16+'Costo de producción'!$C$8)</f>
        <v>92.539470555555553</v>
      </c>
      <c r="J37" s="31">
        <f>+(Resumen!$C$16+'Costo de producción'!$C$8)</f>
        <v>92.539470555555553</v>
      </c>
      <c r="K37" s="31">
        <f>+(Resumen!$C$16+'Costo de producción'!$C$8)</f>
        <v>92.539470555555553</v>
      </c>
      <c r="L37" s="31">
        <f>+(Resumen!$C$16+'Costo de producción'!$C$8)</f>
        <v>92.539470555555553</v>
      </c>
      <c r="M37" s="31">
        <f>+(Resumen!$C$16+'Costo de producción'!$C$8)</f>
        <v>92.539470555555553</v>
      </c>
      <c r="N37" s="31">
        <f>+(Resumen!$C$16+'Costo de producción'!$C$8)</f>
        <v>92.539470555555553</v>
      </c>
      <c r="O37" s="31">
        <f>+(Resumen!$C$16+'Costo de producción'!$C$8)</f>
        <v>92.539470555555553</v>
      </c>
      <c r="P37" s="29"/>
    </row>
    <row r="38" spans="2:17" x14ac:dyDescent="0.25">
      <c r="B38" s="27" t="s">
        <v>67</v>
      </c>
      <c r="C38" s="4"/>
      <c r="D38" s="31">
        <f>+Resumen!$C$17+'Costo de producción'!$C$13</f>
        <v>67.141692777777763</v>
      </c>
      <c r="E38" s="31">
        <f>+Resumen!$C$17+'Costo de producción'!$C$13</f>
        <v>67.141692777777763</v>
      </c>
      <c r="F38" s="31">
        <f>+Resumen!$C$17+'Costo de producción'!$C$13</f>
        <v>67.141692777777763</v>
      </c>
      <c r="G38" s="31">
        <f>+Resumen!$C$17+'Costo de producción'!$C$13</f>
        <v>67.141692777777763</v>
      </c>
      <c r="H38" s="31">
        <f>+Resumen!$C$17+'Costo de producción'!$C$13</f>
        <v>67.141692777777763</v>
      </c>
      <c r="I38" s="31">
        <f>+Resumen!$C$17+'Costo de producción'!$C$13</f>
        <v>67.141692777777763</v>
      </c>
      <c r="J38" s="31">
        <f>+Resumen!$C$17+'Costo de producción'!$C$13</f>
        <v>67.141692777777763</v>
      </c>
      <c r="K38" s="31">
        <f>+Resumen!$C$17+'Costo de producción'!$C$13</f>
        <v>67.141692777777763</v>
      </c>
      <c r="L38" s="31">
        <f>+Resumen!$C$17+'Costo de producción'!$C$13</f>
        <v>67.141692777777763</v>
      </c>
      <c r="M38" s="31">
        <f>+Resumen!$C$17+'Costo de producción'!$C$13</f>
        <v>67.141692777777763</v>
      </c>
      <c r="N38" s="31">
        <f>+Resumen!$C$17+'Costo de producción'!$C$13</f>
        <v>67.141692777777763</v>
      </c>
      <c r="O38" s="31">
        <f>+Resumen!$C$17+'Costo de producción'!$C$13</f>
        <v>67.141692777777763</v>
      </c>
      <c r="P38" s="29"/>
    </row>
    <row r="39" spans="2:17" x14ac:dyDescent="0.25">
      <c r="B39" s="27" t="s">
        <v>68</v>
      </c>
      <c r="C39" s="4"/>
      <c r="D39" s="31">
        <f>+Resumen!$C$18+'Costo de producción'!$C$18</f>
        <v>58.295026111111156</v>
      </c>
      <c r="E39" s="31">
        <f>+Resumen!$C$18+'Costo de producción'!$C$18</f>
        <v>58.295026111111156</v>
      </c>
      <c r="F39" s="31">
        <f>+Resumen!$C$18+'Costo de producción'!$C$18</f>
        <v>58.295026111111156</v>
      </c>
      <c r="G39" s="31">
        <f>+Resumen!$C$18+'Costo de producción'!$C$18</f>
        <v>58.295026111111156</v>
      </c>
      <c r="H39" s="31">
        <f>+Resumen!$C$18+'Costo de producción'!$C$18</f>
        <v>58.295026111111156</v>
      </c>
      <c r="I39" s="31">
        <f>+Resumen!$C$18+'Costo de producción'!$C$18</f>
        <v>58.295026111111156</v>
      </c>
      <c r="J39" s="31">
        <f>+Resumen!$C$18+'Costo de producción'!$C$18</f>
        <v>58.295026111111156</v>
      </c>
      <c r="K39" s="31">
        <f>+Resumen!$C$18+'Costo de producción'!$C$18</f>
        <v>58.295026111111156</v>
      </c>
      <c r="L39" s="31">
        <f>+Resumen!$C$18+'Costo de producción'!$C$18</f>
        <v>58.295026111111156</v>
      </c>
      <c r="M39" s="31">
        <f>+Resumen!$C$18+'Costo de producción'!$C$18</f>
        <v>58.295026111111156</v>
      </c>
      <c r="N39" s="31">
        <f>+Resumen!$C$18+'Costo de producción'!$C$18</f>
        <v>58.295026111111156</v>
      </c>
      <c r="O39" s="31">
        <f>+Resumen!$C$18+'Costo de producción'!$C$18</f>
        <v>58.295026111111156</v>
      </c>
      <c r="P39" s="29"/>
    </row>
    <row r="40" spans="2:17" x14ac:dyDescent="0.25">
      <c r="B40" s="23" t="s">
        <v>438</v>
      </c>
      <c r="C40" s="33"/>
      <c r="D40" s="25">
        <f>SUM(D41:D43)</f>
        <v>11276.466825000003</v>
      </c>
      <c r="E40" s="25">
        <f t="shared" ref="E40:O40" si="16">SUM(E41:E43)</f>
        <v>11276.466825000003</v>
      </c>
      <c r="F40" s="25">
        <f t="shared" si="16"/>
        <v>11276.466825000003</v>
      </c>
      <c r="G40" s="25">
        <f t="shared" si="16"/>
        <v>11276.466825000003</v>
      </c>
      <c r="H40" s="25">
        <f t="shared" si="16"/>
        <v>11276.466825000003</v>
      </c>
      <c r="I40" s="25">
        <f t="shared" si="16"/>
        <v>11276.466825000003</v>
      </c>
      <c r="J40" s="25">
        <f t="shared" si="16"/>
        <v>11276.466825000003</v>
      </c>
      <c r="K40" s="25">
        <f t="shared" si="16"/>
        <v>11276.466825000003</v>
      </c>
      <c r="L40" s="25">
        <f t="shared" si="16"/>
        <v>11276.466825000003</v>
      </c>
      <c r="M40" s="25">
        <f t="shared" si="16"/>
        <v>11276.466825000003</v>
      </c>
      <c r="N40" s="25">
        <f t="shared" si="16"/>
        <v>11276.466825000003</v>
      </c>
      <c r="O40" s="25">
        <f t="shared" si="16"/>
        <v>11276.466825000003</v>
      </c>
      <c r="P40" s="26">
        <f>SUM(D40:O40)</f>
        <v>135317.60190000007</v>
      </c>
    </row>
    <row r="41" spans="2:17" x14ac:dyDescent="0.25">
      <c r="B41" s="27" t="s">
        <v>66</v>
      </c>
      <c r="C41" s="30"/>
      <c r="D41" s="28">
        <f t="shared" ref="D41:O41" si="17">D37*D33</f>
        <v>4812.0524688888891</v>
      </c>
      <c r="E41" s="28">
        <f t="shared" si="17"/>
        <v>4812.0524688888891</v>
      </c>
      <c r="F41" s="28">
        <f t="shared" si="17"/>
        <v>4812.0524688888891</v>
      </c>
      <c r="G41" s="28">
        <f t="shared" si="17"/>
        <v>4812.0524688888891</v>
      </c>
      <c r="H41" s="28">
        <f t="shared" si="17"/>
        <v>4812.0524688888891</v>
      </c>
      <c r="I41" s="28">
        <f t="shared" si="17"/>
        <v>4812.0524688888891</v>
      </c>
      <c r="J41" s="28">
        <f t="shared" si="17"/>
        <v>4812.0524688888891</v>
      </c>
      <c r="K41" s="28">
        <f t="shared" si="17"/>
        <v>4812.0524688888891</v>
      </c>
      <c r="L41" s="28">
        <f t="shared" si="17"/>
        <v>4812.0524688888891</v>
      </c>
      <c r="M41" s="28">
        <f t="shared" si="17"/>
        <v>4812.0524688888891</v>
      </c>
      <c r="N41" s="28">
        <f t="shared" si="17"/>
        <v>4812.0524688888891</v>
      </c>
      <c r="O41" s="28">
        <f t="shared" si="17"/>
        <v>4812.0524688888891</v>
      </c>
      <c r="P41" s="29"/>
    </row>
    <row r="42" spans="2:17" x14ac:dyDescent="0.25">
      <c r="B42" s="27" t="s">
        <v>67</v>
      </c>
      <c r="C42" s="30"/>
      <c r="D42" s="28">
        <f t="shared" ref="D42:O42" si="18">D38*D34</f>
        <v>3491.3680244444436</v>
      </c>
      <c r="E42" s="28">
        <f t="shared" si="18"/>
        <v>3491.3680244444436</v>
      </c>
      <c r="F42" s="28">
        <f t="shared" si="18"/>
        <v>3491.3680244444436</v>
      </c>
      <c r="G42" s="28">
        <f t="shared" si="18"/>
        <v>3491.3680244444436</v>
      </c>
      <c r="H42" s="28">
        <f t="shared" si="18"/>
        <v>3491.3680244444436</v>
      </c>
      <c r="I42" s="28">
        <f t="shared" si="18"/>
        <v>3491.3680244444436</v>
      </c>
      <c r="J42" s="28">
        <f t="shared" si="18"/>
        <v>3491.3680244444436</v>
      </c>
      <c r="K42" s="28">
        <f t="shared" si="18"/>
        <v>3491.3680244444436</v>
      </c>
      <c r="L42" s="28">
        <f t="shared" si="18"/>
        <v>3491.3680244444436</v>
      </c>
      <c r="M42" s="28">
        <f t="shared" si="18"/>
        <v>3491.3680244444436</v>
      </c>
      <c r="N42" s="28">
        <f t="shared" si="18"/>
        <v>3491.3680244444436</v>
      </c>
      <c r="O42" s="28">
        <f t="shared" si="18"/>
        <v>3491.3680244444436</v>
      </c>
      <c r="P42" s="29"/>
    </row>
    <row r="43" spans="2:17" x14ac:dyDescent="0.25">
      <c r="B43" s="27" t="s">
        <v>68</v>
      </c>
      <c r="C43" s="30"/>
      <c r="D43" s="28">
        <f t="shared" ref="D43:O43" si="19">D39*D35</f>
        <v>2973.0463316666692</v>
      </c>
      <c r="E43" s="28">
        <f t="shared" si="19"/>
        <v>2973.0463316666692</v>
      </c>
      <c r="F43" s="28">
        <f t="shared" si="19"/>
        <v>2973.0463316666692</v>
      </c>
      <c r="G43" s="28">
        <f t="shared" si="19"/>
        <v>2973.0463316666692</v>
      </c>
      <c r="H43" s="28">
        <f t="shared" si="19"/>
        <v>2973.0463316666692</v>
      </c>
      <c r="I43" s="28">
        <f t="shared" si="19"/>
        <v>2973.0463316666692</v>
      </c>
      <c r="J43" s="28">
        <f t="shared" si="19"/>
        <v>2973.0463316666692</v>
      </c>
      <c r="K43" s="28">
        <f t="shared" si="19"/>
        <v>2973.0463316666692</v>
      </c>
      <c r="L43" s="28">
        <f t="shared" si="19"/>
        <v>2973.0463316666692</v>
      </c>
      <c r="M43" s="28">
        <f t="shared" si="19"/>
        <v>2973.0463316666692</v>
      </c>
      <c r="N43" s="28">
        <f t="shared" si="19"/>
        <v>2973.0463316666692</v>
      </c>
      <c r="O43" s="28">
        <f t="shared" si="19"/>
        <v>2973.0463316666692</v>
      </c>
      <c r="P43" s="29"/>
    </row>
    <row r="44" spans="2:17" x14ac:dyDescent="0.25">
      <c r="B44" s="23" t="s">
        <v>439</v>
      </c>
      <c r="C44" s="24"/>
      <c r="D44" s="34">
        <f>+'Gastos operativos'!$H$21-'Gastos operativos'!$H$13</f>
        <v>4582.4999999999991</v>
      </c>
      <c r="E44" s="34">
        <f>+'Gastos operativos'!$H$21-'Gastos operativos'!$H$13</f>
        <v>4582.4999999999991</v>
      </c>
      <c r="F44" s="34">
        <f>+'Gastos operativos'!$H$21-'Gastos operativos'!$H$13</f>
        <v>4582.4999999999991</v>
      </c>
      <c r="G44" s="34">
        <f>+'Gastos operativos'!$H$21-'Gastos operativos'!$H$13</f>
        <v>4582.4999999999991</v>
      </c>
      <c r="H44" s="34">
        <f>+'Gastos operativos'!$H$21-'Gastos operativos'!$H$13</f>
        <v>4582.4999999999991</v>
      </c>
      <c r="I44" s="34">
        <f>+'Gastos operativos'!$H$21-'Gastos operativos'!$H$13</f>
        <v>4582.4999999999991</v>
      </c>
      <c r="J44" s="34">
        <f>+'Gastos operativos'!$H$21-'Gastos operativos'!$H$13</f>
        <v>4582.4999999999991</v>
      </c>
      <c r="K44" s="34">
        <f>+'Gastos operativos'!$H$21-'Gastos operativos'!$H$13</f>
        <v>4582.4999999999991</v>
      </c>
      <c r="L44" s="34">
        <f>+'Gastos operativos'!$H$21-'Gastos operativos'!$H$13</f>
        <v>4582.4999999999991</v>
      </c>
      <c r="M44" s="34">
        <f>+'Gastos operativos'!$H$21-'Gastos operativos'!$H$13</f>
        <v>4582.4999999999991</v>
      </c>
      <c r="N44" s="34">
        <f>+'Gastos operativos'!$H$21-'Gastos operativos'!$H$13</f>
        <v>4582.4999999999991</v>
      </c>
      <c r="O44" s="34">
        <f>+'Gastos operativos'!$H$21-'Gastos operativos'!$H$13</f>
        <v>4582.4999999999991</v>
      </c>
      <c r="P44" s="26">
        <f>SUM(D44:O44)</f>
        <v>54989.999999999993</v>
      </c>
    </row>
    <row r="45" spans="2:17" x14ac:dyDescent="0.25">
      <c r="B45" s="27"/>
      <c r="C45" s="11"/>
      <c r="D45" s="28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29"/>
    </row>
    <row r="46" spans="2:17" ht="15.75" thickBot="1" x14ac:dyDescent="0.3">
      <c r="B46" s="406" t="s">
        <v>115</v>
      </c>
      <c r="C46" s="407"/>
      <c r="D46" s="408">
        <f>+D44+D40</f>
        <v>15858.966825000003</v>
      </c>
      <c r="E46" s="409">
        <f t="shared" ref="E46:O46" si="20">E40+E44</f>
        <v>15858.966825000003</v>
      </c>
      <c r="F46" s="409">
        <f t="shared" si="20"/>
        <v>15858.966825000003</v>
      </c>
      <c r="G46" s="409">
        <f t="shared" si="20"/>
        <v>15858.966825000003</v>
      </c>
      <c r="H46" s="409">
        <f t="shared" si="20"/>
        <v>15858.966825000003</v>
      </c>
      <c r="I46" s="409">
        <f t="shared" si="20"/>
        <v>15858.966825000003</v>
      </c>
      <c r="J46" s="409">
        <f t="shared" si="20"/>
        <v>15858.966825000003</v>
      </c>
      <c r="K46" s="409">
        <f t="shared" si="20"/>
        <v>15858.966825000003</v>
      </c>
      <c r="L46" s="409">
        <f t="shared" si="20"/>
        <v>15858.966825000003</v>
      </c>
      <c r="M46" s="409">
        <f t="shared" si="20"/>
        <v>15858.966825000003</v>
      </c>
      <c r="N46" s="409">
        <f t="shared" si="20"/>
        <v>15858.966825000003</v>
      </c>
      <c r="O46" s="409">
        <f t="shared" si="20"/>
        <v>15858.966825000003</v>
      </c>
      <c r="P46" s="410"/>
    </row>
    <row r="47" spans="2:17" ht="15.75" thickBot="1" x14ac:dyDescent="0.3">
      <c r="B47" s="411" t="s">
        <v>116</v>
      </c>
      <c r="C47" s="412">
        <f>D46-O23</f>
        <v>377.65735277778003</v>
      </c>
      <c r="D47" s="413">
        <f>E46-D46</f>
        <v>0</v>
      </c>
      <c r="E47" s="413">
        <f t="shared" ref="E47:N47" si="21">F46-E46</f>
        <v>0</v>
      </c>
      <c r="F47" s="413">
        <f t="shared" si="21"/>
        <v>0</v>
      </c>
      <c r="G47" s="413">
        <f t="shared" si="21"/>
        <v>0</v>
      </c>
      <c r="H47" s="413">
        <f t="shared" si="21"/>
        <v>0</v>
      </c>
      <c r="I47" s="413">
        <f t="shared" si="21"/>
        <v>0</v>
      </c>
      <c r="J47" s="413">
        <f t="shared" si="21"/>
        <v>0</v>
      </c>
      <c r="K47" s="413">
        <f t="shared" si="21"/>
        <v>0</v>
      </c>
      <c r="L47" s="413">
        <f t="shared" si="21"/>
        <v>0</v>
      </c>
      <c r="M47" s="413">
        <f t="shared" si="21"/>
        <v>0</v>
      </c>
      <c r="N47" s="413">
        <f t="shared" si="21"/>
        <v>0</v>
      </c>
      <c r="O47" s="413"/>
      <c r="P47" s="414">
        <f>SUM(C47:O47)</f>
        <v>377.65735277778003</v>
      </c>
      <c r="Q47" s="346" t="s">
        <v>427</v>
      </c>
    </row>
    <row r="48" spans="2:17" x14ac:dyDescent="0.25">
      <c r="C48" s="138"/>
    </row>
    <row r="49" spans="2:16" x14ac:dyDescent="0.25">
      <c r="B49" s="446" t="s">
        <v>110</v>
      </c>
      <c r="C49" s="446"/>
      <c r="D49" s="446"/>
      <c r="E49" s="446"/>
      <c r="F49" s="446"/>
      <c r="G49" s="446"/>
      <c r="H49" s="446"/>
      <c r="I49" s="446"/>
      <c r="J49" s="446"/>
      <c r="K49" s="446"/>
      <c r="L49" s="446"/>
      <c r="M49" s="446"/>
      <c r="N49" s="446"/>
      <c r="O49" s="446"/>
      <c r="P49" s="446"/>
    </row>
    <row r="50" spans="2:16" x14ac:dyDescent="0.25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2:16" ht="15.75" thickBot="1" x14ac:dyDescent="0.3">
      <c r="B51" s="446" t="s">
        <v>373</v>
      </c>
      <c r="C51" s="446"/>
      <c r="D51" s="446"/>
      <c r="E51" s="446"/>
      <c r="F51" s="446"/>
      <c r="G51" s="446"/>
      <c r="H51" s="446"/>
      <c r="I51" s="446"/>
      <c r="J51" s="446"/>
      <c r="K51" s="446"/>
      <c r="L51" s="446"/>
      <c r="M51" s="446"/>
      <c r="N51" s="446"/>
      <c r="O51" s="446"/>
      <c r="P51" s="446"/>
    </row>
    <row r="52" spans="2:16" x14ac:dyDescent="0.25">
      <c r="B52" s="489" t="s">
        <v>23</v>
      </c>
      <c r="C52" s="485">
        <v>0</v>
      </c>
      <c r="D52" s="485" t="s">
        <v>112</v>
      </c>
      <c r="E52" s="485"/>
      <c r="F52" s="485"/>
      <c r="G52" s="485"/>
      <c r="H52" s="485"/>
      <c r="I52" s="485"/>
      <c r="J52" s="485"/>
      <c r="K52" s="485"/>
      <c r="L52" s="485"/>
      <c r="M52" s="485"/>
      <c r="N52" s="485"/>
      <c r="O52" s="485"/>
      <c r="P52" s="486" t="s">
        <v>106</v>
      </c>
    </row>
    <row r="53" spans="2:16" x14ac:dyDescent="0.25">
      <c r="B53" s="490"/>
      <c r="C53" s="491"/>
      <c r="D53" s="22">
        <v>1</v>
      </c>
      <c r="E53" s="22">
        <v>2</v>
      </c>
      <c r="F53" s="22">
        <v>3</v>
      </c>
      <c r="G53" s="22">
        <v>4</v>
      </c>
      <c r="H53" s="22">
        <v>5</v>
      </c>
      <c r="I53" s="22">
        <v>6</v>
      </c>
      <c r="J53" s="22">
        <v>7</v>
      </c>
      <c r="K53" s="22">
        <v>8</v>
      </c>
      <c r="L53" s="22">
        <v>9</v>
      </c>
      <c r="M53" s="22">
        <v>10</v>
      </c>
      <c r="N53" s="22">
        <v>11</v>
      </c>
      <c r="O53" s="22">
        <v>12</v>
      </c>
      <c r="P53" s="492"/>
    </row>
    <row r="54" spans="2:16" x14ac:dyDescent="0.25">
      <c r="B54" s="23" t="s">
        <v>113</v>
      </c>
      <c r="C54" s="24"/>
      <c r="D54" s="25">
        <f>SUM(D55:D57)</f>
        <v>163</v>
      </c>
      <c r="E54" s="25">
        <f t="shared" ref="E54" si="22">SUM(E55:E57)</f>
        <v>163</v>
      </c>
      <c r="F54" s="25">
        <f t="shared" ref="F54" si="23">SUM(F55:F57)</f>
        <v>163</v>
      </c>
      <c r="G54" s="25">
        <f t="shared" ref="G54" si="24">SUM(G55:G57)</f>
        <v>163</v>
      </c>
      <c r="H54" s="25">
        <f t="shared" ref="H54" si="25">SUM(H55:H57)</f>
        <v>163</v>
      </c>
      <c r="I54" s="25">
        <f t="shared" ref="I54" si="26">SUM(I55:I57)</f>
        <v>163</v>
      </c>
      <c r="J54" s="25">
        <f t="shared" ref="J54" si="27">SUM(J55:J57)</f>
        <v>163</v>
      </c>
      <c r="K54" s="25">
        <f t="shared" ref="K54" si="28">SUM(K55:K57)</f>
        <v>163</v>
      </c>
      <c r="L54" s="25">
        <f t="shared" ref="L54" si="29">SUM(L55:L57)</f>
        <v>163</v>
      </c>
      <c r="M54" s="25">
        <f t="shared" ref="M54" si="30">SUM(M55:M57)</f>
        <v>163</v>
      </c>
      <c r="N54" s="25">
        <f t="shared" ref="N54" si="31">SUM(N55:N57)</f>
        <v>163</v>
      </c>
      <c r="O54" s="25">
        <f t="shared" ref="O54" si="32">SUM(O55:O57)</f>
        <v>163</v>
      </c>
      <c r="P54" s="26">
        <f>SUM(D54:O54)</f>
        <v>1956</v>
      </c>
    </row>
    <row r="55" spans="2:16" x14ac:dyDescent="0.25">
      <c r="B55" s="27" t="s">
        <v>66</v>
      </c>
      <c r="C55" s="11"/>
      <c r="D55" s="28">
        <f>+'Presupuesto de ventas'!C16</f>
        <v>54</v>
      </c>
      <c r="E55" s="28">
        <f>+'Presupuesto de ventas'!D16</f>
        <v>54</v>
      </c>
      <c r="F55" s="28">
        <f>+'Presupuesto de ventas'!E16</f>
        <v>54</v>
      </c>
      <c r="G55" s="28">
        <f>+'Presupuesto de ventas'!F16</f>
        <v>54</v>
      </c>
      <c r="H55" s="28">
        <f>+'Presupuesto de ventas'!G16</f>
        <v>54</v>
      </c>
      <c r="I55" s="28">
        <f>+'Presupuesto de ventas'!H16</f>
        <v>54</v>
      </c>
      <c r="J55" s="28">
        <f>+'Presupuesto de ventas'!I16</f>
        <v>54</v>
      </c>
      <c r="K55" s="28">
        <f>+'Presupuesto de ventas'!J16</f>
        <v>54</v>
      </c>
      <c r="L55" s="28">
        <f>+'Presupuesto de ventas'!K16</f>
        <v>54</v>
      </c>
      <c r="M55" s="28">
        <f>+'Presupuesto de ventas'!L16</f>
        <v>54</v>
      </c>
      <c r="N55" s="28">
        <f>+'Presupuesto de ventas'!M16</f>
        <v>54</v>
      </c>
      <c r="O55" s="28">
        <f>+'Presupuesto de ventas'!N16</f>
        <v>54</v>
      </c>
      <c r="P55" s="29"/>
    </row>
    <row r="56" spans="2:16" x14ac:dyDescent="0.25">
      <c r="B56" s="27" t="s">
        <v>67</v>
      </c>
      <c r="C56" s="11"/>
      <c r="D56" s="28">
        <f>+'Presupuesto de ventas'!C17</f>
        <v>55</v>
      </c>
      <c r="E56" s="28">
        <f>+'Presupuesto de ventas'!D17</f>
        <v>55</v>
      </c>
      <c r="F56" s="28">
        <f>+'Presupuesto de ventas'!E17</f>
        <v>55</v>
      </c>
      <c r="G56" s="28">
        <f>+'Presupuesto de ventas'!F17</f>
        <v>55</v>
      </c>
      <c r="H56" s="28">
        <f>+'Presupuesto de ventas'!G17</f>
        <v>55</v>
      </c>
      <c r="I56" s="28">
        <f>+'Presupuesto de ventas'!H17</f>
        <v>55</v>
      </c>
      <c r="J56" s="28">
        <f>+'Presupuesto de ventas'!I17</f>
        <v>55</v>
      </c>
      <c r="K56" s="28">
        <f>+'Presupuesto de ventas'!J17</f>
        <v>55</v>
      </c>
      <c r="L56" s="28">
        <f>+'Presupuesto de ventas'!K17</f>
        <v>55</v>
      </c>
      <c r="M56" s="28">
        <f>+'Presupuesto de ventas'!L17</f>
        <v>55</v>
      </c>
      <c r="N56" s="28">
        <f>+'Presupuesto de ventas'!M17</f>
        <v>55</v>
      </c>
      <c r="O56" s="28">
        <f>+'Presupuesto de ventas'!N17</f>
        <v>55</v>
      </c>
      <c r="P56" s="29"/>
    </row>
    <row r="57" spans="2:16" x14ac:dyDescent="0.25">
      <c r="B57" s="27" t="s">
        <v>68</v>
      </c>
      <c r="C57" s="11"/>
      <c r="D57" s="28">
        <f>+'Presupuesto de ventas'!C18</f>
        <v>54</v>
      </c>
      <c r="E57" s="28">
        <f>+'Presupuesto de ventas'!D18</f>
        <v>54</v>
      </c>
      <c r="F57" s="28">
        <f>+'Presupuesto de ventas'!E18</f>
        <v>54</v>
      </c>
      <c r="G57" s="28">
        <f>+'Presupuesto de ventas'!F18</f>
        <v>54</v>
      </c>
      <c r="H57" s="28">
        <f>+'Presupuesto de ventas'!G18</f>
        <v>54</v>
      </c>
      <c r="I57" s="28">
        <f>+'Presupuesto de ventas'!H18</f>
        <v>54</v>
      </c>
      <c r="J57" s="28">
        <f>+'Presupuesto de ventas'!I18</f>
        <v>54</v>
      </c>
      <c r="K57" s="28">
        <f>+'Presupuesto de ventas'!J18</f>
        <v>54</v>
      </c>
      <c r="L57" s="28">
        <f>+'Presupuesto de ventas'!K18</f>
        <v>54</v>
      </c>
      <c r="M57" s="28">
        <f>+'Presupuesto de ventas'!L18</f>
        <v>54</v>
      </c>
      <c r="N57" s="28">
        <f>+'Presupuesto de ventas'!M18</f>
        <v>54</v>
      </c>
      <c r="O57" s="28">
        <f>+'Presupuesto de ventas'!N18</f>
        <v>54</v>
      </c>
      <c r="P57" s="29"/>
    </row>
    <row r="58" spans="2:16" x14ac:dyDescent="0.25">
      <c r="B58" s="23" t="s">
        <v>437</v>
      </c>
      <c r="C58" s="30"/>
      <c r="D58" s="31"/>
      <c r="E58" s="11"/>
      <c r="F58" s="11"/>
      <c r="G58" s="11"/>
      <c r="H58" s="11"/>
      <c r="I58" s="32"/>
      <c r="J58" s="32"/>
      <c r="K58" s="32"/>
      <c r="L58" s="32"/>
      <c r="M58" s="32"/>
      <c r="N58" s="32"/>
      <c r="O58" s="11"/>
      <c r="P58" s="29"/>
    </row>
    <row r="59" spans="2:16" x14ac:dyDescent="0.25">
      <c r="B59" s="27" t="s">
        <v>66</v>
      </c>
      <c r="C59" s="4"/>
      <c r="D59" s="31">
        <f>+(Resumen!$C$16+'Costo de producción'!$C$8)</f>
        <v>92.539470555555553</v>
      </c>
      <c r="E59" s="31">
        <f>+(Resumen!$C$16+'Costo de producción'!$C$8)</f>
        <v>92.539470555555553</v>
      </c>
      <c r="F59" s="31">
        <f>+(Resumen!$C$16+'Costo de producción'!$C$8)</f>
        <v>92.539470555555553</v>
      </c>
      <c r="G59" s="31">
        <f>+(Resumen!$C$16+'Costo de producción'!$C$8)</f>
        <v>92.539470555555553</v>
      </c>
      <c r="H59" s="31">
        <f>+(Resumen!$C$16+'Costo de producción'!$C$8)</f>
        <v>92.539470555555553</v>
      </c>
      <c r="I59" s="31">
        <f>+(Resumen!$C$16+'Costo de producción'!$C$8)</f>
        <v>92.539470555555553</v>
      </c>
      <c r="J59" s="31">
        <f>+(Resumen!$C$16+'Costo de producción'!$C$8)</f>
        <v>92.539470555555553</v>
      </c>
      <c r="K59" s="31">
        <f>+(Resumen!$C$16+'Costo de producción'!$C$8)</f>
        <v>92.539470555555553</v>
      </c>
      <c r="L59" s="31">
        <f>+(Resumen!$C$16+'Costo de producción'!$C$8)</f>
        <v>92.539470555555553</v>
      </c>
      <c r="M59" s="31">
        <f>+(Resumen!$C$16+'Costo de producción'!$C$8)</f>
        <v>92.539470555555553</v>
      </c>
      <c r="N59" s="31">
        <f>+(Resumen!$C$16+'Costo de producción'!$C$8)</f>
        <v>92.539470555555553</v>
      </c>
      <c r="O59" s="31">
        <f>+(Resumen!$C$16+'Costo de producción'!$C$8)</f>
        <v>92.539470555555553</v>
      </c>
      <c r="P59" s="29"/>
    </row>
    <row r="60" spans="2:16" x14ac:dyDescent="0.25">
      <c r="B60" s="27" t="s">
        <v>67</v>
      </c>
      <c r="C60" s="4"/>
      <c r="D60" s="31">
        <f>+Resumen!$C$17+'Costo de producción'!$C$13</f>
        <v>67.141692777777763</v>
      </c>
      <c r="E60" s="31">
        <f>+Resumen!$C$17+'Costo de producción'!$C$13</f>
        <v>67.141692777777763</v>
      </c>
      <c r="F60" s="31">
        <f>+Resumen!$C$17+'Costo de producción'!$C$13</f>
        <v>67.141692777777763</v>
      </c>
      <c r="G60" s="31">
        <f>+Resumen!$C$17+'Costo de producción'!$C$13</f>
        <v>67.141692777777763</v>
      </c>
      <c r="H60" s="31">
        <f>+Resumen!$C$17+'Costo de producción'!$C$13</f>
        <v>67.141692777777763</v>
      </c>
      <c r="I60" s="31">
        <f>+Resumen!$C$17+'Costo de producción'!$C$13</f>
        <v>67.141692777777763</v>
      </c>
      <c r="J60" s="31">
        <f>+Resumen!$C$17+'Costo de producción'!$C$13</f>
        <v>67.141692777777763</v>
      </c>
      <c r="K60" s="31">
        <f>+Resumen!$C$17+'Costo de producción'!$C$13</f>
        <v>67.141692777777763</v>
      </c>
      <c r="L60" s="31">
        <f>+Resumen!$C$17+'Costo de producción'!$C$13</f>
        <v>67.141692777777763</v>
      </c>
      <c r="M60" s="31">
        <f>+Resumen!$C$17+'Costo de producción'!$C$13</f>
        <v>67.141692777777763</v>
      </c>
      <c r="N60" s="31">
        <f>+Resumen!$C$17+'Costo de producción'!$C$13</f>
        <v>67.141692777777763</v>
      </c>
      <c r="O60" s="31">
        <f>+Resumen!$C$17+'Costo de producción'!$C$13</f>
        <v>67.141692777777763</v>
      </c>
      <c r="P60" s="29"/>
    </row>
    <row r="61" spans="2:16" x14ac:dyDescent="0.25">
      <c r="B61" s="27" t="s">
        <v>68</v>
      </c>
      <c r="C61" s="4"/>
      <c r="D61" s="31">
        <f>+Resumen!$C$18+'Costo de producción'!$C$18</f>
        <v>58.295026111111156</v>
      </c>
      <c r="E61" s="31">
        <f>+Resumen!$C$18+'Costo de producción'!$C$18</f>
        <v>58.295026111111156</v>
      </c>
      <c r="F61" s="31">
        <f>+Resumen!$C$18+'Costo de producción'!$C$18</f>
        <v>58.295026111111156</v>
      </c>
      <c r="G61" s="31">
        <f>+Resumen!$C$18+'Costo de producción'!$C$18</f>
        <v>58.295026111111156</v>
      </c>
      <c r="H61" s="31">
        <f>+Resumen!$C$18+'Costo de producción'!$C$18</f>
        <v>58.295026111111156</v>
      </c>
      <c r="I61" s="31">
        <f>+Resumen!$C$18+'Costo de producción'!$C$18</f>
        <v>58.295026111111156</v>
      </c>
      <c r="J61" s="31">
        <f>+Resumen!$C$18+'Costo de producción'!$C$18</f>
        <v>58.295026111111156</v>
      </c>
      <c r="K61" s="31">
        <f>+Resumen!$C$18+'Costo de producción'!$C$18</f>
        <v>58.295026111111156</v>
      </c>
      <c r="L61" s="31">
        <f>+Resumen!$C$18+'Costo de producción'!$C$18</f>
        <v>58.295026111111156</v>
      </c>
      <c r="M61" s="31">
        <f>+Resumen!$C$18+'Costo de producción'!$C$18</f>
        <v>58.295026111111156</v>
      </c>
      <c r="N61" s="31">
        <f>+Resumen!$C$18+'Costo de producción'!$C$18</f>
        <v>58.295026111111156</v>
      </c>
      <c r="O61" s="31">
        <f>+Resumen!$C$18+'Costo de producción'!$C$18</f>
        <v>58.295026111111156</v>
      </c>
      <c r="P61" s="29"/>
    </row>
    <row r="62" spans="2:16" x14ac:dyDescent="0.25">
      <c r="B62" s="23" t="s">
        <v>438</v>
      </c>
      <c r="C62" s="33"/>
      <c r="D62" s="25">
        <f>SUM(D63:D65)</f>
        <v>11837.855922777779</v>
      </c>
      <c r="E62" s="25">
        <f t="shared" ref="E62:O62" si="33">SUM(E63:E65)</f>
        <v>11837.855922777779</v>
      </c>
      <c r="F62" s="25">
        <f t="shared" si="33"/>
        <v>11837.855922777779</v>
      </c>
      <c r="G62" s="25">
        <f t="shared" si="33"/>
        <v>11837.855922777779</v>
      </c>
      <c r="H62" s="25">
        <f t="shared" si="33"/>
        <v>11837.855922777779</v>
      </c>
      <c r="I62" s="25">
        <f t="shared" si="33"/>
        <v>11837.855922777779</v>
      </c>
      <c r="J62" s="25">
        <f t="shared" si="33"/>
        <v>11837.855922777779</v>
      </c>
      <c r="K62" s="25">
        <f t="shared" si="33"/>
        <v>11837.855922777779</v>
      </c>
      <c r="L62" s="25">
        <f t="shared" si="33"/>
        <v>11837.855922777779</v>
      </c>
      <c r="M62" s="25">
        <f t="shared" si="33"/>
        <v>11837.855922777779</v>
      </c>
      <c r="N62" s="25">
        <f t="shared" si="33"/>
        <v>11837.855922777779</v>
      </c>
      <c r="O62" s="25">
        <f t="shared" si="33"/>
        <v>11837.855922777779</v>
      </c>
      <c r="P62" s="26">
        <f>SUM(D62:O62)</f>
        <v>142054.27107333331</v>
      </c>
    </row>
    <row r="63" spans="2:16" x14ac:dyDescent="0.25">
      <c r="B63" s="27" t="s">
        <v>66</v>
      </c>
      <c r="C63" s="30"/>
      <c r="D63" s="28">
        <f t="shared" ref="D63:O63" si="34">D59*D55</f>
        <v>4997.13141</v>
      </c>
      <c r="E63" s="28">
        <f t="shared" si="34"/>
        <v>4997.13141</v>
      </c>
      <c r="F63" s="28">
        <f t="shared" si="34"/>
        <v>4997.13141</v>
      </c>
      <c r="G63" s="28">
        <f t="shared" si="34"/>
        <v>4997.13141</v>
      </c>
      <c r="H63" s="28">
        <f t="shared" si="34"/>
        <v>4997.13141</v>
      </c>
      <c r="I63" s="28">
        <f t="shared" si="34"/>
        <v>4997.13141</v>
      </c>
      <c r="J63" s="28">
        <f t="shared" si="34"/>
        <v>4997.13141</v>
      </c>
      <c r="K63" s="28">
        <f t="shared" si="34"/>
        <v>4997.13141</v>
      </c>
      <c r="L63" s="28">
        <f t="shared" si="34"/>
        <v>4997.13141</v>
      </c>
      <c r="M63" s="28">
        <f t="shared" si="34"/>
        <v>4997.13141</v>
      </c>
      <c r="N63" s="28">
        <f t="shared" si="34"/>
        <v>4997.13141</v>
      </c>
      <c r="O63" s="28">
        <f t="shared" si="34"/>
        <v>4997.13141</v>
      </c>
      <c r="P63" s="29"/>
    </row>
    <row r="64" spans="2:16" x14ac:dyDescent="0.25">
      <c r="B64" s="27" t="s">
        <v>67</v>
      </c>
      <c r="C64" s="30"/>
      <c r="D64" s="28">
        <f t="shared" ref="D64:O64" si="35">D60*D56</f>
        <v>3692.7931027777768</v>
      </c>
      <c r="E64" s="28">
        <f t="shared" si="35"/>
        <v>3692.7931027777768</v>
      </c>
      <c r="F64" s="28">
        <f t="shared" si="35"/>
        <v>3692.7931027777768</v>
      </c>
      <c r="G64" s="28">
        <f t="shared" si="35"/>
        <v>3692.7931027777768</v>
      </c>
      <c r="H64" s="28">
        <f t="shared" si="35"/>
        <v>3692.7931027777768</v>
      </c>
      <c r="I64" s="28">
        <f t="shared" si="35"/>
        <v>3692.7931027777768</v>
      </c>
      <c r="J64" s="28">
        <f t="shared" si="35"/>
        <v>3692.7931027777768</v>
      </c>
      <c r="K64" s="28">
        <f t="shared" si="35"/>
        <v>3692.7931027777768</v>
      </c>
      <c r="L64" s="28">
        <f t="shared" si="35"/>
        <v>3692.7931027777768</v>
      </c>
      <c r="M64" s="28">
        <f t="shared" si="35"/>
        <v>3692.7931027777768</v>
      </c>
      <c r="N64" s="28">
        <f t="shared" si="35"/>
        <v>3692.7931027777768</v>
      </c>
      <c r="O64" s="28">
        <f t="shared" si="35"/>
        <v>3692.7931027777768</v>
      </c>
      <c r="P64" s="29"/>
    </row>
    <row r="65" spans="2:17" x14ac:dyDescent="0.25">
      <c r="B65" s="27" t="s">
        <v>68</v>
      </c>
      <c r="C65" s="30"/>
      <c r="D65" s="28">
        <f t="shared" ref="D65:O65" si="36">D61*D57</f>
        <v>3147.9314100000024</v>
      </c>
      <c r="E65" s="28">
        <f t="shared" si="36"/>
        <v>3147.9314100000024</v>
      </c>
      <c r="F65" s="28">
        <f t="shared" si="36"/>
        <v>3147.9314100000024</v>
      </c>
      <c r="G65" s="28">
        <f t="shared" si="36"/>
        <v>3147.9314100000024</v>
      </c>
      <c r="H65" s="28">
        <f t="shared" si="36"/>
        <v>3147.9314100000024</v>
      </c>
      <c r="I65" s="28">
        <f t="shared" si="36"/>
        <v>3147.9314100000024</v>
      </c>
      <c r="J65" s="28">
        <f t="shared" si="36"/>
        <v>3147.9314100000024</v>
      </c>
      <c r="K65" s="28">
        <f t="shared" si="36"/>
        <v>3147.9314100000024</v>
      </c>
      <c r="L65" s="28">
        <f t="shared" si="36"/>
        <v>3147.9314100000024</v>
      </c>
      <c r="M65" s="28">
        <f t="shared" si="36"/>
        <v>3147.9314100000024</v>
      </c>
      <c r="N65" s="28">
        <f t="shared" si="36"/>
        <v>3147.9314100000024</v>
      </c>
      <c r="O65" s="28">
        <f t="shared" si="36"/>
        <v>3147.9314100000024</v>
      </c>
      <c r="P65" s="29"/>
    </row>
    <row r="66" spans="2:17" x14ac:dyDescent="0.25">
      <c r="B66" s="23" t="s">
        <v>439</v>
      </c>
      <c r="C66" s="24"/>
      <c r="D66" s="34">
        <f>+'Gastos operativos'!$H$21-'Gastos operativos'!$H$13</f>
        <v>4582.4999999999991</v>
      </c>
      <c r="E66" s="34">
        <f>+'Gastos operativos'!$H$21-'Gastos operativos'!$H$13</f>
        <v>4582.4999999999991</v>
      </c>
      <c r="F66" s="34">
        <f>+'Gastos operativos'!$H$21-'Gastos operativos'!$H$13</f>
        <v>4582.4999999999991</v>
      </c>
      <c r="G66" s="34">
        <f>+'Gastos operativos'!$H$21-'Gastos operativos'!$H$13</f>
        <v>4582.4999999999991</v>
      </c>
      <c r="H66" s="34">
        <f>+'Gastos operativos'!$H$21-'Gastos operativos'!$H$13</f>
        <v>4582.4999999999991</v>
      </c>
      <c r="I66" s="34">
        <f>+'Gastos operativos'!$H$21-'Gastos operativos'!$H$13</f>
        <v>4582.4999999999991</v>
      </c>
      <c r="J66" s="34">
        <f>+'Gastos operativos'!$H$21-'Gastos operativos'!$H$13</f>
        <v>4582.4999999999991</v>
      </c>
      <c r="K66" s="34">
        <f>+'Gastos operativos'!$H$21-'Gastos operativos'!$H$13</f>
        <v>4582.4999999999991</v>
      </c>
      <c r="L66" s="34">
        <f>+'Gastos operativos'!$H$21-'Gastos operativos'!$H$13</f>
        <v>4582.4999999999991</v>
      </c>
      <c r="M66" s="34">
        <f>+'Gastos operativos'!$H$21-'Gastos operativos'!$H$13</f>
        <v>4582.4999999999991</v>
      </c>
      <c r="N66" s="34">
        <f>+'Gastos operativos'!$H$21-'Gastos operativos'!$H$13</f>
        <v>4582.4999999999991</v>
      </c>
      <c r="O66" s="34">
        <f>+'Gastos operativos'!$H$21-'Gastos operativos'!$H$13</f>
        <v>4582.4999999999991</v>
      </c>
      <c r="P66" s="26">
        <f>SUM(D66:O66)</f>
        <v>54989.999999999993</v>
      </c>
    </row>
    <row r="67" spans="2:17" x14ac:dyDescent="0.25">
      <c r="B67" s="27"/>
      <c r="C67" s="11"/>
      <c r="D67" s="28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29"/>
    </row>
    <row r="68" spans="2:17" x14ac:dyDescent="0.25">
      <c r="B68" s="23" t="s">
        <v>115</v>
      </c>
      <c r="C68" s="35"/>
      <c r="D68" s="364">
        <f>+D66+D62</f>
        <v>16420.355922777777</v>
      </c>
      <c r="E68" s="34">
        <f t="shared" ref="E68:O68" si="37">E62+E66</f>
        <v>16420.355922777777</v>
      </c>
      <c r="F68" s="34">
        <f t="shared" si="37"/>
        <v>16420.355922777777</v>
      </c>
      <c r="G68" s="34">
        <f t="shared" si="37"/>
        <v>16420.355922777777</v>
      </c>
      <c r="H68" s="34">
        <f t="shared" si="37"/>
        <v>16420.355922777777</v>
      </c>
      <c r="I68" s="34">
        <f t="shared" si="37"/>
        <v>16420.355922777777</v>
      </c>
      <c r="J68" s="34">
        <f t="shared" si="37"/>
        <v>16420.355922777777</v>
      </c>
      <c r="K68" s="34">
        <f t="shared" si="37"/>
        <v>16420.355922777777</v>
      </c>
      <c r="L68" s="34">
        <f t="shared" si="37"/>
        <v>16420.355922777777</v>
      </c>
      <c r="M68" s="34">
        <f t="shared" si="37"/>
        <v>16420.355922777777</v>
      </c>
      <c r="N68" s="34">
        <f t="shared" si="37"/>
        <v>16420.355922777777</v>
      </c>
      <c r="O68" s="34">
        <f t="shared" si="37"/>
        <v>16420.355922777777</v>
      </c>
      <c r="P68" s="29"/>
    </row>
    <row r="69" spans="2:17" x14ac:dyDescent="0.25">
      <c r="B69" s="27" t="s">
        <v>116</v>
      </c>
      <c r="C69" s="365">
        <f>D68-O46</f>
        <v>561.38909777777371</v>
      </c>
      <c r="D69" s="32">
        <f>E68-D68</f>
        <v>0</v>
      </c>
      <c r="E69" s="32">
        <f t="shared" ref="E69:N69" si="38">F68-E68</f>
        <v>0</v>
      </c>
      <c r="F69" s="32">
        <f t="shared" si="38"/>
        <v>0</v>
      </c>
      <c r="G69" s="32">
        <f t="shared" si="38"/>
        <v>0</v>
      </c>
      <c r="H69" s="32">
        <f t="shared" si="38"/>
        <v>0</v>
      </c>
      <c r="I69" s="32">
        <f t="shared" si="38"/>
        <v>0</v>
      </c>
      <c r="J69" s="32">
        <f t="shared" si="38"/>
        <v>0</v>
      </c>
      <c r="K69" s="32">
        <f t="shared" si="38"/>
        <v>0</v>
      </c>
      <c r="L69" s="32">
        <f t="shared" si="38"/>
        <v>0</v>
      </c>
      <c r="M69" s="32">
        <f t="shared" si="38"/>
        <v>0</v>
      </c>
      <c r="N69" s="32">
        <f t="shared" si="38"/>
        <v>0</v>
      </c>
      <c r="O69" s="32"/>
      <c r="P69" s="405">
        <f>SUM(C69:O69)</f>
        <v>561.38909777777371</v>
      </c>
      <c r="Q69" t="s">
        <v>428</v>
      </c>
    </row>
    <row r="72" spans="2:17" x14ac:dyDescent="0.25">
      <c r="B72" s="488" t="s">
        <v>374</v>
      </c>
      <c r="C72" s="488"/>
      <c r="D72" s="488"/>
      <c r="E72" s="488"/>
      <c r="F72" s="488"/>
      <c r="G72" s="404"/>
      <c r="H72" s="404"/>
      <c r="I72" s="404"/>
    </row>
    <row r="73" spans="2:17" ht="15.75" thickBot="1" x14ac:dyDescent="0.3"/>
    <row r="74" spans="2:17" x14ac:dyDescent="0.25">
      <c r="B74" s="419"/>
      <c r="C74" s="420">
        <v>0</v>
      </c>
      <c r="D74" s="420">
        <v>1</v>
      </c>
      <c r="E74" s="420">
        <v>2</v>
      </c>
      <c r="F74" s="421">
        <v>3</v>
      </c>
      <c r="G74" s="415"/>
      <c r="H74" s="415"/>
      <c r="I74" s="415"/>
    </row>
    <row r="75" spans="2:17" x14ac:dyDescent="0.25">
      <c r="B75" s="197" t="s">
        <v>422</v>
      </c>
      <c r="C75" s="41">
        <f>C24</f>
        <v>15481.309472222223</v>
      </c>
      <c r="D75" s="41">
        <f>C47</f>
        <v>377.65735277778003</v>
      </c>
      <c r="E75" s="41">
        <f>C69</f>
        <v>561.38909777777371</v>
      </c>
      <c r="F75" s="422"/>
      <c r="G75" s="416"/>
      <c r="H75" s="417"/>
      <c r="I75" s="417"/>
    </row>
    <row r="76" spans="2:17" ht="15.75" thickBot="1" x14ac:dyDescent="0.3">
      <c r="B76" s="423" t="s">
        <v>132</v>
      </c>
      <c r="C76" s="424"/>
      <c r="D76" s="424"/>
      <c r="E76" s="424"/>
      <c r="F76" s="425">
        <f>SUM(C75:E75)</f>
        <v>16420.355922777777</v>
      </c>
      <c r="G76" s="417"/>
      <c r="H76" s="417"/>
      <c r="I76" s="418"/>
    </row>
  </sheetData>
  <mergeCells count="19">
    <mergeCell ref="B27:P27"/>
    <mergeCell ref="B29:P29"/>
    <mergeCell ref="B3:P3"/>
    <mergeCell ref="B5:P5"/>
    <mergeCell ref="B7:B8"/>
    <mergeCell ref="C7:C8"/>
    <mergeCell ref="D7:O7"/>
    <mergeCell ref="P7:P8"/>
    <mergeCell ref="B72:F72"/>
    <mergeCell ref="B30:B31"/>
    <mergeCell ref="C30:C31"/>
    <mergeCell ref="D30:O30"/>
    <mergeCell ref="P30:P31"/>
    <mergeCell ref="B49:P49"/>
    <mergeCell ref="B51:P51"/>
    <mergeCell ref="B52:B53"/>
    <mergeCell ref="C52:C53"/>
    <mergeCell ref="D52:O52"/>
    <mergeCell ref="P52:P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44"/>
  <sheetViews>
    <sheetView topLeftCell="A10" zoomScale="85" zoomScaleNormal="85" workbookViewId="0">
      <selection activeCell="F25" sqref="F25"/>
    </sheetView>
  </sheetViews>
  <sheetFormatPr baseColWidth="10" defaultColWidth="9.140625" defaultRowHeight="15" x14ac:dyDescent="0.25"/>
  <cols>
    <col min="2" max="2" width="27.7109375" customWidth="1"/>
    <col min="3" max="3" width="21.5703125" customWidth="1"/>
    <col min="5" max="5" width="28.5703125" customWidth="1"/>
    <col min="6" max="6" width="11" customWidth="1"/>
    <col min="7" max="7" width="5" customWidth="1"/>
    <col min="8" max="8" width="8.85546875" customWidth="1"/>
    <col min="9" max="9" width="9.140625" customWidth="1"/>
    <col min="240" max="240" width="27.7109375" customWidth="1"/>
    <col min="241" max="241" width="21.5703125" customWidth="1"/>
    <col min="243" max="243" width="28.5703125" customWidth="1"/>
    <col min="244" max="244" width="11" customWidth="1"/>
    <col min="245" max="245" width="5" customWidth="1"/>
    <col min="246" max="246" width="8.85546875" customWidth="1"/>
    <col min="248" max="248" width="12.140625" customWidth="1"/>
    <col min="249" max="249" width="9.28515625" customWidth="1"/>
    <col min="250" max="250" width="9.5703125" bestFit="1" customWidth="1"/>
    <col min="496" max="496" width="27.7109375" customWidth="1"/>
    <col min="497" max="497" width="21.5703125" customWidth="1"/>
    <col min="499" max="499" width="28.5703125" customWidth="1"/>
    <col min="500" max="500" width="11" customWidth="1"/>
    <col min="501" max="501" width="5" customWidth="1"/>
    <col min="502" max="502" width="8.85546875" customWidth="1"/>
    <col min="504" max="504" width="12.140625" customWidth="1"/>
    <col min="505" max="505" width="9.28515625" customWidth="1"/>
    <col min="506" max="506" width="9.5703125" bestFit="1" customWidth="1"/>
    <col min="752" max="752" width="27.7109375" customWidth="1"/>
    <col min="753" max="753" width="21.5703125" customWidth="1"/>
    <col min="755" max="755" width="28.5703125" customWidth="1"/>
    <col min="756" max="756" width="11" customWidth="1"/>
    <col min="757" max="757" width="5" customWidth="1"/>
    <col min="758" max="758" width="8.85546875" customWidth="1"/>
    <col min="760" max="760" width="12.140625" customWidth="1"/>
    <col min="761" max="761" width="9.28515625" customWidth="1"/>
    <col min="762" max="762" width="9.5703125" bestFit="1" customWidth="1"/>
    <col min="1008" max="1008" width="27.7109375" customWidth="1"/>
    <col min="1009" max="1009" width="21.5703125" customWidth="1"/>
    <col min="1011" max="1011" width="28.5703125" customWidth="1"/>
    <col min="1012" max="1012" width="11" customWidth="1"/>
    <col min="1013" max="1013" width="5" customWidth="1"/>
    <col min="1014" max="1014" width="8.85546875" customWidth="1"/>
    <col min="1016" max="1016" width="12.140625" customWidth="1"/>
    <col min="1017" max="1017" width="9.28515625" customWidth="1"/>
    <col min="1018" max="1018" width="9.5703125" bestFit="1" customWidth="1"/>
    <col min="1264" max="1264" width="27.7109375" customWidth="1"/>
    <col min="1265" max="1265" width="21.5703125" customWidth="1"/>
    <col min="1267" max="1267" width="28.5703125" customWidth="1"/>
    <col min="1268" max="1268" width="11" customWidth="1"/>
    <col min="1269" max="1269" width="5" customWidth="1"/>
    <col min="1270" max="1270" width="8.85546875" customWidth="1"/>
    <col min="1272" max="1272" width="12.140625" customWidth="1"/>
    <col min="1273" max="1273" width="9.28515625" customWidth="1"/>
    <col min="1274" max="1274" width="9.5703125" bestFit="1" customWidth="1"/>
    <col min="1520" max="1520" width="27.7109375" customWidth="1"/>
    <col min="1521" max="1521" width="21.5703125" customWidth="1"/>
    <col min="1523" max="1523" width="28.5703125" customWidth="1"/>
    <col min="1524" max="1524" width="11" customWidth="1"/>
    <col min="1525" max="1525" width="5" customWidth="1"/>
    <col min="1526" max="1526" width="8.85546875" customWidth="1"/>
    <col min="1528" max="1528" width="12.140625" customWidth="1"/>
    <col min="1529" max="1529" width="9.28515625" customWidth="1"/>
    <col min="1530" max="1530" width="9.5703125" bestFit="1" customWidth="1"/>
    <col min="1776" max="1776" width="27.7109375" customWidth="1"/>
    <col min="1777" max="1777" width="21.5703125" customWidth="1"/>
    <col min="1779" max="1779" width="28.5703125" customWidth="1"/>
    <col min="1780" max="1780" width="11" customWidth="1"/>
    <col min="1781" max="1781" width="5" customWidth="1"/>
    <col min="1782" max="1782" width="8.85546875" customWidth="1"/>
    <col min="1784" max="1784" width="12.140625" customWidth="1"/>
    <col min="1785" max="1785" width="9.28515625" customWidth="1"/>
    <col min="1786" max="1786" width="9.5703125" bestFit="1" customWidth="1"/>
    <col min="2032" max="2032" width="27.7109375" customWidth="1"/>
    <col min="2033" max="2033" width="21.5703125" customWidth="1"/>
    <col min="2035" max="2035" width="28.5703125" customWidth="1"/>
    <col min="2036" max="2036" width="11" customWidth="1"/>
    <col min="2037" max="2037" width="5" customWidth="1"/>
    <col min="2038" max="2038" width="8.85546875" customWidth="1"/>
    <col min="2040" max="2040" width="12.140625" customWidth="1"/>
    <col min="2041" max="2041" width="9.28515625" customWidth="1"/>
    <col min="2042" max="2042" width="9.5703125" bestFit="1" customWidth="1"/>
    <col min="2288" max="2288" width="27.7109375" customWidth="1"/>
    <col min="2289" max="2289" width="21.5703125" customWidth="1"/>
    <col min="2291" max="2291" width="28.5703125" customWidth="1"/>
    <col min="2292" max="2292" width="11" customWidth="1"/>
    <col min="2293" max="2293" width="5" customWidth="1"/>
    <col min="2294" max="2294" width="8.85546875" customWidth="1"/>
    <col min="2296" max="2296" width="12.140625" customWidth="1"/>
    <col min="2297" max="2297" width="9.28515625" customWidth="1"/>
    <col min="2298" max="2298" width="9.5703125" bestFit="1" customWidth="1"/>
    <col min="2544" max="2544" width="27.7109375" customWidth="1"/>
    <col min="2545" max="2545" width="21.5703125" customWidth="1"/>
    <col min="2547" max="2547" width="28.5703125" customWidth="1"/>
    <col min="2548" max="2548" width="11" customWidth="1"/>
    <col min="2549" max="2549" width="5" customWidth="1"/>
    <col min="2550" max="2550" width="8.85546875" customWidth="1"/>
    <col min="2552" max="2552" width="12.140625" customWidth="1"/>
    <col min="2553" max="2553" width="9.28515625" customWidth="1"/>
    <col min="2554" max="2554" width="9.5703125" bestFit="1" customWidth="1"/>
    <col min="2800" max="2800" width="27.7109375" customWidth="1"/>
    <col min="2801" max="2801" width="21.5703125" customWidth="1"/>
    <col min="2803" max="2803" width="28.5703125" customWidth="1"/>
    <col min="2804" max="2804" width="11" customWidth="1"/>
    <col min="2805" max="2805" width="5" customWidth="1"/>
    <col min="2806" max="2806" width="8.85546875" customWidth="1"/>
    <col min="2808" max="2808" width="12.140625" customWidth="1"/>
    <col min="2809" max="2809" width="9.28515625" customWidth="1"/>
    <col min="2810" max="2810" width="9.5703125" bestFit="1" customWidth="1"/>
    <col min="3056" max="3056" width="27.7109375" customWidth="1"/>
    <col min="3057" max="3057" width="21.5703125" customWidth="1"/>
    <col min="3059" max="3059" width="28.5703125" customWidth="1"/>
    <col min="3060" max="3060" width="11" customWidth="1"/>
    <col min="3061" max="3061" width="5" customWidth="1"/>
    <col min="3062" max="3062" width="8.85546875" customWidth="1"/>
    <col min="3064" max="3064" width="12.140625" customWidth="1"/>
    <col min="3065" max="3065" width="9.28515625" customWidth="1"/>
    <col min="3066" max="3066" width="9.5703125" bestFit="1" customWidth="1"/>
    <col min="3312" max="3312" width="27.7109375" customWidth="1"/>
    <col min="3313" max="3313" width="21.5703125" customWidth="1"/>
    <col min="3315" max="3315" width="28.5703125" customWidth="1"/>
    <col min="3316" max="3316" width="11" customWidth="1"/>
    <col min="3317" max="3317" width="5" customWidth="1"/>
    <col min="3318" max="3318" width="8.85546875" customWidth="1"/>
    <col min="3320" max="3320" width="12.140625" customWidth="1"/>
    <col min="3321" max="3321" width="9.28515625" customWidth="1"/>
    <col min="3322" max="3322" width="9.5703125" bestFit="1" customWidth="1"/>
    <col min="3568" max="3568" width="27.7109375" customWidth="1"/>
    <col min="3569" max="3569" width="21.5703125" customWidth="1"/>
    <col min="3571" max="3571" width="28.5703125" customWidth="1"/>
    <col min="3572" max="3572" width="11" customWidth="1"/>
    <col min="3573" max="3573" width="5" customWidth="1"/>
    <col min="3574" max="3574" width="8.85546875" customWidth="1"/>
    <col min="3576" max="3576" width="12.140625" customWidth="1"/>
    <col min="3577" max="3577" width="9.28515625" customWidth="1"/>
    <col min="3578" max="3578" width="9.5703125" bestFit="1" customWidth="1"/>
    <col min="3824" max="3824" width="27.7109375" customWidth="1"/>
    <col min="3825" max="3825" width="21.5703125" customWidth="1"/>
    <col min="3827" max="3827" width="28.5703125" customWidth="1"/>
    <col min="3828" max="3828" width="11" customWidth="1"/>
    <col min="3829" max="3829" width="5" customWidth="1"/>
    <col min="3830" max="3830" width="8.85546875" customWidth="1"/>
    <col min="3832" max="3832" width="12.140625" customWidth="1"/>
    <col min="3833" max="3833" width="9.28515625" customWidth="1"/>
    <col min="3834" max="3834" width="9.5703125" bestFit="1" customWidth="1"/>
    <col min="4080" max="4080" width="27.7109375" customWidth="1"/>
    <col min="4081" max="4081" width="21.5703125" customWidth="1"/>
    <col min="4083" max="4083" width="28.5703125" customWidth="1"/>
    <col min="4084" max="4084" width="11" customWidth="1"/>
    <col min="4085" max="4085" width="5" customWidth="1"/>
    <col min="4086" max="4086" width="8.85546875" customWidth="1"/>
    <col min="4088" max="4088" width="12.140625" customWidth="1"/>
    <col min="4089" max="4089" width="9.28515625" customWidth="1"/>
    <col min="4090" max="4090" width="9.5703125" bestFit="1" customWidth="1"/>
    <col min="4336" max="4336" width="27.7109375" customWidth="1"/>
    <col min="4337" max="4337" width="21.5703125" customWidth="1"/>
    <col min="4339" max="4339" width="28.5703125" customWidth="1"/>
    <col min="4340" max="4340" width="11" customWidth="1"/>
    <col min="4341" max="4341" width="5" customWidth="1"/>
    <col min="4342" max="4342" width="8.85546875" customWidth="1"/>
    <col min="4344" max="4344" width="12.140625" customWidth="1"/>
    <col min="4345" max="4345" width="9.28515625" customWidth="1"/>
    <col min="4346" max="4346" width="9.5703125" bestFit="1" customWidth="1"/>
    <col min="4592" max="4592" width="27.7109375" customWidth="1"/>
    <col min="4593" max="4593" width="21.5703125" customWidth="1"/>
    <col min="4595" max="4595" width="28.5703125" customWidth="1"/>
    <col min="4596" max="4596" width="11" customWidth="1"/>
    <col min="4597" max="4597" width="5" customWidth="1"/>
    <col min="4598" max="4598" width="8.85546875" customWidth="1"/>
    <col min="4600" max="4600" width="12.140625" customWidth="1"/>
    <col min="4601" max="4601" width="9.28515625" customWidth="1"/>
    <col min="4602" max="4602" width="9.5703125" bestFit="1" customWidth="1"/>
    <col min="4848" max="4848" width="27.7109375" customWidth="1"/>
    <col min="4849" max="4849" width="21.5703125" customWidth="1"/>
    <col min="4851" max="4851" width="28.5703125" customWidth="1"/>
    <col min="4852" max="4852" width="11" customWidth="1"/>
    <col min="4853" max="4853" width="5" customWidth="1"/>
    <col min="4854" max="4854" width="8.85546875" customWidth="1"/>
    <col min="4856" max="4856" width="12.140625" customWidth="1"/>
    <col min="4857" max="4857" width="9.28515625" customWidth="1"/>
    <col min="4858" max="4858" width="9.5703125" bestFit="1" customWidth="1"/>
    <col min="5104" max="5104" width="27.7109375" customWidth="1"/>
    <col min="5105" max="5105" width="21.5703125" customWidth="1"/>
    <col min="5107" max="5107" width="28.5703125" customWidth="1"/>
    <col min="5108" max="5108" width="11" customWidth="1"/>
    <col min="5109" max="5109" width="5" customWidth="1"/>
    <col min="5110" max="5110" width="8.85546875" customWidth="1"/>
    <col min="5112" max="5112" width="12.140625" customWidth="1"/>
    <col min="5113" max="5113" width="9.28515625" customWidth="1"/>
    <col min="5114" max="5114" width="9.5703125" bestFit="1" customWidth="1"/>
    <col min="5360" max="5360" width="27.7109375" customWidth="1"/>
    <col min="5361" max="5361" width="21.5703125" customWidth="1"/>
    <col min="5363" max="5363" width="28.5703125" customWidth="1"/>
    <col min="5364" max="5364" width="11" customWidth="1"/>
    <col min="5365" max="5365" width="5" customWidth="1"/>
    <col min="5366" max="5366" width="8.85546875" customWidth="1"/>
    <col min="5368" max="5368" width="12.140625" customWidth="1"/>
    <col min="5369" max="5369" width="9.28515625" customWidth="1"/>
    <col min="5370" max="5370" width="9.5703125" bestFit="1" customWidth="1"/>
    <col min="5616" max="5616" width="27.7109375" customWidth="1"/>
    <col min="5617" max="5617" width="21.5703125" customWidth="1"/>
    <col min="5619" max="5619" width="28.5703125" customWidth="1"/>
    <col min="5620" max="5620" width="11" customWidth="1"/>
    <col min="5621" max="5621" width="5" customWidth="1"/>
    <col min="5622" max="5622" width="8.85546875" customWidth="1"/>
    <col min="5624" max="5624" width="12.140625" customWidth="1"/>
    <col min="5625" max="5625" width="9.28515625" customWidth="1"/>
    <col min="5626" max="5626" width="9.5703125" bestFit="1" customWidth="1"/>
    <col min="5872" max="5872" width="27.7109375" customWidth="1"/>
    <col min="5873" max="5873" width="21.5703125" customWidth="1"/>
    <col min="5875" max="5875" width="28.5703125" customWidth="1"/>
    <col min="5876" max="5876" width="11" customWidth="1"/>
    <col min="5877" max="5877" width="5" customWidth="1"/>
    <col min="5878" max="5878" width="8.85546875" customWidth="1"/>
    <col min="5880" max="5880" width="12.140625" customWidth="1"/>
    <col min="5881" max="5881" width="9.28515625" customWidth="1"/>
    <col min="5882" max="5882" width="9.5703125" bestFit="1" customWidth="1"/>
    <col min="6128" max="6128" width="27.7109375" customWidth="1"/>
    <col min="6129" max="6129" width="21.5703125" customWidth="1"/>
    <col min="6131" max="6131" width="28.5703125" customWidth="1"/>
    <col min="6132" max="6132" width="11" customWidth="1"/>
    <col min="6133" max="6133" width="5" customWidth="1"/>
    <col min="6134" max="6134" width="8.85546875" customWidth="1"/>
    <col min="6136" max="6136" width="12.140625" customWidth="1"/>
    <col min="6137" max="6137" width="9.28515625" customWidth="1"/>
    <col min="6138" max="6138" width="9.5703125" bestFit="1" customWidth="1"/>
    <col min="6384" max="6384" width="27.7109375" customWidth="1"/>
    <col min="6385" max="6385" width="21.5703125" customWidth="1"/>
    <col min="6387" max="6387" width="28.5703125" customWidth="1"/>
    <col min="6388" max="6388" width="11" customWidth="1"/>
    <col min="6389" max="6389" width="5" customWidth="1"/>
    <col min="6390" max="6390" width="8.85546875" customWidth="1"/>
    <col min="6392" max="6392" width="12.140625" customWidth="1"/>
    <col min="6393" max="6393" width="9.28515625" customWidth="1"/>
    <col min="6394" max="6394" width="9.5703125" bestFit="1" customWidth="1"/>
    <col min="6640" max="6640" width="27.7109375" customWidth="1"/>
    <col min="6641" max="6641" width="21.5703125" customWidth="1"/>
    <col min="6643" max="6643" width="28.5703125" customWidth="1"/>
    <col min="6644" max="6644" width="11" customWidth="1"/>
    <col min="6645" max="6645" width="5" customWidth="1"/>
    <col min="6646" max="6646" width="8.85546875" customWidth="1"/>
    <col min="6648" max="6648" width="12.140625" customWidth="1"/>
    <col min="6649" max="6649" width="9.28515625" customWidth="1"/>
    <col min="6650" max="6650" width="9.5703125" bestFit="1" customWidth="1"/>
    <col min="6896" max="6896" width="27.7109375" customWidth="1"/>
    <col min="6897" max="6897" width="21.5703125" customWidth="1"/>
    <col min="6899" max="6899" width="28.5703125" customWidth="1"/>
    <col min="6900" max="6900" width="11" customWidth="1"/>
    <col min="6901" max="6901" width="5" customWidth="1"/>
    <col min="6902" max="6902" width="8.85546875" customWidth="1"/>
    <col min="6904" max="6904" width="12.140625" customWidth="1"/>
    <col min="6905" max="6905" width="9.28515625" customWidth="1"/>
    <col min="6906" max="6906" width="9.5703125" bestFit="1" customWidth="1"/>
    <col min="7152" max="7152" width="27.7109375" customWidth="1"/>
    <col min="7153" max="7153" width="21.5703125" customWidth="1"/>
    <col min="7155" max="7155" width="28.5703125" customWidth="1"/>
    <col min="7156" max="7156" width="11" customWidth="1"/>
    <col min="7157" max="7157" width="5" customWidth="1"/>
    <col min="7158" max="7158" width="8.85546875" customWidth="1"/>
    <col min="7160" max="7160" width="12.140625" customWidth="1"/>
    <col min="7161" max="7161" width="9.28515625" customWidth="1"/>
    <col min="7162" max="7162" width="9.5703125" bestFit="1" customWidth="1"/>
    <col min="7408" max="7408" width="27.7109375" customWidth="1"/>
    <col min="7409" max="7409" width="21.5703125" customWidth="1"/>
    <col min="7411" max="7411" width="28.5703125" customWidth="1"/>
    <col min="7412" max="7412" width="11" customWidth="1"/>
    <col min="7413" max="7413" width="5" customWidth="1"/>
    <col min="7414" max="7414" width="8.85546875" customWidth="1"/>
    <col min="7416" max="7416" width="12.140625" customWidth="1"/>
    <col min="7417" max="7417" width="9.28515625" customWidth="1"/>
    <col min="7418" max="7418" width="9.5703125" bestFit="1" customWidth="1"/>
    <col min="7664" max="7664" width="27.7109375" customWidth="1"/>
    <col min="7665" max="7665" width="21.5703125" customWidth="1"/>
    <col min="7667" max="7667" width="28.5703125" customWidth="1"/>
    <col min="7668" max="7668" width="11" customWidth="1"/>
    <col min="7669" max="7669" width="5" customWidth="1"/>
    <col min="7670" max="7670" width="8.85546875" customWidth="1"/>
    <col min="7672" max="7672" width="12.140625" customWidth="1"/>
    <col min="7673" max="7673" width="9.28515625" customWidth="1"/>
    <col min="7674" max="7674" width="9.5703125" bestFit="1" customWidth="1"/>
    <col min="7920" max="7920" width="27.7109375" customWidth="1"/>
    <col min="7921" max="7921" width="21.5703125" customWidth="1"/>
    <col min="7923" max="7923" width="28.5703125" customWidth="1"/>
    <col min="7924" max="7924" width="11" customWidth="1"/>
    <col min="7925" max="7925" width="5" customWidth="1"/>
    <col min="7926" max="7926" width="8.85546875" customWidth="1"/>
    <col min="7928" max="7928" width="12.140625" customWidth="1"/>
    <col min="7929" max="7929" width="9.28515625" customWidth="1"/>
    <col min="7930" max="7930" width="9.5703125" bestFit="1" customWidth="1"/>
    <col min="8176" max="8176" width="27.7109375" customWidth="1"/>
    <col min="8177" max="8177" width="21.5703125" customWidth="1"/>
    <col min="8179" max="8179" width="28.5703125" customWidth="1"/>
    <col min="8180" max="8180" width="11" customWidth="1"/>
    <col min="8181" max="8181" width="5" customWidth="1"/>
    <col min="8182" max="8182" width="8.85546875" customWidth="1"/>
    <col min="8184" max="8184" width="12.140625" customWidth="1"/>
    <col min="8185" max="8185" width="9.28515625" customWidth="1"/>
    <col min="8186" max="8186" width="9.5703125" bestFit="1" customWidth="1"/>
    <col min="8432" max="8432" width="27.7109375" customWidth="1"/>
    <col min="8433" max="8433" width="21.5703125" customWidth="1"/>
    <col min="8435" max="8435" width="28.5703125" customWidth="1"/>
    <col min="8436" max="8436" width="11" customWidth="1"/>
    <col min="8437" max="8437" width="5" customWidth="1"/>
    <col min="8438" max="8438" width="8.85546875" customWidth="1"/>
    <col min="8440" max="8440" width="12.140625" customWidth="1"/>
    <col min="8441" max="8441" width="9.28515625" customWidth="1"/>
    <col min="8442" max="8442" width="9.5703125" bestFit="1" customWidth="1"/>
    <col min="8688" max="8688" width="27.7109375" customWidth="1"/>
    <col min="8689" max="8689" width="21.5703125" customWidth="1"/>
    <col min="8691" max="8691" width="28.5703125" customWidth="1"/>
    <col min="8692" max="8692" width="11" customWidth="1"/>
    <col min="8693" max="8693" width="5" customWidth="1"/>
    <col min="8694" max="8694" width="8.85546875" customWidth="1"/>
    <col min="8696" max="8696" width="12.140625" customWidth="1"/>
    <col min="8697" max="8697" width="9.28515625" customWidth="1"/>
    <col min="8698" max="8698" width="9.5703125" bestFit="1" customWidth="1"/>
    <col min="8944" max="8944" width="27.7109375" customWidth="1"/>
    <col min="8945" max="8945" width="21.5703125" customWidth="1"/>
    <col min="8947" max="8947" width="28.5703125" customWidth="1"/>
    <col min="8948" max="8948" width="11" customWidth="1"/>
    <col min="8949" max="8949" width="5" customWidth="1"/>
    <col min="8950" max="8950" width="8.85546875" customWidth="1"/>
    <col min="8952" max="8952" width="12.140625" customWidth="1"/>
    <col min="8953" max="8953" width="9.28515625" customWidth="1"/>
    <col min="8954" max="8954" width="9.5703125" bestFit="1" customWidth="1"/>
    <col min="9200" max="9200" width="27.7109375" customWidth="1"/>
    <col min="9201" max="9201" width="21.5703125" customWidth="1"/>
    <col min="9203" max="9203" width="28.5703125" customWidth="1"/>
    <col min="9204" max="9204" width="11" customWidth="1"/>
    <col min="9205" max="9205" width="5" customWidth="1"/>
    <col min="9206" max="9206" width="8.85546875" customWidth="1"/>
    <col min="9208" max="9208" width="12.140625" customWidth="1"/>
    <col min="9209" max="9209" width="9.28515625" customWidth="1"/>
    <col min="9210" max="9210" width="9.5703125" bestFit="1" customWidth="1"/>
    <col min="9456" max="9456" width="27.7109375" customWidth="1"/>
    <col min="9457" max="9457" width="21.5703125" customWidth="1"/>
    <col min="9459" max="9459" width="28.5703125" customWidth="1"/>
    <col min="9460" max="9460" width="11" customWidth="1"/>
    <col min="9461" max="9461" width="5" customWidth="1"/>
    <col min="9462" max="9462" width="8.85546875" customWidth="1"/>
    <col min="9464" max="9464" width="12.140625" customWidth="1"/>
    <col min="9465" max="9465" width="9.28515625" customWidth="1"/>
    <col min="9466" max="9466" width="9.5703125" bestFit="1" customWidth="1"/>
    <col min="9712" max="9712" width="27.7109375" customWidth="1"/>
    <col min="9713" max="9713" width="21.5703125" customWidth="1"/>
    <col min="9715" max="9715" width="28.5703125" customWidth="1"/>
    <col min="9716" max="9716" width="11" customWidth="1"/>
    <col min="9717" max="9717" width="5" customWidth="1"/>
    <col min="9718" max="9718" width="8.85546875" customWidth="1"/>
    <col min="9720" max="9720" width="12.140625" customWidth="1"/>
    <col min="9721" max="9721" width="9.28515625" customWidth="1"/>
    <col min="9722" max="9722" width="9.5703125" bestFit="1" customWidth="1"/>
    <col min="9968" max="9968" width="27.7109375" customWidth="1"/>
    <col min="9969" max="9969" width="21.5703125" customWidth="1"/>
    <col min="9971" max="9971" width="28.5703125" customWidth="1"/>
    <col min="9972" max="9972" width="11" customWidth="1"/>
    <col min="9973" max="9973" width="5" customWidth="1"/>
    <col min="9974" max="9974" width="8.85546875" customWidth="1"/>
    <col min="9976" max="9976" width="12.140625" customWidth="1"/>
    <col min="9977" max="9977" width="9.28515625" customWidth="1"/>
    <col min="9978" max="9978" width="9.5703125" bestFit="1" customWidth="1"/>
    <col min="10224" max="10224" width="27.7109375" customWidth="1"/>
    <col min="10225" max="10225" width="21.5703125" customWidth="1"/>
    <col min="10227" max="10227" width="28.5703125" customWidth="1"/>
    <col min="10228" max="10228" width="11" customWidth="1"/>
    <col min="10229" max="10229" width="5" customWidth="1"/>
    <col min="10230" max="10230" width="8.85546875" customWidth="1"/>
    <col min="10232" max="10232" width="12.140625" customWidth="1"/>
    <col min="10233" max="10233" width="9.28515625" customWidth="1"/>
    <col min="10234" max="10234" width="9.5703125" bestFit="1" customWidth="1"/>
    <col min="10480" max="10480" width="27.7109375" customWidth="1"/>
    <col min="10481" max="10481" width="21.5703125" customWidth="1"/>
    <col min="10483" max="10483" width="28.5703125" customWidth="1"/>
    <col min="10484" max="10484" width="11" customWidth="1"/>
    <col min="10485" max="10485" width="5" customWidth="1"/>
    <col min="10486" max="10486" width="8.85546875" customWidth="1"/>
    <col min="10488" max="10488" width="12.140625" customWidth="1"/>
    <col min="10489" max="10489" width="9.28515625" customWidth="1"/>
    <col min="10490" max="10490" width="9.5703125" bestFit="1" customWidth="1"/>
    <col min="10736" max="10736" width="27.7109375" customWidth="1"/>
    <col min="10737" max="10737" width="21.5703125" customWidth="1"/>
    <col min="10739" max="10739" width="28.5703125" customWidth="1"/>
    <col min="10740" max="10740" width="11" customWidth="1"/>
    <col min="10741" max="10741" width="5" customWidth="1"/>
    <col min="10742" max="10742" width="8.85546875" customWidth="1"/>
    <col min="10744" max="10744" width="12.140625" customWidth="1"/>
    <col min="10745" max="10745" width="9.28515625" customWidth="1"/>
    <col min="10746" max="10746" width="9.5703125" bestFit="1" customWidth="1"/>
    <col min="10992" max="10992" width="27.7109375" customWidth="1"/>
    <col min="10993" max="10993" width="21.5703125" customWidth="1"/>
    <col min="10995" max="10995" width="28.5703125" customWidth="1"/>
    <col min="10996" max="10996" width="11" customWidth="1"/>
    <col min="10997" max="10997" width="5" customWidth="1"/>
    <col min="10998" max="10998" width="8.85546875" customWidth="1"/>
    <col min="11000" max="11000" width="12.140625" customWidth="1"/>
    <col min="11001" max="11001" width="9.28515625" customWidth="1"/>
    <col min="11002" max="11002" width="9.5703125" bestFit="1" customWidth="1"/>
    <col min="11248" max="11248" width="27.7109375" customWidth="1"/>
    <col min="11249" max="11249" width="21.5703125" customWidth="1"/>
    <col min="11251" max="11251" width="28.5703125" customWidth="1"/>
    <col min="11252" max="11252" width="11" customWidth="1"/>
    <col min="11253" max="11253" width="5" customWidth="1"/>
    <col min="11254" max="11254" width="8.85546875" customWidth="1"/>
    <col min="11256" max="11256" width="12.140625" customWidth="1"/>
    <col min="11257" max="11257" width="9.28515625" customWidth="1"/>
    <col min="11258" max="11258" width="9.5703125" bestFit="1" customWidth="1"/>
    <col min="11504" max="11504" width="27.7109375" customWidth="1"/>
    <col min="11505" max="11505" width="21.5703125" customWidth="1"/>
    <col min="11507" max="11507" width="28.5703125" customWidth="1"/>
    <col min="11508" max="11508" width="11" customWidth="1"/>
    <col min="11509" max="11509" width="5" customWidth="1"/>
    <col min="11510" max="11510" width="8.85546875" customWidth="1"/>
    <col min="11512" max="11512" width="12.140625" customWidth="1"/>
    <col min="11513" max="11513" width="9.28515625" customWidth="1"/>
    <col min="11514" max="11514" width="9.5703125" bestFit="1" customWidth="1"/>
    <col min="11760" max="11760" width="27.7109375" customWidth="1"/>
    <col min="11761" max="11761" width="21.5703125" customWidth="1"/>
    <col min="11763" max="11763" width="28.5703125" customWidth="1"/>
    <col min="11764" max="11764" width="11" customWidth="1"/>
    <col min="11765" max="11765" width="5" customWidth="1"/>
    <col min="11766" max="11766" width="8.85546875" customWidth="1"/>
    <col min="11768" max="11768" width="12.140625" customWidth="1"/>
    <col min="11769" max="11769" width="9.28515625" customWidth="1"/>
    <col min="11770" max="11770" width="9.5703125" bestFit="1" customWidth="1"/>
    <col min="12016" max="12016" width="27.7109375" customWidth="1"/>
    <col min="12017" max="12017" width="21.5703125" customWidth="1"/>
    <col min="12019" max="12019" width="28.5703125" customWidth="1"/>
    <col min="12020" max="12020" width="11" customWidth="1"/>
    <col min="12021" max="12021" width="5" customWidth="1"/>
    <col min="12022" max="12022" width="8.85546875" customWidth="1"/>
    <col min="12024" max="12024" width="12.140625" customWidth="1"/>
    <col min="12025" max="12025" width="9.28515625" customWidth="1"/>
    <col min="12026" max="12026" width="9.5703125" bestFit="1" customWidth="1"/>
    <col min="12272" max="12272" width="27.7109375" customWidth="1"/>
    <col min="12273" max="12273" width="21.5703125" customWidth="1"/>
    <col min="12275" max="12275" width="28.5703125" customWidth="1"/>
    <col min="12276" max="12276" width="11" customWidth="1"/>
    <col min="12277" max="12277" width="5" customWidth="1"/>
    <col min="12278" max="12278" width="8.85546875" customWidth="1"/>
    <col min="12280" max="12280" width="12.140625" customWidth="1"/>
    <col min="12281" max="12281" width="9.28515625" customWidth="1"/>
    <col min="12282" max="12282" width="9.5703125" bestFit="1" customWidth="1"/>
    <col min="12528" max="12528" width="27.7109375" customWidth="1"/>
    <col min="12529" max="12529" width="21.5703125" customWidth="1"/>
    <col min="12531" max="12531" width="28.5703125" customWidth="1"/>
    <col min="12532" max="12532" width="11" customWidth="1"/>
    <col min="12533" max="12533" width="5" customWidth="1"/>
    <col min="12534" max="12534" width="8.85546875" customWidth="1"/>
    <col min="12536" max="12536" width="12.140625" customWidth="1"/>
    <col min="12537" max="12537" width="9.28515625" customWidth="1"/>
    <col min="12538" max="12538" width="9.5703125" bestFit="1" customWidth="1"/>
    <col min="12784" max="12784" width="27.7109375" customWidth="1"/>
    <col min="12785" max="12785" width="21.5703125" customWidth="1"/>
    <col min="12787" max="12787" width="28.5703125" customWidth="1"/>
    <col min="12788" max="12788" width="11" customWidth="1"/>
    <col min="12789" max="12789" width="5" customWidth="1"/>
    <col min="12790" max="12790" width="8.85546875" customWidth="1"/>
    <col min="12792" max="12792" width="12.140625" customWidth="1"/>
    <col min="12793" max="12793" width="9.28515625" customWidth="1"/>
    <col min="12794" max="12794" width="9.5703125" bestFit="1" customWidth="1"/>
    <col min="13040" max="13040" width="27.7109375" customWidth="1"/>
    <col min="13041" max="13041" width="21.5703125" customWidth="1"/>
    <col min="13043" max="13043" width="28.5703125" customWidth="1"/>
    <col min="13044" max="13044" width="11" customWidth="1"/>
    <col min="13045" max="13045" width="5" customWidth="1"/>
    <col min="13046" max="13046" width="8.85546875" customWidth="1"/>
    <col min="13048" max="13048" width="12.140625" customWidth="1"/>
    <col min="13049" max="13049" width="9.28515625" customWidth="1"/>
    <col min="13050" max="13050" width="9.5703125" bestFit="1" customWidth="1"/>
    <col min="13296" max="13296" width="27.7109375" customWidth="1"/>
    <col min="13297" max="13297" width="21.5703125" customWidth="1"/>
    <col min="13299" max="13299" width="28.5703125" customWidth="1"/>
    <col min="13300" max="13300" width="11" customWidth="1"/>
    <col min="13301" max="13301" width="5" customWidth="1"/>
    <col min="13302" max="13302" width="8.85546875" customWidth="1"/>
    <col min="13304" max="13304" width="12.140625" customWidth="1"/>
    <col min="13305" max="13305" width="9.28515625" customWidth="1"/>
    <col min="13306" max="13306" width="9.5703125" bestFit="1" customWidth="1"/>
    <col min="13552" max="13552" width="27.7109375" customWidth="1"/>
    <col min="13553" max="13553" width="21.5703125" customWidth="1"/>
    <col min="13555" max="13555" width="28.5703125" customWidth="1"/>
    <col min="13556" max="13556" width="11" customWidth="1"/>
    <col min="13557" max="13557" width="5" customWidth="1"/>
    <col min="13558" max="13558" width="8.85546875" customWidth="1"/>
    <col min="13560" max="13560" width="12.140625" customWidth="1"/>
    <col min="13561" max="13561" width="9.28515625" customWidth="1"/>
    <col min="13562" max="13562" width="9.5703125" bestFit="1" customWidth="1"/>
    <col min="13808" max="13808" width="27.7109375" customWidth="1"/>
    <col min="13809" max="13809" width="21.5703125" customWidth="1"/>
    <col min="13811" max="13811" width="28.5703125" customWidth="1"/>
    <col min="13812" max="13812" width="11" customWidth="1"/>
    <col min="13813" max="13813" width="5" customWidth="1"/>
    <col min="13814" max="13814" width="8.85546875" customWidth="1"/>
    <col min="13816" max="13816" width="12.140625" customWidth="1"/>
    <col min="13817" max="13817" width="9.28515625" customWidth="1"/>
    <col min="13818" max="13818" width="9.5703125" bestFit="1" customWidth="1"/>
    <col min="14064" max="14064" width="27.7109375" customWidth="1"/>
    <col min="14065" max="14065" width="21.5703125" customWidth="1"/>
    <col min="14067" max="14067" width="28.5703125" customWidth="1"/>
    <col min="14068" max="14068" width="11" customWidth="1"/>
    <col min="14069" max="14069" width="5" customWidth="1"/>
    <col min="14070" max="14070" width="8.85546875" customWidth="1"/>
    <col min="14072" max="14072" width="12.140625" customWidth="1"/>
    <col min="14073" max="14073" width="9.28515625" customWidth="1"/>
    <col min="14074" max="14074" width="9.5703125" bestFit="1" customWidth="1"/>
    <col min="14320" max="14320" width="27.7109375" customWidth="1"/>
    <col min="14321" max="14321" width="21.5703125" customWidth="1"/>
    <col min="14323" max="14323" width="28.5703125" customWidth="1"/>
    <col min="14324" max="14324" width="11" customWidth="1"/>
    <col min="14325" max="14325" width="5" customWidth="1"/>
    <col min="14326" max="14326" width="8.85546875" customWidth="1"/>
    <col min="14328" max="14328" width="12.140625" customWidth="1"/>
    <col min="14329" max="14329" width="9.28515625" customWidth="1"/>
    <col min="14330" max="14330" width="9.5703125" bestFit="1" customWidth="1"/>
    <col min="14576" max="14576" width="27.7109375" customWidth="1"/>
    <col min="14577" max="14577" width="21.5703125" customWidth="1"/>
    <col min="14579" max="14579" width="28.5703125" customWidth="1"/>
    <col min="14580" max="14580" width="11" customWidth="1"/>
    <col min="14581" max="14581" width="5" customWidth="1"/>
    <col min="14582" max="14582" width="8.85546875" customWidth="1"/>
    <col min="14584" max="14584" width="12.140625" customWidth="1"/>
    <col min="14585" max="14585" width="9.28515625" customWidth="1"/>
    <col min="14586" max="14586" width="9.5703125" bestFit="1" customWidth="1"/>
    <col min="14832" max="14832" width="27.7109375" customWidth="1"/>
    <col min="14833" max="14833" width="21.5703125" customWidth="1"/>
    <col min="14835" max="14835" width="28.5703125" customWidth="1"/>
    <col min="14836" max="14836" width="11" customWidth="1"/>
    <col min="14837" max="14837" width="5" customWidth="1"/>
    <col min="14838" max="14838" width="8.85546875" customWidth="1"/>
    <col min="14840" max="14840" width="12.140625" customWidth="1"/>
    <col min="14841" max="14841" width="9.28515625" customWidth="1"/>
    <col min="14842" max="14842" width="9.5703125" bestFit="1" customWidth="1"/>
    <col min="15088" max="15088" width="27.7109375" customWidth="1"/>
    <col min="15089" max="15089" width="21.5703125" customWidth="1"/>
    <col min="15091" max="15091" width="28.5703125" customWidth="1"/>
    <col min="15092" max="15092" width="11" customWidth="1"/>
    <col min="15093" max="15093" width="5" customWidth="1"/>
    <col min="15094" max="15094" width="8.85546875" customWidth="1"/>
    <col min="15096" max="15096" width="12.140625" customWidth="1"/>
    <col min="15097" max="15097" width="9.28515625" customWidth="1"/>
    <col min="15098" max="15098" width="9.5703125" bestFit="1" customWidth="1"/>
    <col min="15344" max="15344" width="27.7109375" customWidth="1"/>
    <col min="15345" max="15345" width="21.5703125" customWidth="1"/>
    <col min="15347" max="15347" width="28.5703125" customWidth="1"/>
    <col min="15348" max="15348" width="11" customWidth="1"/>
    <col min="15349" max="15349" width="5" customWidth="1"/>
    <col min="15350" max="15350" width="8.85546875" customWidth="1"/>
    <col min="15352" max="15352" width="12.140625" customWidth="1"/>
    <col min="15353" max="15353" width="9.28515625" customWidth="1"/>
    <col min="15354" max="15354" width="9.5703125" bestFit="1" customWidth="1"/>
    <col min="15600" max="15600" width="27.7109375" customWidth="1"/>
    <col min="15601" max="15601" width="21.5703125" customWidth="1"/>
    <col min="15603" max="15603" width="28.5703125" customWidth="1"/>
    <col min="15604" max="15604" width="11" customWidth="1"/>
    <col min="15605" max="15605" width="5" customWidth="1"/>
    <col min="15606" max="15606" width="8.85546875" customWidth="1"/>
    <col min="15608" max="15608" width="12.140625" customWidth="1"/>
    <col min="15609" max="15609" width="9.28515625" customWidth="1"/>
    <col min="15610" max="15610" width="9.5703125" bestFit="1" customWidth="1"/>
    <col min="15856" max="15856" width="27.7109375" customWidth="1"/>
    <col min="15857" max="15857" width="21.5703125" customWidth="1"/>
    <col min="15859" max="15859" width="28.5703125" customWidth="1"/>
    <col min="15860" max="15860" width="11" customWidth="1"/>
    <col min="15861" max="15861" width="5" customWidth="1"/>
    <col min="15862" max="15862" width="8.85546875" customWidth="1"/>
    <col min="15864" max="15864" width="12.140625" customWidth="1"/>
    <col min="15865" max="15865" width="9.28515625" customWidth="1"/>
    <col min="15866" max="15866" width="9.5703125" bestFit="1" customWidth="1"/>
    <col min="16112" max="16112" width="27.7109375" customWidth="1"/>
    <col min="16113" max="16113" width="21.5703125" customWidth="1"/>
    <col min="16115" max="16115" width="28.5703125" customWidth="1"/>
    <col min="16116" max="16116" width="11" customWidth="1"/>
    <col min="16117" max="16117" width="5" customWidth="1"/>
    <col min="16118" max="16118" width="8.85546875" customWidth="1"/>
    <col min="16120" max="16120" width="12.140625" customWidth="1"/>
    <col min="16121" max="16121" width="9.28515625" customWidth="1"/>
    <col min="16122" max="16122" width="9.5703125" bestFit="1" customWidth="1"/>
  </cols>
  <sheetData>
    <row r="1" spans="2:6" ht="15.75" thickBot="1" x14ac:dyDescent="0.3"/>
    <row r="2" spans="2:6" ht="15.75" thickBot="1" x14ac:dyDescent="0.3">
      <c r="B2" s="493" t="s">
        <v>176</v>
      </c>
      <c r="C2" s="493"/>
      <c r="E2" s="494" t="s">
        <v>425</v>
      </c>
      <c r="F2" s="495"/>
    </row>
    <row r="3" spans="2:6" ht="15.75" thickBot="1" x14ac:dyDescent="0.3">
      <c r="E3" s="74"/>
      <c r="F3" s="123">
        <f>F20</f>
        <v>150</v>
      </c>
    </row>
    <row r="4" spans="2:6" ht="15.75" thickBot="1" x14ac:dyDescent="0.3">
      <c r="B4" s="124" t="s">
        <v>177</v>
      </c>
      <c r="E4" s="125" t="s">
        <v>178</v>
      </c>
      <c r="F4" s="126" t="s">
        <v>8</v>
      </c>
    </row>
    <row r="5" spans="2:6" x14ac:dyDescent="0.25">
      <c r="E5" s="27" t="s">
        <v>179</v>
      </c>
      <c r="F5" s="128">
        <f>+'Gastos operativos'!H14-'Gastos operativos'!H13</f>
        <v>2808.3333333333335</v>
      </c>
    </row>
    <row r="6" spans="2:6" x14ac:dyDescent="0.25">
      <c r="B6" s="74" t="s">
        <v>180</v>
      </c>
      <c r="E6" s="27" t="s">
        <v>181</v>
      </c>
      <c r="F6" s="128">
        <f>+Depreciación!F9/12</f>
        <v>274.11844135802465</v>
      </c>
    </row>
    <row r="7" spans="2:6" x14ac:dyDescent="0.25">
      <c r="E7" s="27" t="s">
        <v>182</v>
      </c>
      <c r="F7" s="129">
        <f>+'Gastos operativos'!H13</f>
        <v>5.3587962962962958</v>
      </c>
    </row>
    <row r="8" spans="2:6" ht="15.75" thickBot="1" x14ac:dyDescent="0.3">
      <c r="B8" s="74" t="s">
        <v>183</v>
      </c>
      <c r="C8" s="130" t="s">
        <v>184</v>
      </c>
      <c r="E8" s="27" t="s">
        <v>185</v>
      </c>
      <c r="F8" s="128">
        <f>+'Gastos operativos'!H20</f>
        <v>1774.1666666666665</v>
      </c>
    </row>
    <row r="9" spans="2:6" x14ac:dyDescent="0.25">
      <c r="C9" s="131" t="s">
        <v>186</v>
      </c>
      <c r="E9" s="132" t="s">
        <v>187</v>
      </c>
      <c r="F9" s="133">
        <v>0</v>
      </c>
    </row>
    <row r="10" spans="2:6" x14ac:dyDescent="0.25">
      <c r="E10" s="134" t="s">
        <v>188</v>
      </c>
      <c r="F10" s="135">
        <f>SUM(F5:F9)</f>
        <v>4861.9772376543206</v>
      </c>
    </row>
    <row r="11" spans="2:6" x14ac:dyDescent="0.25">
      <c r="E11" s="136" t="s">
        <v>189</v>
      </c>
      <c r="F11" s="137" t="s">
        <v>8</v>
      </c>
    </row>
    <row r="12" spans="2:6" ht="15.75" thickBot="1" x14ac:dyDescent="0.3">
      <c r="B12" s="74" t="s">
        <v>190</v>
      </c>
      <c r="C12" s="130" t="s">
        <v>191</v>
      </c>
      <c r="E12" s="27" t="s">
        <v>192</v>
      </c>
      <c r="F12" s="128">
        <f>+'Costo de producción'!C8*'Presupuesto de ventas'!C8</f>
        <v>3376.9735277777777</v>
      </c>
    </row>
    <row r="13" spans="2:6" x14ac:dyDescent="0.25">
      <c r="C13" s="131" t="s">
        <v>186</v>
      </c>
      <c r="E13" s="27" t="s">
        <v>193</v>
      </c>
      <c r="F13" s="128">
        <f>+'Costo de producción'!C13*'Presupuesto de ventas'!C9</f>
        <v>2245.9735277777777</v>
      </c>
    </row>
    <row r="14" spans="2:6" x14ac:dyDescent="0.25">
      <c r="E14" s="27" t="s">
        <v>194</v>
      </c>
      <c r="F14" s="128">
        <f>+'Costo de producción'!C18*'Presupuesto de ventas'!C10</f>
        <v>2011.9735277777777</v>
      </c>
    </row>
    <row r="15" spans="2:6" x14ac:dyDescent="0.25">
      <c r="E15" s="27" t="s">
        <v>195</v>
      </c>
      <c r="F15" s="128">
        <f>+Resumen!C16*'Presupuesto de ventas'!C8</f>
        <v>1250</v>
      </c>
    </row>
    <row r="16" spans="2:6" x14ac:dyDescent="0.25">
      <c r="E16" s="27" t="s">
        <v>196</v>
      </c>
      <c r="F16" s="128">
        <f>+Resumen!C17*'Presupuesto de ventas'!C9</f>
        <v>1111.1111111111099</v>
      </c>
    </row>
    <row r="17" spans="2:9" x14ac:dyDescent="0.25">
      <c r="E17" s="27" t="s">
        <v>197</v>
      </c>
      <c r="F17" s="128">
        <f>+Resumen!C18*'Presupuesto de ventas'!C10</f>
        <v>902.77777777777999</v>
      </c>
    </row>
    <row r="18" spans="2:9" x14ac:dyDescent="0.25">
      <c r="E18" s="27" t="s">
        <v>436</v>
      </c>
      <c r="F18" s="128">
        <f>'Gastos operativos'!G14+'Gastos operativos'!G20</f>
        <v>1197.2222222222222</v>
      </c>
    </row>
    <row r="19" spans="2:9" ht="15.75" thickBot="1" x14ac:dyDescent="0.3">
      <c r="B19" s="493" t="s">
        <v>198</v>
      </c>
      <c r="C19" s="493"/>
      <c r="E19" s="519" t="s">
        <v>199</v>
      </c>
      <c r="F19" s="520">
        <f>SUM(F12:F18)</f>
        <v>12096.031694444444</v>
      </c>
    </row>
    <row r="20" spans="2:9" ht="15.75" thickBot="1" x14ac:dyDescent="0.3">
      <c r="E20" s="521" t="s">
        <v>200</v>
      </c>
      <c r="F20" s="522">
        <f>F23+F30+F37</f>
        <v>150</v>
      </c>
    </row>
    <row r="21" spans="2:9" ht="15.75" thickBot="1" x14ac:dyDescent="0.3">
      <c r="B21" s="124" t="s">
        <v>201</v>
      </c>
      <c r="E21" s="74" t="s">
        <v>66</v>
      </c>
    </row>
    <row r="22" spans="2:9" ht="15.75" thickBot="1" x14ac:dyDescent="0.3">
      <c r="C22" s="127"/>
      <c r="E22" s="139" t="s">
        <v>202</v>
      </c>
      <c r="F22" s="137" t="s">
        <v>8</v>
      </c>
      <c r="I22" s="140">
        <v>0.2</v>
      </c>
    </row>
    <row r="23" spans="2:9" ht="15.75" thickBot="1" x14ac:dyDescent="0.3">
      <c r="B23" s="141" t="s">
        <v>180</v>
      </c>
      <c r="C23" s="127"/>
      <c r="D23" s="127"/>
      <c r="E23" s="142" t="s">
        <v>203</v>
      </c>
      <c r="F23" s="143">
        <v>50</v>
      </c>
    </row>
    <row r="24" spans="2:9" ht="15.75" thickBot="1" x14ac:dyDescent="0.3">
      <c r="B24" s="74" t="s">
        <v>204</v>
      </c>
      <c r="C24" s="127"/>
      <c r="E24" s="27" t="s">
        <v>205</v>
      </c>
      <c r="F24" s="128">
        <f>+F10/F20</f>
        <v>32.413181584362135</v>
      </c>
      <c r="H24" s="144" t="s">
        <v>206</v>
      </c>
      <c r="I24" s="145">
        <f>Resumen!C13</f>
        <v>141.53696034567901</v>
      </c>
    </row>
    <row r="25" spans="2:9" x14ac:dyDescent="0.25">
      <c r="E25" s="27" t="s">
        <v>207</v>
      </c>
      <c r="F25" s="338">
        <f>+((F12+F15)+(F18/3))/F23</f>
        <v>100.52095203703703</v>
      </c>
      <c r="G25" s="138"/>
    </row>
    <row r="26" spans="2:9" ht="15.75" thickBot="1" x14ac:dyDescent="0.3">
      <c r="B26" s="141" t="s">
        <v>208</v>
      </c>
      <c r="E26" s="146" t="s">
        <v>209</v>
      </c>
      <c r="F26" s="147">
        <f>SUM(F24:F25)</f>
        <v>132.93413362139916</v>
      </c>
      <c r="I26" s="127">
        <f>+I24-F26</f>
        <v>8.6028267242798506</v>
      </c>
    </row>
    <row r="27" spans="2:9" x14ac:dyDescent="0.25">
      <c r="B27" s="74" t="s">
        <v>210</v>
      </c>
    </row>
    <row r="28" spans="2:9" ht="15.75" thickBot="1" x14ac:dyDescent="0.3">
      <c r="B28" s="74" t="s">
        <v>211</v>
      </c>
      <c r="E28" s="74" t="s">
        <v>67</v>
      </c>
    </row>
    <row r="29" spans="2:9" ht="15.75" thickBot="1" x14ac:dyDescent="0.3">
      <c r="B29" s="74" t="s">
        <v>212</v>
      </c>
      <c r="E29" s="139" t="s">
        <v>202</v>
      </c>
      <c r="F29" s="149" t="s">
        <v>8</v>
      </c>
    </row>
    <row r="30" spans="2:9" ht="15.75" thickBot="1" x14ac:dyDescent="0.3">
      <c r="E30" s="142" t="s">
        <v>203</v>
      </c>
      <c r="F30" s="143">
        <v>50</v>
      </c>
    </row>
    <row r="31" spans="2:9" ht="15.75" thickBot="1" x14ac:dyDescent="0.3">
      <c r="E31" s="27" t="s">
        <v>205</v>
      </c>
      <c r="F31" s="128">
        <f>+F24</f>
        <v>32.413181584362135</v>
      </c>
      <c r="H31" s="144" t="s">
        <v>206</v>
      </c>
      <c r="I31" s="145">
        <f>+F33*(1+I22)</f>
        <v>129.04362701234564</v>
      </c>
    </row>
    <row r="32" spans="2:9" x14ac:dyDescent="0.25">
      <c r="E32" s="27" t="s">
        <v>207</v>
      </c>
      <c r="F32" s="338">
        <f>((F13+F16+(F18/3))/F30)</f>
        <v>75.12317425925923</v>
      </c>
    </row>
    <row r="33" spans="5:9" ht="15.75" thickBot="1" x14ac:dyDescent="0.3">
      <c r="E33" s="146" t="s">
        <v>209</v>
      </c>
      <c r="F33" s="147">
        <f>SUM(F31:F32)</f>
        <v>107.53635584362137</v>
      </c>
      <c r="I33" s="127">
        <f>+I31-F33</f>
        <v>21.507271168724273</v>
      </c>
    </row>
    <row r="35" spans="5:9" ht="15.75" thickBot="1" x14ac:dyDescent="0.3">
      <c r="E35" s="74" t="s">
        <v>68</v>
      </c>
    </row>
    <row r="36" spans="5:9" ht="15.75" thickBot="1" x14ac:dyDescent="0.3">
      <c r="E36" s="139" t="s">
        <v>202</v>
      </c>
      <c r="F36" s="149" t="s">
        <v>8</v>
      </c>
    </row>
    <row r="37" spans="5:9" ht="15.75" thickBot="1" x14ac:dyDescent="0.3">
      <c r="E37" s="142" t="s">
        <v>203</v>
      </c>
      <c r="F37" s="143">
        <v>50</v>
      </c>
    </row>
    <row r="38" spans="5:9" ht="15.75" thickBot="1" x14ac:dyDescent="0.3">
      <c r="E38" s="27" t="s">
        <v>205</v>
      </c>
      <c r="F38" s="128">
        <f>+F31</f>
        <v>32.413181584362135</v>
      </c>
      <c r="H38" s="144" t="s">
        <v>206</v>
      </c>
      <c r="I38" s="145">
        <f>+F40*(1+I22)</f>
        <v>118.42762701234572</v>
      </c>
    </row>
    <row r="39" spans="5:9" x14ac:dyDescent="0.25">
      <c r="E39" s="27" t="s">
        <v>207</v>
      </c>
      <c r="F39" s="338">
        <f>+((F14+F17)+(F18/3))/F37</f>
        <v>66.276507592592637</v>
      </c>
    </row>
    <row r="40" spans="5:9" ht="15.75" thickBot="1" x14ac:dyDescent="0.3">
      <c r="E40" s="146" t="s">
        <v>209</v>
      </c>
      <c r="F40" s="147">
        <f>SUM(F38:F39)</f>
        <v>98.689689176954772</v>
      </c>
      <c r="I40" s="127">
        <f>+I38-F40</f>
        <v>19.737937835390952</v>
      </c>
    </row>
    <row r="44" spans="5:9" x14ac:dyDescent="0.25">
      <c r="H44">
        <f>600*17</f>
        <v>10200</v>
      </c>
    </row>
  </sheetData>
  <mergeCells count="3">
    <mergeCell ref="B2:C2"/>
    <mergeCell ref="E2:F2"/>
    <mergeCell ref="B19:C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Z48"/>
  <sheetViews>
    <sheetView topLeftCell="A33" workbookViewId="0">
      <selection activeCell="H48" sqref="H48"/>
    </sheetView>
  </sheetViews>
  <sheetFormatPr baseColWidth="10" defaultColWidth="9.140625" defaultRowHeight="15" x14ac:dyDescent="0.25"/>
  <cols>
    <col min="1" max="1" width="13.5703125" style="42" customWidth="1"/>
    <col min="2" max="2" width="18" customWidth="1"/>
    <col min="3" max="3" width="11.28515625" customWidth="1"/>
    <col min="4" max="4" width="13.5703125" customWidth="1"/>
    <col min="5" max="5" width="14.5703125" customWidth="1"/>
    <col min="6" max="6" width="11.28515625" customWidth="1"/>
    <col min="7" max="7" width="13.42578125" customWidth="1"/>
    <col min="8" max="8" width="5" customWidth="1"/>
    <col min="9" max="9" width="10.42578125" customWidth="1"/>
    <col min="10" max="10" width="22.85546875" customWidth="1"/>
    <col min="11" max="11" width="12.42578125" customWidth="1"/>
    <col min="257" max="257" width="13.5703125" customWidth="1"/>
    <col min="258" max="258" width="18" customWidth="1"/>
    <col min="259" max="259" width="11.28515625" customWidth="1"/>
    <col min="260" max="260" width="13.5703125" customWidth="1"/>
    <col min="261" max="261" width="14.5703125" customWidth="1"/>
    <col min="262" max="262" width="11.28515625" customWidth="1"/>
    <col min="263" max="263" width="13.42578125" customWidth="1"/>
    <col min="264" max="264" width="5" customWidth="1"/>
    <col min="265" max="265" width="10.42578125" customWidth="1"/>
    <col min="266" max="266" width="22.85546875" customWidth="1"/>
    <col min="267" max="267" width="12.42578125" customWidth="1"/>
    <col min="513" max="513" width="13.5703125" customWidth="1"/>
    <col min="514" max="514" width="18" customWidth="1"/>
    <col min="515" max="515" width="11.28515625" customWidth="1"/>
    <col min="516" max="516" width="13.5703125" customWidth="1"/>
    <col min="517" max="517" width="14.5703125" customWidth="1"/>
    <col min="518" max="518" width="11.28515625" customWidth="1"/>
    <col min="519" max="519" width="13.42578125" customWidth="1"/>
    <col min="520" max="520" width="5" customWidth="1"/>
    <col min="521" max="521" width="10.42578125" customWidth="1"/>
    <col min="522" max="522" width="22.85546875" customWidth="1"/>
    <col min="523" max="523" width="12.42578125" customWidth="1"/>
    <col min="769" max="769" width="13.5703125" customWidth="1"/>
    <col min="770" max="770" width="18" customWidth="1"/>
    <col min="771" max="771" width="11.28515625" customWidth="1"/>
    <col min="772" max="772" width="13.5703125" customWidth="1"/>
    <col min="773" max="773" width="14.5703125" customWidth="1"/>
    <col min="774" max="774" width="11.28515625" customWidth="1"/>
    <col min="775" max="775" width="13.42578125" customWidth="1"/>
    <col min="776" max="776" width="5" customWidth="1"/>
    <col min="777" max="777" width="10.42578125" customWidth="1"/>
    <col min="778" max="778" width="22.85546875" customWidth="1"/>
    <col min="779" max="779" width="12.42578125" customWidth="1"/>
    <col min="1025" max="1025" width="13.5703125" customWidth="1"/>
    <col min="1026" max="1026" width="18" customWidth="1"/>
    <col min="1027" max="1027" width="11.28515625" customWidth="1"/>
    <col min="1028" max="1028" width="13.5703125" customWidth="1"/>
    <col min="1029" max="1029" width="14.5703125" customWidth="1"/>
    <col min="1030" max="1030" width="11.28515625" customWidth="1"/>
    <col min="1031" max="1031" width="13.42578125" customWidth="1"/>
    <col min="1032" max="1032" width="5" customWidth="1"/>
    <col min="1033" max="1033" width="10.42578125" customWidth="1"/>
    <col min="1034" max="1034" width="22.85546875" customWidth="1"/>
    <col min="1035" max="1035" width="12.42578125" customWidth="1"/>
    <col min="1281" max="1281" width="13.5703125" customWidth="1"/>
    <col min="1282" max="1282" width="18" customWidth="1"/>
    <col min="1283" max="1283" width="11.28515625" customWidth="1"/>
    <col min="1284" max="1284" width="13.5703125" customWidth="1"/>
    <col min="1285" max="1285" width="14.5703125" customWidth="1"/>
    <col min="1286" max="1286" width="11.28515625" customWidth="1"/>
    <col min="1287" max="1287" width="13.42578125" customWidth="1"/>
    <col min="1288" max="1288" width="5" customWidth="1"/>
    <col min="1289" max="1289" width="10.42578125" customWidth="1"/>
    <col min="1290" max="1290" width="22.85546875" customWidth="1"/>
    <col min="1291" max="1291" width="12.42578125" customWidth="1"/>
    <col min="1537" max="1537" width="13.5703125" customWidth="1"/>
    <col min="1538" max="1538" width="18" customWidth="1"/>
    <col min="1539" max="1539" width="11.28515625" customWidth="1"/>
    <col min="1540" max="1540" width="13.5703125" customWidth="1"/>
    <col min="1541" max="1541" width="14.5703125" customWidth="1"/>
    <col min="1542" max="1542" width="11.28515625" customWidth="1"/>
    <col min="1543" max="1543" width="13.42578125" customWidth="1"/>
    <col min="1544" max="1544" width="5" customWidth="1"/>
    <col min="1545" max="1545" width="10.42578125" customWidth="1"/>
    <col min="1546" max="1546" width="22.85546875" customWidth="1"/>
    <col min="1547" max="1547" width="12.42578125" customWidth="1"/>
    <col min="1793" max="1793" width="13.5703125" customWidth="1"/>
    <col min="1794" max="1794" width="18" customWidth="1"/>
    <col min="1795" max="1795" width="11.28515625" customWidth="1"/>
    <col min="1796" max="1796" width="13.5703125" customWidth="1"/>
    <col min="1797" max="1797" width="14.5703125" customWidth="1"/>
    <col min="1798" max="1798" width="11.28515625" customWidth="1"/>
    <col min="1799" max="1799" width="13.42578125" customWidth="1"/>
    <col min="1800" max="1800" width="5" customWidth="1"/>
    <col min="1801" max="1801" width="10.42578125" customWidth="1"/>
    <col min="1802" max="1802" width="22.85546875" customWidth="1"/>
    <col min="1803" max="1803" width="12.42578125" customWidth="1"/>
    <col min="2049" max="2049" width="13.5703125" customWidth="1"/>
    <col min="2050" max="2050" width="18" customWidth="1"/>
    <col min="2051" max="2051" width="11.28515625" customWidth="1"/>
    <col min="2052" max="2052" width="13.5703125" customWidth="1"/>
    <col min="2053" max="2053" width="14.5703125" customWidth="1"/>
    <col min="2054" max="2054" width="11.28515625" customWidth="1"/>
    <col min="2055" max="2055" width="13.42578125" customWidth="1"/>
    <col min="2056" max="2056" width="5" customWidth="1"/>
    <col min="2057" max="2057" width="10.42578125" customWidth="1"/>
    <col min="2058" max="2058" width="22.85546875" customWidth="1"/>
    <col min="2059" max="2059" width="12.42578125" customWidth="1"/>
    <col min="2305" max="2305" width="13.5703125" customWidth="1"/>
    <col min="2306" max="2306" width="18" customWidth="1"/>
    <col min="2307" max="2307" width="11.28515625" customWidth="1"/>
    <col min="2308" max="2308" width="13.5703125" customWidth="1"/>
    <col min="2309" max="2309" width="14.5703125" customWidth="1"/>
    <col min="2310" max="2310" width="11.28515625" customWidth="1"/>
    <col min="2311" max="2311" width="13.42578125" customWidth="1"/>
    <col min="2312" max="2312" width="5" customWidth="1"/>
    <col min="2313" max="2313" width="10.42578125" customWidth="1"/>
    <col min="2314" max="2314" width="22.85546875" customWidth="1"/>
    <col min="2315" max="2315" width="12.42578125" customWidth="1"/>
    <col min="2561" max="2561" width="13.5703125" customWidth="1"/>
    <col min="2562" max="2562" width="18" customWidth="1"/>
    <col min="2563" max="2563" width="11.28515625" customWidth="1"/>
    <col min="2564" max="2564" width="13.5703125" customWidth="1"/>
    <col min="2565" max="2565" width="14.5703125" customWidth="1"/>
    <col min="2566" max="2566" width="11.28515625" customWidth="1"/>
    <col min="2567" max="2567" width="13.42578125" customWidth="1"/>
    <col min="2568" max="2568" width="5" customWidth="1"/>
    <col min="2569" max="2569" width="10.42578125" customWidth="1"/>
    <col min="2570" max="2570" width="22.85546875" customWidth="1"/>
    <col min="2571" max="2571" width="12.42578125" customWidth="1"/>
    <col min="2817" max="2817" width="13.5703125" customWidth="1"/>
    <col min="2818" max="2818" width="18" customWidth="1"/>
    <col min="2819" max="2819" width="11.28515625" customWidth="1"/>
    <col min="2820" max="2820" width="13.5703125" customWidth="1"/>
    <col min="2821" max="2821" width="14.5703125" customWidth="1"/>
    <col min="2822" max="2822" width="11.28515625" customWidth="1"/>
    <col min="2823" max="2823" width="13.42578125" customWidth="1"/>
    <col min="2824" max="2824" width="5" customWidth="1"/>
    <col min="2825" max="2825" width="10.42578125" customWidth="1"/>
    <col min="2826" max="2826" width="22.85546875" customWidth="1"/>
    <col min="2827" max="2827" width="12.42578125" customWidth="1"/>
    <col min="3073" max="3073" width="13.5703125" customWidth="1"/>
    <col min="3074" max="3074" width="18" customWidth="1"/>
    <col min="3075" max="3075" width="11.28515625" customWidth="1"/>
    <col min="3076" max="3076" width="13.5703125" customWidth="1"/>
    <col min="3077" max="3077" width="14.5703125" customWidth="1"/>
    <col min="3078" max="3078" width="11.28515625" customWidth="1"/>
    <col min="3079" max="3079" width="13.42578125" customWidth="1"/>
    <col min="3080" max="3080" width="5" customWidth="1"/>
    <col min="3081" max="3081" width="10.42578125" customWidth="1"/>
    <col min="3082" max="3082" width="22.85546875" customWidth="1"/>
    <col min="3083" max="3083" width="12.42578125" customWidth="1"/>
    <col min="3329" max="3329" width="13.5703125" customWidth="1"/>
    <col min="3330" max="3330" width="18" customWidth="1"/>
    <col min="3331" max="3331" width="11.28515625" customWidth="1"/>
    <col min="3332" max="3332" width="13.5703125" customWidth="1"/>
    <col min="3333" max="3333" width="14.5703125" customWidth="1"/>
    <col min="3334" max="3334" width="11.28515625" customWidth="1"/>
    <col min="3335" max="3335" width="13.42578125" customWidth="1"/>
    <col min="3336" max="3336" width="5" customWidth="1"/>
    <col min="3337" max="3337" width="10.42578125" customWidth="1"/>
    <col min="3338" max="3338" width="22.85546875" customWidth="1"/>
    <col min="3339" max="3339" width="12.42578125" customWidth="1"/>
    <col min="3585" max="3585" width="13.5703125" customWidth="1"/>
    <col min="3586" max="3586" width="18" customWidth="1"/>
    <col min="3587" max="3587" width="11.28515625" customWidth="1"/>
    <col min="3588" max="3588" width="13.5703125" customWidth="1"/>
    <col min="3589" max="3589" width="14.5703125" customWidth="1"/>
    <col min="3590" max="3590" width="11.28515625" customWidth="1"/>
    <col min="3591" max="3591" width="13.42578125" customWidth="1"/>
    <col min="3592" max="3592" width="5" customWidth="1"/>
    <col min="3593" max="3593" width="10.42578125" customWidth="1"/>
    <col min="3594" max="3594" width="22.85546875" customWidth="1"/>
    <col min="3595" max="3595" width="12.42578125" customWidth="1"/>
    <col min="3841" max="3841" width="13.5703125" customWidth="1"/>
    <col min="3842" max="3842" width="18" customWidth="1"/>
    <col min="3843" max="3843" width="11.28515625" customWidth="1"/>
    <col min="3844" max="3844" width="13.5703125" customWidth="1"/>
    <col min="3845" max="3845" width="14.5703125" customWidth="1"/>
    <col min="3846" max="3846" width="11.28515625" customWidth="1"/>
    <col min="3847" max="3847" width="13.42578125" customWidth="1"/>
    <col min="3848" max="3848" width="5" customWidth="1"/>
    <col min="3849" max="3849" width="10.42578125" customWidth="1"/>
    <col min="3850" max="3850" width="22.85546875" customWidth="1"/>
    <col min="3851" max="3851" width="12.42578125" customWidth="1"/>
    <col min="4097" max="4097" width="13.5703125" customWidth="1"/>
    <col min="4098" max="4098" width="18" customWidth="1"/>
    <col min="4099" max="4099" width="11.28515625" customWidth="1"/>
    <col min="4100" max="4100" width="13.5703125" customWidth="1"/>
    <col min="4101" max="4101" width="14.5703125" customWidth="1"/>
    <col min="4102" max="4102" width="11.28515625" customWidth="1"/>
    <col min="4103" max="4103" width="13.42578125" customWidth="1"/>
    <col min="4104" max="4104" width="5" customWidth="1"/>
    <col min="4105" max="4105" width="10.42578125" customWidth="1"/>
    <col min="4106" max="4106" width="22.85546875" customWidth="1"/>
    <col min="4107" max="4107" width="12.42578125" customWidth="1"/>
    <col min="4353" max="4353" width="13.5703125" customWidth="1"/>
    <col min="4354" max="4354" width="18" customWidth="1"/>
    <col min="4355" max="4355" width="11.28515625" customWidth="1"/>
    <col min="4356" max="4356" width="13.5703125" customWidth="1"/>
    <col min="4357" max="4357" width="14.5703125" customWidth="1"/>
    <col min="4358" max="4358" width="11.28515625" customWidth="1"/>
    <col min="4359" max="4359" width="13.42578125" customWidth="1"/>
    <col min="4360" max="4360" width="5" customWidth="1"/>
    <col min="4361" max="4361" width="10.42578125" customWidth="1"/>
    <col min="4362" max="4362" width="22.85546875" customWidth="1"/>
    <col min="4363" max="4363" width="12.42578125" customWidth="1"/>
    <col min="4609" max="4609" width="13.5703125" customWidth="1"/>
    <col min="4610" max="4610" width="18" customWidth="1"/>
    <col min="4611" max="4611" width="11.28515625" customWidth="1"/>
    <col min="4612" max="4612" width="13.5703125" customWidth="1"/>
    <col min="4613" max="4613" width="14.5703125" customWidth="1"/>
    <col min="4614" max="4614" width="11.28515625" customWidth="1"/>
    <col min="4615" max="4615" width="13.42578125" customWidth="1"/>
    <col min="4616" max="4616" width="5" customWidth="1"/>
    <col min="4617" max="4617" width="10.42578125" customWidth="1"/>
    <col min="4618" max="4618" width="22.85546875" customWidth="1"/>
    <col min="4619" max="4619" width="12.42578125" customWidth="1"/>
    <col min="4865" max="4865" width="13.5703125" customWidth="1"/>
    <col min="4866" max="4866" width="18" customWidth="1"/>
    <col min="4867" max="4867" width="11.28515625" customWidth="1"/>
    <col min="4868" max="4868" width="13.5703125" customWidth="1"/>
    <col min="4869" max="4869" width="14.5703125" customWidth="1"/>
    <col min="4870" max="4870" width="11.28515625" customWidth="1"/>
    <col min="4871" max="4871" width="13.42578125" customWidth="1"/>
    <col min="4872" max="4872" width="5" customWidth="1"/>
    <col min="4873" max="4873" width="10.42578125" customWidth="1"/>
    <col min="4874" max="4874" width="22.85546875" customWidth="1"/>
    <col min="4875" max="4875" width="12.42578125" customWidth="1"/>
    <col min="5121" max="5121" width="13.5703125" customWidth="1"/>
    <col min="5122" max="5122" width="18" customWidth="1"/>
    <col min="5123" max="5123" width="11.28515625" customWidth="1"/>
    <col min="5124" max="5124" width="13.5703125" customWidth="1"/>
    <col min="5125" max="5125" width="14.5703125" customWidth="1"/>
    <col min="5126" max="5126" width="11.28515625" customWidth="1"/>
    <col min="5127" max="5127" width="13.42578125" customWidth="1"/>
    <col min="5128" max="5128" width="5" customWidth="1"/>
    <col min="5129" max="5129" width="10.42578125" customWidth="1"/>
    <col min="5130" max="5130" width="22.85546875" customWidth="1"/>
    <col min="5131" max="5131" width="12.42578125" customWidth="1"/>
    <col min="5377" max="5377" width="13.5703125" customWidth="1"/>
    <col min="5378" max="5378" width="18" customWidth="1"/>
    <col min="5379" max="5379" width="11.28515625" customWidth="1"/>
    <col min="5380" max="5380" width="13.5703125" customWidth="1"/>
    <col min="5381" max="5381" width="14.5703125" customWidth="1"/>
    <col min="5382" max="5382" width="11.28515625" customWidth="1"/>
    <col min="5383" max="5383" width="13.42578125" customWidth="1"/>
    <col min="5384" max="5384" width="5" customWidth="1"/>
    <col min="5385" max="5385" width="10.42578125" customWidth="1"/>
    <col min="5386" max="5386" width="22.85546875" customWidth="1"/>
    <col min="5387" max="5387" width="12.42578125" customWidth="1"/>
    <col min="5633" max="5633" width="13.5703125" customWidth="1"/>
    <col min="5634" max="5634" width="18" customWidth="1"/>
    <col min="5635" max="5635" width="11.28515625" customWidth="1"/>
    <col min="5636" max="5636" width="13.5703125" customWidth="1"/>
    <col min="5637" max="5637" width="14.5703125" customWidth="1"/>
    <col min="5638" max="5638" width="11.28515625" customWidth="1"/>
    <col min="5639" max="5639" width="13.42578125" customWidth="1"/>
    <col min="5640" max="5640" width="5" customWidth="1"/>
    <col min="5641" max="5641" width="10.42578125" customWidth="1"/>
    <col min="5642" max="5642" width="22.85546875" customWidth="1"/>
    <col min="5643" max="5643" width="12.42578125" customWidth="1"/>
    <col min="5889" max="5889" width="13.5703125" customWidth="1"/>
    <col min="5890" max="5890" width="18" customWidth="1"/>
    <col min="5891" max="5891" width="11.28515625" customWidth="1"/>
    <col min="5892" max="5892" width="13.5703125" customWidth="1"/>
    <col min="5893" max="5893" width="14.5703125" customWidth="1"/>
    <col min="5894" max="5894" width="11.28515625" customWidth="1"/>
    <col min="5895" max="5895" width="13.42578125" customWidth="1"/>
    <col min="5896" max="5896" width="5" customWidth="1"/>
    <col min="5897" max="5897" width="10.42578125" customWidth="1"/>
    <col min="5898" max="5898" width="22.85546875" customWidth="1"/>
    <col min="5899" max="5899" width="12.42578125" customWidth="1"/>
    <col min="6145" max="6145" width="13.5703125" customWidth="1"/>
    <col min="6146" max="6146" width="18" customWidth="1"/>
    <col min="6147" max="6147" width="11.28515625" customWidth="1"/>
    <col min="6148" max="6148" width="13.5703125" customWidth="1"/>
    <col min="6149" max="6149" width="14.5703125" customWidth="1"/>
    <col min="6150" max="6150" width="11.28515625" customWidth="1"/>
    <col min="6151" max="6151" width="13.42578125" customWidth="1"/>
    <col min="6152" max="6152" width="5" customWidth="1"/>
    <col min="6153" max="6153" width="10.42578125" customWidth="1"/>
    <col min="6154" max="6154" width="22.85546875" customWidth="1"/>
    <col min="6155" max="6155" width="12.42578125" customWidth="1"/>
    <col min="6401" max="6401" width="13.5703125" customWidth="1"/>
    <col min="6402" max="6402" width="18" customWidth="1"/>
    <col min="6403" max="6403" width="11.28515625" customWidth="1"/>
    <col min="6404" max="6404" width="13.5703125" customWidth="1"/>
    <col min="6405" max="6405" width="14.5703125" customWidth="1"/>
    <col min="6406" max="6406" width="11.28515625" customWidth="1"/>
    <col min="6407" max="6407" width="13.42578125" customWidth="1"/>
    <col min="6408" max="6408" width="5" customWidth="1"/>
    <col min="6409" max="6409" width="10.42578125" customWidth="1"/>
    <col min="6410" max="6410" width="22.85546875" customWidth="1"/>
    <col min="6411" max="6411" width="12.42578125" customWidth="1"/>
    <col min="6657" max="6657" width="13.5703125" customWidth="1"/>
    <col min="6658" max="6658" width="18" customWidth="1"/>
    <col min="6659" max="6659" width="11.28515625" customWidth="1"/>
    <col min="6660" max="6660" width="13.5703125" customWidth="1"/>
    <col min="6661" max="6661" width="14.5703125" customWidth="1"/>
    <col min="6662" max="6662" width="11.28515625" customWidth="1"/>
    <col min="6663" max="6663" width="13.42578125" customWidth="1"/>
    <col min="6664" max="6664" width="5" customWidth="1"/>
    <col min="6665" max="6665" width="10.42578125" customWidth="1"/>
    <col min="6666" max="6666" width="22.85546875" customWidth="1"/>
    <col min="6667" max="6667" width="12.42578125" customWidth="1"/>
    <col min="6913" max="6913" width="13.5703125" customWidth="1"/>
    <col min="6914" max="6914" width="18" customWidth="1"/>
    <col min="6915" max="6915" width="11.28515625" customWidth="1"/>
    <col min="6916" max="6916" width="13.5703125" customWidth="1"/>
    <col min="6917" max="6917" width="14.5703125" customWidth="1"/>
    <col min="6918" max="6918" width="11.28515625" customWidth="1"/>
    <col min="6919" max="6919" width="13.42578125" customWidth="1"/>
    <col min="6920" max="6920" width="5" customWidth="1"/>
    <col min="6921" max="6921" width="10.42578125" customWidth="1"/>
    <col min="6922" max="6922" width="22.85546875" customWidth="1"/>
    <col min="6923" max="6923" width="12.42578125" customWidth="1"/>
    <col min="7169" max="7169" width="13.5703125" customWidth="1"/>
    <col min="7170" max="7170" width="18" customWidth="1"/>
    <col min="7171" max="7171" width="11.28515625" customWidth="1"/>
    <col min="7172" max="7172" width="13.5703125" customWidth="1"/>
    <col min="7173" max="7173" width="14.5703125" customWidth="1"/>
    <col min="7174" max="7174" width="11.28515625" customWidth="1"/>
    <col min="7175" max="7175" width="13.42578125" customWidth="1"/>
    <col min="7176" max="7176" width="5" customWidth="1"/>
    <col min="7177" max="7177" width="10.42578125" customWidth="1"/>
    <col min="7178" max="7178" width="22.85546875" customWidth="1"/>
    <col min="7179" max="7179" width="12.42578125" customWidth="1"/>
    <col min="7425" max="7425" width="13.5703125" customWidth="1"/>
    <col min="7426" max="7426" width="18" customWidth="1"/>
    <col min="7427" max="7427" width="11.28515625" customWidth="1"/>
    <col min="7428" max="7428" width="13.5703125" customWidth="1"/>
    <col min="7429" max="7429" width="14.5703125" customWidth="1"/>
    <col min="7430" max="7430" width="11.28515625" customWidth="1"/>
    <col min="7431" max="7431" width="13.42578125" customWidth="1"/>
    <col min="7432" max="7432" width="5" customWidth="1"/>
    <col min="7433" max="7433" width="10.42578125" customWidth="1"/>
    <col min="7434" max="7434" width="22.85546875" customWidth="1"/>
    <col min="7435" max="7435" width="12.42578125" customWidth="1"/>
    <col min="7681" max="7681" width="13.5703125" customWidth="1"/>
    <col min="7682" max="7682" width="18" customWidth="1"/>
    <col min="7683" max="7683" width="11.28515625" customWidth="1"/>
    <col min="7684" max="7684" width="13.5703125" customWidth="1"/>
    <col min="7685" max="7685" width="14.5703125" customWidth="1"/>
    <col min="7686" max="7686" width="11.28515625" customWidth="1"/>
    <col min="7687" max="7687" width="13.42578125" customWidth="1"/>
    <col min="7688" max="7688" width="5" customWidth="1"/>
    <col min="7689" max="7689" width="10.42578125" customWidth="1"/>
    <col min="7690" max="7690" width="22.85546875" customWidth="1"/>
    <col min="7691" max="7691" width="12.42578125" customWidth="1"/>
    <col min="7937" max="7937" width="13.5703125" customWidth="1"/>
    <col min="7938" max="7938" width="18" customWidth="1"/>
    <col min="7939" max="7939" width="11.28515625" customWidth="1"/>
    <col min="7940" max="7940" width="13.5703125" customWidth="1"/>
    <col min="7941" max="7941" width="14.5703125" customWidth="1"/>
    <col min="7942" max="7942" width="11.28515625" customWidth="1"/>
    <col min="7943" max="7943" width="13.42578125" customWidth="1"/>
    <col min="7944" max="7944" width="5" customWidth="1"/>
    <col min="7945" max="7945" width="10.42578125" customWidth="1"/>
    <col min="7946" max="7946" width="22.85546875" customWidth="1"/>
    <col min="7947" max="7947" width="12.42578125" customWidth="1"/>
    <col min="8193" max="8193" width="13.5703125" customWidth="1"/>
    <col min="8194" max="8194" width="18" customWidth="1"/>
    <col min="8195" max="8195" width="11.28515625" customWidth="1"/>
    <col min="8196" max="8196" width="13.5703125" customWidth="1"/>
    <col min="8197" max="8197" width="14.5703125" customWidth="1"/>
    <col min="8198" max="8198" width="11.28515625" customWidth="1"/>
    <col min="8199" max="8199" width="13.42578125" customWidth="1"/>
    <col min="8200" max="8200" width="5" customWidth="1"/>
    <col min="8201" max="8201" width="10.42578125" customWidth="1"/>
    <col min="8202" max="8202" width="22.85546875" customWidth="1"/>
    <col min="8203" max="8203" width="12.42578125" customWidth="1"/>
    <col min="8449" max="8449" width="13.5703125" customWidth="1"/>
    <col min="8450" max="8450" width="18" customWidth="1"/>
    <col min="8451" max="8451" width="11.28515625" customWidth="1"/>
    <col min="8452" max="8452" width="13.5703125" customWidth="1"/>
    <col min="8453" max="8453" width="14.5703125" customWidth="1"/>
    <col min="8454" max="8454" width="11.28515625" customWidth="1"/>
    <col min="8455" max="8455" width="13.42578125" customWidth="1"/>
    <col min="8456" max="8456" width="5" customWidth="1"/>
    <col min="8457" max="8457" width="10.42578125" customWidth="1"/>
    <col min="8458" max="8458" width="22.85546875" customWidth="1"/>
    <col min="8459" max="8459" width="12.42578125" customWidth="1"/>
    <col min="8705" max="8705" width="13.5703125" customWidth="1"/>
    <col min="8706" max="8706" width="18" customWidth="1"/>
    <col min="8707" max="8707" width="11.28515625" customWidth="1"/>
    <col min="8708" max="8708" width="13.5703125" customWidth="1"/>
    <col min="8709" max="8709" width="14.5703125" customWidth="1"/>
    <col min="8710" max="8710" width="11.28515625" customWidth="1"/>
    <col min="8711" max="8711" width="13.42578125" customWidth="1"/>
    <col min="8712" max="8712" width="5" customWidth="1"/>
    <col min="8713" max="8713" width="10.42578125" customWidth="1"/>
    <col min="8714" max="8714" width="22.85546875" customWidth="1"/>
    <col min="8715" max="8715" width="12.42578125" customWidth="1"/>
    <col min="8961" max="8961" width="13.5703125" customWidth="1"/>
    <col min="8962" max="8962" width="18" customWidth="1"/>
    <col min="8963" max="8963" width="11.28515625" customWidth="1"/>
    <col min="8964" max="8964" width="13.5703125" customWidth="1"/>
    <col min="8965" max="8965" width="14.5703125" customWidth="1"/>
    <col min="8966" max="8966" width="11.28515625" customWidth="1"/>
    <col min="8967" max="8967" width="13.42578125" customWidth="1"/>
    <col min="8968" max="8968" width="5" customWidth="1"/>
    <col min="8969" max="8969" width="10.42578125" customWidth="1"/>
    <col min="8970" max="8970" width="22.85546875" customWidth="1"/>
    <col min="8971" max="8971" width="12.42578125" customWidth="1"/>
    <col min="9217" max="9217" width="13.5703125" customWidth="1"/>
    <col min="9218" max="9218" width="18" customWidth="1"/>
    <col min="9219" max="9219" width="11.28515625" customWidth="1"/>
    <col min="9220" max="9220" width="13.5703125" customWidth="1"/>
    <col min="9221" max="9221" width="14.5703125" customWidth="1"/>
    <col min="9222" max="9222" width="11.28515625" customWidth="1"/>
    <col min="9223" max="9223" width="13.42578125" customWidth="1"/>
    <col min="9224" max="9224" width="5" customWidth="1"/>
    <col min="9225" max="9225" width="10.42578125" customWidth="1"/>
    <col min="9226" max="9226" width="22.85546875" customWidth="1"/>
    <col min="9227" max="9227" width="12.42578125" customWidth="1"/>
    <col min="9473" max="9473" width="13.5703125" customWidth="1"/>
    <col min="9474" max="9474" width="18" customWidth="1"/>
    <col min="9475" max="9475" width="11.28515625" customWidth="1"/>
    <col min="9476" max="9476" width="13.5703125" customWidth="1"/>
    <col min="9477" max="9477" width="14.5703125" customWidth="1"/>
    <col min="9478" max="9478" width="11.28515625" customWidth="1"/>
    <col min="9479" max="9479" width="13.42578125" customWidth="1"/>
    <col min="9480" max="9480" width="5" customWidth="1"/>
    <col min="9481" max="9481" width="10.42578125" customWidth="1"/>
    <col min="9482" max="9482" width="22.85546875" customWidth="1"/>
    <col min="9483" max="9483" width="12.42578125" customWidth="1"/>
    <col min="9729" max="9729" width="13.5703125" customWidth="1"/>
    <col min="9730" max="9730" width="18" customWidth="1"/>
    <col min="9731" max="9731" width="11.28515625" customWidth="1"/>
    <col min="9732" max="9732" width="13.5703125" customWidth="1"/>
    <col min="9733" max="9733" width="14.5703125" customWidth="1"/>
    <col min="9734" max="9734" width="11.28515625" customWidth="1"/>
    <col min="9735" max="9735" width="13.42578125" customWidth="1"/>
    <col min="9736" max="9736" width="5" customWidth="1"/>
    <col min="9737" max="9737" width="10.42578125" customWidth="1"/>
    <col min="9738" max="9738" width="22.85546875" customWidth="1"/>
    <col min="9739" max="9739" width="12.42578125" customWidth="1"/>
    <col min="9985" max="9985" width="13.5703125" customWidth="1"/>
    <col min="9986" max="9986" width="18" customWidth="1"/>
    <col min="9987" max="9987" width="11.28515625" customWidth="1"/>
    <col min="9988" max="9988" width="13.5703125" customWidth="1"/>
    <col min="9989" max="9989" width="14.5703125" customWidth="1"/>
    <col min="9990" max="9990" width="11.28515625" customWidth="1"/>
    <col min="9991" max="9991" width="13.42578125" customWidth="1"/>
    <col min="9992" max="9992" width="5" customWidth="1"/>
    <col min="9993" max="9993" width="10.42578125" customWidth="1"/>
    <col min="9994" max="9994" width="22.85546875" customWidth="1"/>
    <col min="9995" max="9995" width="12.42578125" customWidth="1"/>
    <col min="10241" max="10241" width="13.5703125" customWidth="1"/>
    <col min="10242" max="10242" width="18" customWidth="1"/>
    <col min="10243" max="10243" width="11.28515625" customWidth="1"/>
    <col min="10244" max="10244" width="13.5703125" customWidth="1"/>
    <col min="10245" max="10245" width="14.5703125" customWidth="1"/>
    <col min="10246" max="10246" width="11.28515625" customWidth="1"/>
    <col min="10247" max="10247" width="13.42578125" customWidth="1"/>
    <col min="10248" max="10248" width="5" customWidth="1"/>
    <col min="10249" max="10249" width="10.42578125" customWidth="1"/>
    <col min="10250" max="10250" width="22.85546875" customWidth="1"/>
    <col min="10251" max="10251" width="12.42578125" customWidth="1"/>
    <col min="10497" max="10497" width="13.5703125" customWidth="1"/>
    <col min="10498" max="10498" width="18" customWidth="1"/>
    <col min="10499" max="10499" width="11.28515625" customWidth="1"/>
    <col min="10500" max="10500" width="13.5703125" customWidth="1"/>
    <col min="10501" max="10501" width="14.5703125" customWidth="1"/>
    <col min="10502" max="10502" width="11.28515625" customWidth="1"/>
    <col min="10503" max="10503" width="13.42578125" customWidth="1"/>
    <col min="10504" max="10504" width="5" customWidth="1"/>
    <col min="10505" max="10505" width="10.42578125" customWidth="1"/>
    <col min="10506" max="10506" width="22.85546875" customWidth="1"/>
    <col min="10507" max="10507" width="12.42578125" customWidth="1"/>
    <col min="10753" max="10753" width="13.5703125" customWidth="1"/>
    <col min="10754" max="10754" width="18" customWidth="1"/>
    <col min="10755" max="10755" width="11.28515625" customWidth="1"/>
    <col min="10756" max="10756" width="13.5703125" customWidth="1"/>
    <col min="10757" max="10757" width="14.5703125" customWidth="1"/>
    <col min="10758" max="10758" width="11.28515625" customWidth="1"/>
    <col min="10759" max="10759" width="13.42578125" customWidth="1"/>
    <col min="10760" max="10760" width="5" customWidth="1"/>
    <col min="10761" max="10761" width="10.42578125" customWidth="1"/>
    <col min="10762" max="10762" width="22.85546875" customWidth="1"/>
    <col min="10763" max="10763" width="12.42578125" customWidth="1"/>
    <col min="11009" max="11009" width="13.5703125" customWidth="1"/>
    <col min="11010" max="11010" width="18" customWidth="1"/>
    <col min="11011" max="11011" width="11.28515625" customWidth="1"/>
    <col min="11012" max="11012" width="13.5703125" customWidth="1"/>
    <col min="11013" max="11013" width="14.5703125" customWidth="1"/>
    <col min="11014" max="11014" width="11.28515625" customWidth="1"/>
    <col min="11015" max="11015" width="13.42578125" customWidth="1"/>
    <col min="11016" max="11016" width="5" customWidth="1"/>
    <col min="11017" max="11017" width="10.42578125" customWidth="1"/>
    <col min="11018" max="11018" width="22.85546875" customWidth="1"/>
    <col min="11019" max="11019" width="12.42578125" customWidth="1"/>
    <col min="11265" max="11265" width="13.5703125" customWidth="1"/>
    <col min="11266" max="11266" width="18" customWidth="1"/>
    <col min="11267" max="11267" width="11.28515625" customWidth="1"/>
    <col min="11268" max="11268" width="13.5703125" customWidth="1"/>
    <col min="11269" max="11269" width="14.5703125" customWidth="1"/>
    <col min="11270" max="11270" width="11.28515625" customWidth="1"/>
    <col min="11271" max="11271" width="13.42578125" customWidth="1"/>
    <col min="11272" max="11272" width="5" customWidth="1"/>
    <col min="11273" max="11273" width="10.42578125" customWidth="1"/>
    <col min="11274" max="11274" width="22.85546875" customWidth="1"/>
    <col min="11275" max="11275" width="12.42578125" customWidth="1"/>
    <col min="11521" max="11521" width="13.5703125" customWidth="1"/>
    <col min="11522" max="11522" width="18" customWidth="1"/>
    <col min="11523" max="11523" width="11.28515625" customWidth="1"/>
    <col min="11524" max="11524" width="13.5703125" customWidth="1"/>
    <col min="11525" max="11525" width="14.5703125" customWidth="1"/>
    <col min="11526" max="11526" width="11.28515625" customWidth="1"/>
    <col min="11527" max="11527" width="13.42578125" customWidth="1"/>
    <col min="11528" max="11528" width="5" customWidth="1"/>
    <col min="11529" max="11529" width="10.42578125" customWidth="1"/>
    <col min="11530" max="11530" width="22.85546875" customWidth="1"/>
    <col min="11531" max="11531" width="12.42578125" customWidth="1"/>
    <col min="11777" max="11777" width="13.5703125" customWidth="1"/>
    <col min="11778" max="11778" width="18" customWidth="1"/>
    <col min="11779" max="11779" width="11.28515625" customWidth="1"/>
    <col min="11780" max="11780" width="13.5703125" customWidth="1"/>
    <col min="11781" max="11781" width="14.5703125" customWidth="1"/>
    <col min="11782" max="11782" width="11.28515625" customWidth="1"/>
    <col min="11783" max="11783" width="13.42578125" customWidth="1"/>
    <col min="11784" max="11784" width="5" customWidth="1"/>
    <col min="11785" max="11785" width="10.42578125" customWidth="1"/>
    <col min="11786" max="11786" width="22.85546875" customWidth="1"/>
    <col min="11787" max="11787" width="12.42578125" customWidth="1"/>
    <col min="12033" max="12033" width="13.5703125" customWidth="1"/>
    <col min="12034" max="12034" width="18" customWidth="1"/>
    <col min="12035" max="12035" width="11.28515625" customWidth="1"/>
    <col min="12036" max="12036" width="13.5703125" customWidth="1"/>
    <col min="12037" max="12037" width="14.5703125" customWidth="1"/>
    <col min="12038" max="12038" width="11.28515625" customWidth="1"/>
    <col min="12039" max="12039" width="13.42578125" customWidth="1"/>
    <col min="12040" max="12040" width="5" customWidth="1"/>
    <col min="12041" max="12041" width="10.42578125" customWidth="1"/>
    <col min="12042" max="12042" width="22.85546875" customWidth="1"/>
    <col min="12043" max="12043" width="12.42578125" customWidth="1"/>
    <col min="12289" max="12289" width="13.5703125" customWidth="1"/>
    <col min="12290" max="12290" width="18" customWidth="1"/>
    <col min="12291" max="12291" width="11.28515625" customWidth="1"/>
    <col min="12292" max="12292" width="13.5703125" customWidth="1"/>
    <col min="12293" max="12293" width="14.5703125" customWidth="1"/>
    <col min="12294" max="12294" width="11.28515625" customWidth="1"/>
    <col min="12295" max="12295" width="13.42578125" customWidth="1"/>
    <col min="12296" max="12296" width="5" customWidth="1"/>
    <col min="12297" max="12297" width="10.42578125" customWidth="1"/>
    <col min="12298" max="12298" width="22.85546875" customWidth="1"/>
    <col min="12299" max="12299" width="12.42578125" customWidth="1"/>
    <col min="12545" max="12545" width="13.5703125" customWidth="1"/>
    <col min="12546" max="12546" width="18" customWidth="1"/>
    <col min="12547" max="12547" width="11.28515625" customWidth="1"/>
    <col min="12548" max="12548" width="13.5703125" customWidth="1"/>
    <col min="12549" max="12549" width="14.5703125" customWidth="1"/>
    <col min="12550" max="12550" width="11.28515625" customWidth="1"/>
    <col min="12551" max="12551" width="13.42578125" customWidth="1"/>
    <col min="12552" max="12552" width="5" customWidth="1"/>
    <col min="12553" max="12553" width="10.42578125" customWidth="1"/>
    <col min="12554" max="12554" width="22.85546875" customWidth="1"/>
    <col min="12555" max="12555" width="12.42578125" customWidth="1"/>
    <col min="12801" max="12801" width="13.5703125" customWidth="1"/>
    <col min="12802" max="12802" width="18" customWidth="1"/>
    <col min="12803" max="12803" width="11.28515625" customWidth="1"/>
    <col min="12804" max="12804" width="13.5703125" customWidth="1"/>
    <col min="12805" max="12805" width="14.5703125" customWidth="1"/>
    <col min="12806" max="12806" width="11.28515625" customWidth="1"/>
    <col min="12807" max="12807" width="13.42578125" customWidth="1"/>
    <col min="12808" max="12808" width="5" customWidth="1"/>
    <col min="12809" max="12809" width="10.42578125" customWidth="1"/>
    <col min="12810" max="12810" width="22.85546875" customWidth="1"/>
    <col min="12811" max="12811" width="12.42578125" customWidth="1"/>
    <col min="13057" max="13057" width="13.5703125" customWidth="1"/>
    <col min="13058" max="13058" width="18" customWidth="1"/>
    <col min="13059" max="13059" width="11.28515625" customWidth="1"/>
    <col min="13060" max="13060" width="13.5703125" customWidth="1"/>
    <col min="13061" max="13061" width="14.5703125" customWidth="1"/>
    <col min="13062" max="13062" width="11.28515625" customWidth="1"/>
    <col min="13063" max="13063" width="13.42578125" customWidth="1"/>
    <col min="13064" max="13064" width="5" customWidth="1"/>
    <col min="13065" max="13065" width="10.42578125" customWidth="1"/>
    <col min="13066" max="13066" width="22.85546875" customWidth="1"/>
    <col min="13067" max="13067" width="12.42578125" customWidth="1"/>
    <col min="13313" max="13313" width="13.5703125" customWidth="1"/>
    <col min="13314" max="13314" width="18" customWidth="1"/>
    <col min="13315" max="13315" width="11.28515625" customWidth="1"/>
    <col min="13316" max="13316" width="13.5703125" customWidth="1"/>
    <col min="13317" max="13317" width="14.5703125" customWidth="1"/>
    <col min="13318" max="13318" width="11.28515625" customWidth="1"/>
    <col min="13319" max="13319" width="13.42578125" customWidth="1"/>
    <col min="13320" max="13320" width="5" customWidth="1"/>
    <col min="13321" max="13321" width="10.42578125" customWidth="1"/>
    <col min="13322" max="13322" width="22.85546875" customWidth="1"/>
    <col min="13323" max="13323" width="12.42578125" customWidth="1"/>
    <col min="13569" max="13569" width="13.5703125" customWidth="1"/>
    <col min="13570" max="13570" width="18" customWidth="1"/>
    <col min="13571" max="13571" width="11.28515625" customWidth="1"/>
    <col min="13572" max="13572" width="13.5703125" customWidth="1"/>
    <col min="13573" max="13573" width="14.5703125" customWidth="1"/>
    <col min="13574" max="13574" width="11.28515625" customWidth="1"/>
    <col min="13575" max="13575" width="13.42578125" customWidth="1"/>
    <col min="13576" max="13576" width="5" customWidth="1"/>
    <col min="13577" max="13577" width="10.42578125" customWidth="1"/>
    <col min="13578" max="13578" width="22.85546875" customWidth="1"/>
    <col min="13579" max="13579" width="12.42578125" customWidth="1"/>
    <col min="13825" max="13825" width="13.5703125" customWidth="1"/>
    <col min="13826" max="13826" width="18" customWidth="1"/>
    <col min="13827" max="13827" width="11.28515625" customWidth="1"/>
    <col min="13828" max="13828" width="13.5703125" customWidth="1"/>
    <col min="13829" max="13829" width="14.5703125" customWidth="1"/>
    <col min="13830" max="13830" width="11.28515625" customWidth="1"/>
    <col min="13831" max="13831" width="13.42578125" customWidth="1"/>
    <col min="13832" max="13832" width="5" customWidth="1"/>
    <col min="13833" max="13833" width="10.42578125" customWidth="1"/>
    <col min="13834" max="13834" width="22.85546875" customWidth="1"/>
    <col min="13835" max="13835" width="12.42578125" customWidth="1"/>
    <col min="14081" max="14081" width="13.5703125" customWidth="1"/>
    <col min="14082" max="14082" width="18" customWidth="1"/>
    <col min="14083" max="14083" width="11.28515625" customWidth="1"/>
    <col min="14084" max="14084" width="13.5703125" customWidth="1"/>
    <col min="14085" max="14085" width="14.5703125" customWidth="1"/>
    <col min="14086" max="14086" width="11.28515625" customWidth="1"/>
    <col min="14087" max="14087" width="13.42578125" customWidth="1"/>
    <col min="14088" max="14088" width="5" customWidth="1"/>
    <col min="14089" max="14089" width="10.42578125" customWidth="1"/>
    <col min="14090" max="14090" width="22.85546875" customWidth="1"/>
    <col min="14091" max="14091" width="12.42578125" customWidth="1"/>
    <col min="14337" max="14337" width="13.5703125" customWidth="1"/>
    <col min="14338" max="14338" width="18" customWidth="1"/>
    <col min="14339" max="14339" width="11.28515625" customWidth="1"/>
    <col min="14340" max="14340" width="13.5703125" customWidth="1"/>
    <col min="14341" max="14341" width="14.5703125" customWidth="1"/>
    <col min="14342" max="14342" width="11.28515625" customWidth="1"/>
    <col min="14343" max="14343" width="13.42578125" customWidth="1"/>
    <col min="14344" max="14344" width="5" customWidth="1"/>
    <col min="14345" max="14345" width="10.42578125" customWidth="1"/>
    <col min="14346" max="14346" width="22.85546875" customWidth="1"/>
    <col min="14347" max="14347" width="12.42578125" customWidth="1"/>
    <col min="14593" max="14593" width="13.5703125" customWidth="1"/>
    <col min="14594" max="14594" width="18" customWidth="1"/>
    <col min="14595" max="14595" width="11.28515625" customWidth="1"/>
    <col min="14596" max="14596" width="13.5703125" customWidth="1"/>
    <col min="14597" max="14597" width="14.5703125" customWidth="1"/>
    <col min="14598" max="14598" width="11.28515625" customWidth="1"/>
    <col min="14599" max="14599" width="13.42578125" customWidth="1"/>
    <col min="14600" max="14600" width="5" customWidth="1"/>
    <col min="14601" max="14601" width="10.42578125" customWidth="1"/>
    <col min="14602" max="14602" width="22.85546875" customWidth="1"/>
    <col min="14603" max="14603" width="12.42578125" customWidth="1"/>
    <col min="14849" max="14849" width="13.5703125" customWidth="1"/>
    <col min="14850" max="14850" width="18" customWidth="1"/>
    <col min="14851" max="14851" width="11.28515625" customWidth="1"/>
    <col min="14852" max="14852" width="13.5703125" customWidth="1"/>
    <col min="14853" max="14853" width="14.5703125" customWidth="1"/>
    <col min="14854" max="14854" width="11.28515625" customWidth="1"/>
    <col min="14855" max="14855" width="13.42578125" customWidth="1"/>
    <col min="14856" max="14856" width="5" customWidth="1"/>
    <col min="14857" max="14857" width="10.42578125" customWidth="1"/>
    <col min="14858" max="14858" width="22.85546875" customWidth="1"/>
    <col min="14859" max="14859" width="12.42578125" customWidth="1"/>
    <col min="15105" max="15105" width="13.5703125" customWidth="1"/>
    <col min="15106" max="15106" width="18" customWidth="1"/>
    <col min="15107" max="15107" width="11.28515625" customWidth="1"/>
    <col min="15108" max="15108" width="13.5703125" customWidth="1"/>
    <col min="15109" max="15109" width="14.5703125" customWidth="1"/>
    <col min="15110" max="15110" width="11.28515625" customWidth="1"/>
    <col min="15111" max="15111" width="13.42578125" customWidth="1"/>
    <col min="15112" max="15112" width="5" customWidth="1"/>
    <col min="15113" max="15113" width="10.42578125" customWidth="1"/>
    <col min="15114" max="15114" width="22.85546875" customWidth="1"/>
    <col min="15115" max="15115" width="12.42578125" customWidth="1"/>
    <col min="15361" max="15361" width="13.5703125" customWidth="1"/>
    <col min="15362" max="15362" width="18" customWidth="1"/>
    <col min="15363" max="15363" width="11.28515625" customWidth="1"/>
    <col min="15364" max="15364" width="13.5703125" customWidth="1"/>
    <col min="15365" max="15365" width="14.5703125" customWidth="1"/>
    <col min="15366" max="15366" width="11.28515625" customWidth="1"/>
    <col min="15367" max="15367" width="13.42578125" customWidth="1"/>
    <col min="15368" max="15368" width="5" customWidth="1"/>
    <col min="15369" max="15369" width="10.42578125" customWidth="1"/>
    <col min="15370" max="15370" width="22.85546875" customWidth="1"/>
    <col min="15371" max="15371" width="12.42578125" customWidth="1"/>
    <col min="15617" max="15617" width="13.5703125" customWidth="1"/>
    <col min="15618" max="15618" width="18" customWidth="1"/>
    <col min="15619" max="15619" width="11.28515625" customWidth="1"/>
    <col min="15620" max="15620" width="13.5703125" customWidth="1"/>
    <col min="15621" max="15621" width="14.5703125" customWidth="1"/>
    <col min="15622" max="15622" width="11.28515625" customWidth="1"/>
    <col min="15623" max="15623" width="13.42578125" customWidth="1"/>
    <col min="15624" max="15624" width="5" customWidth="1"/>
    <col min="15625" max="15625" width="10.42578125" customWidth="1"/>
    <col min="15626" max="15626" width="22.85546875" customWidth="1"/>
    <col min="15627" max="15627" width="12.42578125" customWidth="1"/>
    <col min="15873" max="15873" width="13.5703125" customWidth="1"/>
    <col min="15874" max="15874" width="18" customWidth="1"/>
    <col min="15875" max="15875" width="11.28515625" customWidth="1"/>
    <col min="15876" max="15876" width="13.5703125" customWidth="1"/>
    <col min="15877" max="15877" width="14.5703125" customWidth="1"/>
    <col min="15878" max="15878" width="11.28515625" customWidth="1"/>
    <col min="15879" max="15879" width="13.42578125" customWidth="1"/>
    <col min="15880" max="15880" width="5" customWidth="1"/>
    <col min="15881" max="15881" width="10.42578125" customWidth="1"/>
    <col min="15882" max="15882" width="22.85546875" customWidth="1"/>
    <col min="15883" max="15883" width="12.42578125" customWidth="1"/>
    <col min="16129" max="16129" width="13.5703125" customWidth="1"/>
    <col min="16130" max="16130" width="18" customWidth="1"/>
    <col min="16131" max="16131" width="11.28515625" customWidth="1"/>
    <col min="16132" max="16132" width="13.5703125" customWidth="1"/>
    <col min="16133" max="16133" width="14.5703125" customWidth="1"/>
    <col min="16134" max="16134" width="11.28515625" customWidth="1"/>
    <col min="16135" max="16135" width="13.42578125" customWidth="1"/>
    <col min="16136" max="16136" width="5" customWidth="1"/>
    <col min="16137" max="16137" width="10.42578125" customWidth="1"/>
    <col min="16138" max="16138" width="22.85546875" customWidth="1"/>
    <col min="16139" max="16139" width="12.42578125" customWidth="1"/>
  </cols>
  <sheetData>
    <row r="2" spans="2:7" x14ac:dyDescent="0.25">
      <c r="B2" s="42"/>
      <c r="C2" s="21"/>
      <c r="D2" s="21"/>
      <c r="E2" s="21"/>
      <c r="F2" s="21"/>
    </row>
    <row r="3" spans="2:7" ht="15.75" thickBot="1" x14ac:dyDescent="0.3">
      <c r="C3" s="21"/>
      <c r="D3" s="21"/>
      <c r="E3" s="21"/>
      <c r="F3" s="21"/>
    </row>
    <row r="4" spans="2:7" ht="15.75" thickBot="1" x14ac:dyDescent="0.3">
      <c r="B4" s="498" t="s">
        <v>213</v>
      </c>
      <c r="C4" s="499"/>
      <c r="D4" s="499"/>
      <c r="E4" s="499"/>
      <c r="F4" s="500"/>
    </row>
    <row r="5" spans="2:7" ht="15.75" thickBot="1" x14ac:dyDescent="0.3"/>
    <row r="6" spans="2:7" ht="26.25" thickBot="1" x14ac:dyDescent="0.3">
      <c r="B6" s="150" t="s">
        <v>214</v>
      </c>
      <c r="C6" s="151" t="s">
        <v>206</v>
      </c>
      <c r="D6" s="151" t="s">
        <v>215</v>
      </c>
      <c r="E6" s="151" t="s">
        <v>216</v>
      </c>
      <c r="F6" s="152" t="s">
        <v>217</v>
      </c>
    </row>
    <row r="7" spans="2:7" x14ac:dyDescent="0.25">
      <c r="B7" s="153" t="s">
        <v>107</v>
      </c>
      <c r="C7" s="9">
        <f>+Resumen!C13</f>
        <v>141.53696034567901</v>
      </c>
      <c r="D7" s="9">
        <f>+Capital_Trabajo!D14</f>
        <v>92.539470555555553</v>
      </c>
      <c r="E7" s="9">
        <f>C7-D7</f>
        <v>48.997489790123453</v>
      </c>
      <c r="F7" s="154">
        <f>+'Presupuesto de ventas'!D26/'Presupuesto de ventas'!$D$25</f>
        <v>0.40073453890463256</v>
      </c>
    </row>
    <row r="8" spans="2:7" x14ac:dyDescent="0.25">
      <c r="B8" s="40" t="s">
        <v>108</v>
      </c>
      <c r="C8" s="9">
        <f>+Resumen!C14</f>
        <v>111.12922701234601</v>
      </c>
      <c r="D8" s="9">
        <f>+Capital_Trabajo!D15</f>
        <v>67.141692777777763</v>
      </c>
      <c r="E8" s="9">
        <f>C8-D8</f>
        <v>43.987534234568244</v>
      </c>
      <c r="F8" s="154">
        <f>+'Presupuesto de ventas'!D27/'Presupuesto de ventas'!$D$25</f>
        <v>0.31464092090755624</v>
      </c>
    </row>
    <row r="9" spans="2:7" ht="15.75" thickBot="1" x14ac:dyDescent="0.3">
      <c r="B9" s="40" t="s">
        <v>109</v>
      </c>
      <c r="C9" s="9">
        <f>+Resumen!C15</f>
        <v>100.527627012346</v>
      </c>
      <c r="D9" s="9">
        <f>+Capital_Trabajo!D16</f>
        <v>58.295026111111156</v>
      </c>
      <c r="E9" s="9">
        <f>C9-D9</f>
        <v>42.232600901234846</v>
      </c>
      <c r="F9" s="154">
        <f>+'Presupuesto de ventas'!D28/'Presupuesto de ventas'!$D$25</f>
        <v>0.28462454018781125</v>
      </c>
    </row>
    <row r="10" spans="2:7" ht="15.75" thickBot="1" x14ac:dyDescent="0.3">
      <c r="B10" s="155" t="s">
        <v>106</v>
      </c>
      <c r="C10" s="156"/>
      <c r="D10" s="157"/>
      <c r="E10" s="157"/>
      <c r="F10" s="158">
        <f>SUM(F7:F9)</f>
        <v>1</v>
      </c>
    </row>
    <row r="11" spans="2:7" x14ac:dyDescent="0.25">
      <c r="B11" s="159" t="s">
        <v>218</v>
      </c>
      <c r="C11" s="21"/>
      <c r="D11" s="160"/>
      <c r="E11" s="160"/>
      <c r="F11" s="161"/>
    </row>
    <row r="12" spans="2:7" x14ac:dyDescent="0.25">
      <c r="B12" s="159" t="s">
        <v>219</v>
      </c>
      <c r="C12" s="21"/>
      <c r="D12" s="160"/>
      <c r="E12" s="160"/>
      <c r="F12" s="161"/>
      <c r="G12">
        <f>(50*100)/150</f>
        <v>33.333333333333336</v>
      </c>
    </row>
    <row r="13" spans="2:7" x14ac:dyDescent="0.25">
      <c r="B13" s="162"/>
      <c r="C13" s="21"/>
      <c r="D13" s="21"/>
      <c r="E13" s="21"/>
      <c r="F13" s="21"/>
    </row>
    <row r="14" spans="2:7" x14ac:dyDescent="0.25">
      <c r="B14" s="21"/>
      <c r="C14" s="21"/>
      <c r="D14" s="21"/>
      <c r="E14" s="21"/>
      <c r="F14" s="21"/>
    </row>
    <row r="15" spans="2:7" x14ac:dyDescent="0.25">
      <c r="B15" s="446" t="s">
        <v>220</v>
      </c>
      <c r="C15" s="446"/>
      <c r="D15" s="446"/>
      <c r="E15" s="446"/>
      <c r="F15" s="21"/>
    </row>
    <row r="16" spans="2:7" ht="9.75" customHeight="1" thickBot="1" x14ac:dyDescent="0.3">
      <c r="B16" s="21"/>
      <c r="C16" s="21"/>
      <c r="D16" s="21"/>
      <c r="E16" s="21"/>
      <c r="F16" s="21"/>
    </row>
    <row r="17" spans="2:9" ht="26.25" thickBot="1" x14ac:dyDescent="0.3">
      <c r="B17" s="150" t="s">
        <v>221</v>
      </c>
      <c r="C17" s="151" t="s">
        <v>216</v>
      </c>
      <c r="D17" s="151" t="s">
        <v>222</v>
      </c>
      <c r="E17" s="152" t="s">
        <v>223</v>
      </c>
    </row>
    <row r="18" spans="2:9" x14ac:dyDescent="0.25">
      <c r="B18" s="163" t="s">
        <v>224</v>
      </c>
      <c r="C18" s="9">
        <f>C7-D7</f>
        <v>48.997489790123453</v>
      </c>
      <c r="D18" s="164">
        <f>F7</f>
        <v>0.40073453890463256</v>
      </c>
      <c r="E18" s="165">
        <f>C18*D18</f>
        <v>19.634986478529562</v>
      </c>
    </row>
    <row r="19" spans="2:9" x14ac:dyDescent="0.25">
      <c r="B19" s="27" t="s">
        <v>225</v>
      </c>
      <c r="C19" s="9">
        <f>C8-D8</f>
        <v>43.987534234568244</v>
      </c>
      <c r="D19" s="164">
        <f>F8</f>
        <v>0.31464092090755624</v>
      </c>
      <c r="E19" s="165">
        <f>C19*D19</f>
        <v>13.840278280017209</v>
      </c>
    </row>
    <row r="20" spans="2:9" ht="15.75" thickBot="1" x14ac:dyDescent="0.3">
      <c r="B20" s="27" t="s">
        <v>226</v>
      </c>
      <c r="C20" s="9">
        <f>C9-D9</f>
        <v>42.232600901234846</v>
      </c>
      <c r="D20" s="166">
        <f>F9</f>
        <v>0.28462454018781125</v>
      </c>
      <c r="E20" s="165">
        <f>C20*D20</f>
        <v>12.020434612449311</v>
      </c>
    </row>
    <row r="21" spans="2:9" ht="15.75" thickBot="1" x14ac:dyDescent="0.3">
      <c r="B21" s="501" t="s">
        <v>227</v>
      </c>
      <c r="C21" s="502"/>
      <c r="D21" s="502"/>
      <c r="E21" s="12">
        <f>SUM(E18:E20)</f>
        <v>45.495699370996078</v>
      </c>
    </row>
    <row r="22" spans="2:9" x14ac:dyDescent="0.25">
      <c r="B22" s="159" t="s">
        <v>228</v>
      </c>
      <c r="C22" s="38"/>
      <c r="D22" s="38"/>
      <c r="E22" s="167"/>
      <c r="F22" s="42"/>
    </row>
    <row r="23" spans="2:9" x14ac:dyDescent="0.25">
      <c r="B23" s="159" t="s">
        <v>229</v>
      </c>
      <c r="C23" s="38"/>
      <c r="D23" s="38"/>
      <c r="E23" s="167"/>
      <c r="F23" s="42"/>
    </row>
    <row r="24" spans="2:9" x14ac:dyDescent="0.25">
      <c r="B24" s="21"/>
      <c r="C24" s="21"/>
      <c r="D24" s="21"/>
      <c r="E24" s="21"/>
      <c r="F24" s="21"/>
    </row>
    <row r="25" spans="2:9" x14ac:dyDescent="0.25">
      <c r="B25" s="168" t="s">
        <v>230</v>
      </c>
      <c r="C25" s="21"/>
      <c r="D25" s="21"/>
      <c r="E25" s="21"/>
      <c r="F25" s="21"/>
    </row>
    <row r="26" spans="2:9" x14ac:dyDescent="0.25">
      <c r="B26" s="21"/>
      <c r="C26" s="21"/>
      <c r="D26" s="21"/>
      <c r="E26" s="21"/>
      <c r="F26" s="21"/>
    </row>
    <row r="27" spans="2:9" ht="15.75" thickBot="1" x14ac:dyDescent="0.3">
      <c r="B27" s="169" t="s">
        <v>231</v>
      </c>
      <c r="C27" s="191">
        <f>+'Costo unitario'!F10</f>
        <v>4861.9772376543206</v>
      </c>
      <c r="D27" s="375"/>
      <c r="E27" s="21"/>
      <c r="F27" s="21"/>
      <c r="G27" s="127"/>
      <c r="I27" s="127"/>
    </row>
    <row r="28" spans="2:9" x14ac:dyDescent="0.25">
      <c r="B28" s="21"/>
      <c r="C28" s="436">
        <f>+E21</f>
        <v>45.495699370996078</v>
      </c>
      <c r="D28" s="21"/>
      <c r="E28" s="21"/>
      <c r="F28" s="21"/>
      <c r="G28" s="127"/>
    </row>
    <row r="29" spans="2:9" x14ac:dyDescent="0.25">
      <c r="B29" s="21"/>
      <c r="C29" s="21"/>
      <c r="D29" s="21"/>
      <c r="E29" s="21"/>
      <c r="F29" s="21"/>
    </row>
    <row r="30" spans="2:9" x14ac:dyDescent="0.25">
      <c r="B30" s="169" t="s">
        <v>232</v>
      </c>
      <c r="C30" s="170">
        <f>+C27/C28</f>
        <v>106.86674355760921</v>
      </c>
      <c r="D30" s="54" t="s">
        <v>430</v>
      </c>
      <c r="E30" s="21"/>
      <c r="F30" s="21"/>
    </row>
    <row r="31" spans="2:9" x14ac:dyDescent="0.25">
      <c r="B31" s="21"/>
      <c r="C31" s="21"/>
      <c r="D31" s="21"/>
      <c r="E31" s="21"/>
      <c r="F31" s="21"/>
    </row>
    <row r="32" spans="2:9" x14ac:dyDescent="0.25">
      <c r="B32" s="54" t="s">
        <v>233</v>
      </c>
      <c r="C32" s="170"/>
      <c r="D32" s="21"/>
      <c r="E32" s="21"/>
      <c r="F32" s="21"/>
    </row>
    <row r="33" spans="2:26" x14ac:dyDescent="0.25">
      <c r="B33" s="168"/>
      <c r="C33" s="21"/>
      <c r="D33" s="21"/>
      <c r="E33" s="21"/>
      <c r="F33" s="21"/>
    </row>
    <row r="34" spans="2:26" x14ac:dyDescent="0.25">
      <c r="B34" s="503" t="s">
        <v>234</v>
      </c>
      <c r="C34" s="503"/>
      <c r="D34" s="503"/>
      <c r="E34" s="503"/>
      <c r="F34" s="503"/>
    </row>
    <row r="35" spans="2:26" ht="8.25" customHeight="1" thickBot="1" x14ac:dyDescent="0.3">
      <c r="B35" s="21"/>
      <c r="C35" s="21"/>
      <c r="D35" s="21"/>
      <c r="E35" s="21"/>
      <c r="F35" s="21"/>
    </row>
    <row r="36" spans="2:26" ht="25.5" x14ac:dyDescent="0.25">
      <c r="B36" s="171" t="s">
        <v>221</v>
      </c>
      <c r="C36" s="172" t="s">
        <v>235</v>
      </c>
      <c r="D36" s="172" t="s">
        <v>236</v>
      </c>
      <c r="E36" s="172" t="s">
        <v>237</v>
      </c>
      <c r="F36" s="173" t="s">
        <v>238</v>
      </c>
    </row>
    <row r="37" spans="2:26" x14ac:dyDescent="0.25">
      <c r="B37" s="174" t="s">
        <v>107</v>
      </c>
      <c r="C37" s="175" t="s">
        <v>36</v>
      </c>
      <c r="D37" s="176">
        <f>E37*12</f>
        <v>513.90234244557769</v>
      </c>
      <c r="E37" s="192">
        <f>C30*D18</f>
        <v>42.825195203798138</v>
      </c>
      <c r="F37" s="192">
        <f>E37/26</f>
        <v>1.6471228924537746</v>
      </c>
      <c r="G37" s="127"/>
      <c r="W37" s="141" t="s">
        <v>239</v>
      </c>
      <c r="X37" s="168" t="s">
        <v>240</v>
      </c>
      <c r="Y37" s="21"/>
      <c r="Z37" s="21"/>
    </row>
    <row r="38" spans="2:26" x14ac:dyDescent="0.25">
      <c r="B38" s="174" t="s">
        <v>108</v>
      </c>
      <c r="C38" s="175" t="s">
        <v>36</v>
      </c>
      <c r="D38" s="176">
        <f>E38*12</f>
        <v>403.4958072882938</v>
      </c>
      <c r="E38" s="192">
        <f t="shared" ref="E38:E39" si="0">+$C$30*F8</f>
        <v>33.624650607357815</v>
      </c>
      <c r="F38" s="192">
        <f>E38/26</f>
        <v>1.2932557925906851</v>
      </c>
      <c r="G38" s="127"/>
      <c r="X38" s="21"/>
      <c r="Y38" s="21"/>
      <c r="Z38" s="21"/>
    </row>
    <row r="39" spans="2:26" ht="15.75" thickBot="1" x14ac:dyDescent="0.3">
      <c r="B39" s="178" t="s">
        <v>109</v>
      </c>
      <c r="C39" s="179" t="s">
        <v>36</v>
      </c>
      <c r="D39" s="176">
        <f>E39*12</f>
        <v>365.00277295743916</v>
      </c>
      <c r="E39" s="192">
        <f t="shared" si="0"/>
        <v>30.416897746453262</v>
      </c>
      <c r="F39" s="192">
        <f>E39/26</f>
        <v>1.1698806825558947</v>
      </c>
      <c r="G39" s="127"/>
      <c r="X39" s="54" t="s">
        <v>241</v>
      </c>
      <c r="Y39" s="160">
        <v>2133.9903549382716</v>
      </c>
      <c r="Z39" s="21"/>
    </row>
    <row r="40" spans="2:26" ht="15.75" thickBot="1" x14ac:dyDescent="0.3">
      <c r="B40" s="496" t="s">
        <v>106</v>
      </c>
      <c r="C40" s="497"/>
      <c r="D40" s="180">
        <f>SUM(D37:D39)</f>
        <v>1282.4009226913106</v>
      </c>
      <c r="E40" s="180">
        <f>SUM(E37:E39)</f>
        <v>106.86674355760921</v>
      </c>
      <c r="F40" s="180">
        <f>SUM(F37:F39)</f>
        <v>4.1102593676003547</v>
      </c>
      <c r="G40" s="127"/>
      <c r="X40" s="54" t="s">
        <v>242</v>
      </c>
      <c r="Y40" s="160">
        <v>154.80000000000001</v>
      </c>
      <c r="Z40" s="21"/>
    </row>
    <row r="41" spans="2:26" x14ac:dyDescent="0.25">
      <c r="B41" s="21"/>
      <c r="C41" s="21"/>
      <c r="D41" s="21"/>
      <c r="E41" s="21"/>
      <c r="F41" s="21"/>
      <c r="X41" s="54" t="s">
        <v>243</v>
      </c>
      <c r="Y41" s="57">
        <v>104.85107055555557</v>
      </c>
      <c r="Z41" s="21"/>
    </row>
    <row r="42" spans="2:26" x14ac:dyDescent="0.25">
      <c r="B42" s="503" t="s">
        <v>244</v>
      </c>
      <c r="C42" s="503"/>
      <c r="D42" s="503"/>
      <c r="E42" s="503"/>
      <c r="F42" s="503"/>
      <c r="X42" s="168" t="s">
        <v>245</v>
      </c>
      <c r="Y42" s="181">
        <f>+Y40-Y41</f>
        <v>49.948929444444445</v>
      </c>
      <c r="Z42" s="21"/>
    </row>
    <row r="43" spans="2:26" ht="7.5" customHeight="1" thickBot="1" x14ac:dyDescent="0.3">
      <c r="B43" s="21"/>
      <c r="C43" s="21"/>
      <c r="D43" s="21"/>
      <c r="E43" s="21"/>
      <c r="F43" s="21"/>
      <c r="H43" s="36"/>
      <c r="X43" s="21"/>
      <c r="Y43" s="21"/>
      <c r="Z43" s="21"/>
    </row>
    <row r="44" spans="2:26" ht="25.5" x14ac:dyDescent="0.25">
      <c r="B44" s="171" t="s">
        <v>221</v>
      </c>
      <c r="C44" s="172" t="s">
        <v>206</v>
      </c>
      <c r="D44" s="172" t="s">
        <v>246</v>
      </c>
      <c r="E44" s="172" t="s">
        <v>247</v>
      </c>
      <c r="F44" s="173" t="s">
        <v>248</v>
      </c>
      <c r="X44" s="168" t="s">
        <v>249</v>
      </c>
      <c r="Y44" s="182">
        <f>Y39/Y42</f>
        <v>42.723445300500309</v>
      </c>
      <c r="Z44" s="183" t="s">
        <v>250</v>
      </c>
    </row>
    <row r="45" spans="2:26" x14ac:dyDescent="0.25">
      <c r="B45" s="174" t="s">
        <v>107</v>
      </c>
      <c r="C45" s="184">
        <f>C7</f>
        <v>141.53696034567901</v>
      </c>
      <c r="D45" s="185">
        <f>C45*D37</f>
        <v>72736.175464271277</v>
      </c>
      <c r="E45" s="186">
        <f>E37*C45</f>
        <v>6061.34795535594</v>
      </c>
      <c r="F45" s="186">
        <f>F37*C45</f>
        <v>233.12876751369001</v>
      </c>
      <c r="X45" s="54"/>
      <c r="Y45" s="160"/>
      <c r="Z45" s="21"/>
    </row>
    <row r="46" spans="2:26" x14ac:dyDescent="0.25">
      <c r="B46" s="174" t="s">
        <v>108</v>
      </c>
      <c r="C46" s="184">
        <f>C8</f>
        <v>111.12922701234601</v>
      </c>
      <c r="D46" s="185">
        <f>C46*D38</f>
        <v>44840.177166670619</v>
      </c>
      <c r="E46" s="186">
        <f>E38*C46</f>
        <v>3736.6814305558846</v>
      </c>
      <c r="F46" s="186">
        <f>F38*C46</f>
        <v>143.7185165598417</v>
      </c>
      <c r="X46" s="168" t="s">
        <v>249</v>
      </c>
      <c r="Y46" s="187">
        <f>Y44*Y40</f>
        <v>6613.5893325174484</v>
      </c>
      <c r="Z46" s="21" t="s">
        <v>251</v>
      </c>
    </row>
    <row r="47" spans="2:26" ht="15.75" thickBot="1" x14ac:dyDescent="0.3">
      <c r="B47" s="178" t="s">
        <v>109</v>
      </c>
      <c r="C47" s="184">
        <f>C9</f>
        <v>100.527627012346</v>
      </c>
      <c r="D47" s="188">
        <f>C47*D39</f>
        <v>36692.862618337458</v>
      </c>
      <c r="E47" s="189">
        <f>E39*C47</f>
        <v>3057.7385515281212</v>
      </c>
      <c r="F47" s="189">
        <f>F39*C47</f>
        <v>117.60532890492775</v>
      </c>
    </row>
    <row r="48" spans="2:26" ht="15.75" thickBot="1" x14ac:dyDescent="0.3">
      <c r="B48" s="496" t="s">
        <v>106</v>
      </c>
      <c r="C48" s="497"/>
      <c r="D48" s="190">
        <f>SUM(D45:D47)</f>
        <v>154269.21524927934</v>
      </c>
      <c r="E48" s="190">
        <f>SUM(E45:E47)</f>
        <v>12855.767937439945</v>
      </c>
      <c r="F48" s="190">
        <f>SUM(F45:F47)</f>
        <v>494.45261297845946</v>
      </c>
    </row>
  </sheetData>
  <mergeCells count="7">
    <mergeCell ref="B48:C48"/>
    <mergeCell ref="B4:F4"/>
    <mergeCell ref="B15:E15"/>
    <mergeCell ref="B21:D21"/>
    <mergeCell ref="B34:F34"/>
    <mergeCell ref="B40:C40"/>
    <mergeCell ref="B42:F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24"/>
  <sheetViews>
    <sheetView topLeftCell="A10" zoomScale="115" zoomScaleNormal="115" workbookViewId="0">
      <selection activeCell="D26" sqref="D26"/>
    </sheetView>
  </sheetViews>
  <sheetFormatPr baseColWidth="10" defaultRowHeight="15" x14ac:dyDescent="0.25"/>
  <cols>
    <col min="2" max="2" width="30.7109375" customWidth="1"/>
    <col min="3" max="3" width="13.85546875" customWidth="1"/>
    <col min="4" max="4" width="13.5703125" customWidth="1"/>
    <col min="5" max="5" width="13.7109375" customWidth="1"/>
  </cols>
  <sheetData>
    <row r="1" spans="2:5" ht="15.75" thickBot="1" x14ac:dyDescent="0.3"/>
    <row r="2" spans="2:5" ht="15.75" thickBot="1" x14ac:dyDescent="0.3">
      <c r="B2" s="498" t="s">
        <v>431</v>
      </c>
      <c r="C2" s="499"/>
      <c r="D2" s="499"/>
      <c r="E2" s="499"/>
    </row>
    <row r="3" spans="2:5" x14ac:dyDescent="0.25">
      <c r="B3" s="21"/>
      <c r="C3" s="21"/>
      <c r="D3" s="21"/>
      <c r="E3" s="21"/>
    </row>
    <row r="4" spans="2:5" x14ac:dyDescent="0.25">
      <c r="B4" s="446" t="s">
        <v>389</v>
      </c>
      <c r="C4" s="446"/>
      <c r="D4" s="446"/>
      <c r="E4" s="446"/>
    </row>
    <row r="5" spans="2:5" ht="15.75" thickBot="1" x14ac:dyDescent="0.3">
      <c r="B5" s="21"/>
      <c r="C5" s="21"/>
      <c r="D5" s="21"/>
      <c r="E5" s="21"/>
    </row>
    <row r="6" spans="2:5" x14ac:dyDescent="0.25">
      <c r="B6" s="194" t="s">
        <v>23</v>
      </c>
      <c r="C6" s="195">
        <v>1</v>
      </c>
      <c r="D6" s="195">
        <f>1+C6</f>
        <v>2</v>
      </c>
      <c r="E6" s="195">
        <f>1+D6</f>
        <v>3</v>
      </c>
    </row>
    <row r="7" spans="2:5" x14ac:dyDescent="0.25">
      <c r="B7" s="47" t="s">
        <v>380</v>
      </c>
      <c r="C7" s="369">
        <f>+'Presupuesto de ventas'!P25</f>
        <v>211916.28862222252</v>
      </c>
      <c r="D7" s="369">
        <f>+'Presupuesto de ventas'!P29</f>
        <v>219186.60864296334</v>
      </c>
      <c r="E7" s="369">
        <f>+'Presupuesto de ventas'!P33</f>
        <v>230203.14243614851</v>
      </c>
    </row>
    <row r="8" spans="2:5" x14ac:dyDescent="0.25">
      <c r="B8" s="27" t="s">
        <v>252</v>
      </c>
      <c r="C8" s="196"/>
      <c r="D8" s="196"/>
      <c r="E8" s="196"/>
    </row>
    <row r="9" spans="2:5" x14ac:dyDescent="0.25">
      <c r="B9" s="197" t="s">
        <v>253</v>
      </c>
      <c r="C9" s="186">
        <f>+-'Costo de producción'!C41</f>
        <v>-130785.71366666668</v>
      </c>
      <c r="D9" s="186">
        <f>+-'Costo de producción'!D41</f>
        <v>-135317.60190000001</v>
      </c>
      <c r="E9" s="186">
        <f>+-'Costo de producción'!E41</f>
        <v>-142054.27107333334</v>
      </c>
    </row>
    <row r="10" spans="2:5" x14ac:dyDescent="0.25">
      <c r="B10" s="27" t="s">
        <v>254</v>
      </c>
      <c r="C10" s="186">
        <f>-Depreciación!$F$9</f>
        <v>-3289.4212962962961</v>
      </c>
      <c r="D10" s="186">
        <f>-Depreciación!$F$9</f>
        <v>-3289.4212962962961</v>
      </c>
      <c r="E10" s="186">
        <f>-Depreciación!$F$9</f>
        <v>-3289.4212962962961</v>
      </c>
    </row>
    <row r="11" spans="2:5" x14ac:dyDescent="0.25">
      <c r="B11" s="23" t="s">
        <v>255</v>
      </c>
      <c r="C11" s="196">
        <f>+C7+C9+C10</f>
        <v>77841.153659259551</v>
      </c>
      <c r="D11" s="196">
        <f t="shared" ref="D11:E11" si="0">+D7+D9+D10</f>
        <v>80579.585446667043</v>
      </c>
      <c r="E11" s="196">
        <f t="shared" si="0"/>
        <v>84859.450066518883</v>
      </c>
    </row>
    <row r="12" spans="2:5" x14ac:dyDescent="0.25">
      <c r="B12" s="27" t="s">
        <v>256</v>
      </c>
      <c r="C12" s="196"/>
      <c r="D12" s="196"/>
      <c r="E12" s="196"/>
    </row>
    <row r="13" spans="2:5" x14ac:dyDescent="0.25">
      <c r="B13" s="197" t="s">
        <v>257</v>
      </c>
      <c r="C13" s="186">
        <f>-('Gastos operativos'!$H$14-'Gastos operativos'!$H$13)*12</f>
        <v>-33700</v>
      </c>
      <c r="D13" s="186">
        <f>-('Gastos operativos'!$H$14-'Gastos operativos'!$H$13)*12</f>
        <v>-33700</v>
      </c>
      <c r="E13" s="186">
        <f>-('Gastos operativos'!$H$14-'Gastos operativos'!$H$13)*12</f>
        <v>-33700</v>
      </c>
    </row>
    <row r="14" spans="2:5" x14ac:dyDescent="0.25">
      <c r="B14" s="197" t="s">
        <v>258</v>
      </c>
      <c r="C14" s="186">
        <f>-'Gastos operativos'!$H$20*12</f>
        <v>-21290</v>
      </c>
      <c r="D14" s="186">
        <f>-'Gastos operativos'!$H$20*12</f>
        <v>-21290</v>
      </c>
      <c r="E14" s="186">
        <f>-'Gastos operativos'!$H$20*12</f>
        <v>-21290</v>
      </c>
    </row>
    <row r="15" spans="2:5" x14ac:dyDescent="0.25">
      <c r="B15" s="197" t="s">
        <v>259</v>
      </c>
      <c r="C15" s="186">
        <f>-'Gastos operativos'!$H$13*12</f>
        <v>-64.305555555555543</v>
      </c>
      <c r="D15" s="186">
        <f>-'Gastos operativos'!$H$13*12</f>
        <v>-64.305555555555543</v>
      </c>
      <c r="E15" s="186">
        <f>-'Gastos operativos'!$H$13*12</f>
        <v>-64.305555555555543</v>
      </c>
    </row>
    <row r="16" spans="2:5" x14ac:dyDescent="0.25">
      <c r="B16" s="23" t="s">
        <v>260</v>
      </c>
      <c r="C16" s="196">
        <f>SUM(C11:C15)</f>
        <v>22786.848103703996</v>
      </c>
      <c r="D16" s="196">
        <f t="shared" ref="D16:E16" si="1">SUM(D11:D15)</f>
        <v>25525.279891111488</v>
      </c>
      <c r="E16" s="196">
        <f t="shared" si="1"/>
        <v>29805.144510963328</v>
      </c>
    </row>
    <row r="17" spans="2:5" x14ac:dyDescent="0.25">
      <c r="B17" s="27" t="s">
        <v>261</v>
      </c>
      <c r="C17" s="30">
        <v>0</v>
      </c>
      <c r="D17" s="30">
        <v>0</v>
      </c>
      <c r="E17" s="30">
        <v>0</v>
      </c>
    </row>
    <row r="18" spans="2:5" x14ac:dyDescent="0.25">
      <c r="B18" s="23" t="s">
        <v>262</v>
      </c>
      <c r="C18" s="196">
        <f>+C17+C16</f>
        <v>22786.848103703996</v>
      </c>
      <c r="D18" s="196">
        <f t="shared" ref="D18:E18" si="2">+D17+D16</f>
        <v>25525.279891111488</v>
      </c>
      <c r="E18" s="196">
        <f t="shared" si="2"/>
        <v>29805.144510963328</v>
      </c>
    </row>
    <row r="19" spans="2:5" ht="15.75" thickBot="1" x14ac:dyDescent="0.3">
      <c r="B19" s="146" t="s">
        <v>263</v>
      </c>
      <c r="C19" s="198">
        <f>+-($B$23*$B$24+(C18-$B$23)*$C$24)</f>
        <v>-3147.1201905926791</v>
      </c>
      <c r="D19" s="198">
        <f>+-($B$23*$B$24+(D18-$B$23)*$C$24)</f>
        <v>-3954.9575678778892</v>
      </c>
      <c r="E19" s="198">
        <f t="shared" ref="E19" si="3">+-($B$23*$B$24+(E18-$B$23)*$C$24)</f>
        <v>-5217.5176307341817</v>
      </c>
    </row>
    <row r="20" spans="2:5" ht="15.75" thickBot="1" x14ac:dyDescent="0.3">
      <c r="B20" s="199" t="s">
        <v>264</v>
      </c>
      <c r="C20" s="200">
        <f>C18+C19</f>
        <v>19639.727913111317</v>
      </c>
      <c r="D20" s="200">
        <f>D18+D19</f>
        <v>21570.322323233599</v>
      </c>
      <c r="E20" s="200">
        <f>E18+E19</f>
        <v>24587.626880229145</v>
      </c>
    </row>
    <row r="21" spans="2:5" x14ac:dyDescent="0.25">
      <c r="B21" s="349" t="s">
        <v>378</v>
      </c>
      <c r="C21" s="350"/>
      <c r="D21" s="350"/>
      <c r="E21" s="350"/>
    </row>
    <row r="22" spans="2:5" x14ac:dyDescent="0.25">
      <c r="B22" t="s">
        <v>379</v>
      </c>
    </row>
    <row r="23" spans="2:5" x14ac:dyDescent="0.25">
      <c r="B23" s="6">
        <f>66000/Resumen!C20</f>
        <v>18333.333333333332</v>
      </c>
      <c r="C23" s="11" t="s">
        <v>432</v>
      </c>
    </row>
    <row r="24" spans="2:5" x14ac:dyDescent="0.25">
      <c r="B24" s="207">
        <v>0.1</v>
      </c>
      <c r="C24" s="166">
        <v>0.29499999999999998</v>
      </c>
    </row>
  </sheetData>
  <mergeCells count="2">
    <mergeCell ref="B2:E2"/>
    <mergeCell ref="B4:E4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L38"/>
  <sheetViews>
    <sheetView topLeftCell="A16" workbookViewId="0">
      <selection activeCell="E10" sqref="E10"/>
    </sheetView>
  </sheetViews>
  <sheetFormatPr baseColWidth="10" defaultRowHeight="15" x14ac:dyDescent="0.25"/>
  <cols>
    <col min="2" max="2" width="3.140625" customWidth="1"/>
    <col min="4" max="4" width="17.42578125" customWidth="1"/>
    <col min="5" max="5" width="12.28515625" bestFit="1" customWidth="1"/>
    <col min="6" max="6" width="9.140625" customWidth="1"/>
    <col min="7" max="7" width="13.140625" customWidth="1"/>
    <col min="258" max="258" width="3.140625" customWidth="1"/>
    <col min="260" max="260" width="14.42578125" customWidth="1"/>
    <col min="261" max="261" width="12.28515625" bestFit="1" customWidth="1"/>
    <col min="262" max="262" width="9.140625" customWidth="1"/>
    <col min="263" max="263" width="13.140625" customWidth="1"/>
    <col min="514" max="514" width="3.140625" customWidth="1"/>
    <col min="516" max="516" width="14.42578125" customWidth="1"/>
    <col min="517" max="517" width="12.28515625" bestFit="1" customWidth="1"/>
    <col min="518" max="518" width="9.140625" customWidth="1"/>
    <col min="519" max="519" width="13.140625" customWidth="1"/>
    <col min="770" max="770" width="3.140625" customWidth="1"/>
    <col min="772" max="772" width="14.42578125" customWidth="1"/>
    <col min="773" max="773" width="12.28515625" bestFit="1" customWidth="1"/>
    <col min="774" max="774" width="9.140625" customWidth="1"/>
    <col min="775" max="775" width="13.140625" customWidth="1"/>
    <col min="1026" max="1026" width="3.140625" customWidth="1"/>
    <col min="1028" max="1028" width="14.42578125" customWidth="1"/>
    <col min="1029" max="1029" width="12.28515625" bestFit="1" customWidth="1"/>
    <col min="1030" max="1030" width="9.140625" customWidth="1"/>
    <col min="1031" max="1031" width="13.140625" customWidth="1"/>
    <col min="1282" max="1282" width="3.140625" customWidth="1"/>
    <col min="1284" max="1284" width="14.42578125" customWidth="1"/>
    <col min="1285" max="1285" width="12.28515625" bestFit="1" customWidth="1"/>
    <col min="1286" max="1286" width="9.140625" customWidth="1"/>
    <col min="1287" max="1287" width="13.140625" customWidth="1"/>
    <col min="1538" max="1538" width="3.140625" customWidth="1"/>
    <col min="1540" max="1540" width="14.42578125" customWidth="1"/>
    <col min="1541" max="1541" width="12.28515625" bestFit="1" customWidth="1"/>
    <col min="1542" max="1542" width="9.140625" customWidth="1"/>
    <col min="1543" max="1543" width="13.140625" customWidth="1"/>
    <col min="1794" max="1794" width="3.140625" customWidth="1"/>
    <col min="1796" max="1796" width="14.42578125" customWidth="1"/>
    <col min="1797" max="1797" width="12.28515625" bestFit="1" customWidth="1"/>
    <col min="1798" max="1798" width="9.140625" customWidth="1"/>
    <col min="1799" max="1799" width="13.140625" customWidth="1"/>
    <col min="2050" max="2050" width="3.140625" customWidth="1"/>
    <col min="2052" max="2052" width="14.42578125" customWidth="1"/>
    <col min="2053" max="2053" width="12.28515625" bestFit="1" customWidth="1"/>
    <col min="2054" max="2054" width="9.140625" customWidth="1"/>
    <col min="2055" max="2055" width="13.140625" customWidth="1"/>
    <col min="2306" max="2306" width="3.140625" customWidth="1"/>
    <col min="2308" max="2308" width="14.42578125" customWidth="1"/>
    <col min="2309" max="2309" width="12.28515625" bestFit="1" customWidth="1"/>
    <col min="2310" max="2310" width="9.140625" customWidth="1"/>
    <col min="2311" max="2311" width="13.140625" customWidth="1"/>
    <col min="2562" max="2562" width="3.140625" customWidth="1"/>
    <col min="2564" max="2564" width="14.42578125" customWidth="1"/>
    <col min="2565" max="2565" width="12.28515625" bestFit="1" customWidth="1"/>
    <col min="2566" max="2566" width="9.140625" customWidth="1"/>
    <col min="2567" max="2567" width="13.140625" customWidth="1"/>
    <col min="2818" max="2818" width="3.140625" customWidth="1"/>
    <col min="2820" max="2820" width="14.42578125" customWidth="1"/>
    <col min="2821" max="2821" width="12.28515625" bestFit="1" customWidth="1"/>
    <col min="2822" max="2822" width="9.140625" customWidth="1"/>
    <col min="2823" max="2823" width="13.140625" customWidth="1"/>
    <col min="3074" max="3074" width="3.140625" customWidth="1"/>
    <col min="3076" max="3076" width="14.42578125" customWidth="1"/>
    <col min="3077" max="3077" width="12.28515625" bestFit="1" customWidth="1"/>
    <col min="3078" max="3078" width="9.140625" customWidth="1"/>
    <col min="3079" max="3079" width="13.140625" customWidth="1"/>
    <col min="3330" max="3330" width="3.140625" customWidth="1"/>
    <col min="3332" max="3332" width="14.42578125" customWidth="1"/>
    <col min="3333" max="3333" width="12.28515625" bestFit="1" customWidth="1"/>
    <col min="3334" max="3334" width="9.140625" customWidth="1"/>
    <col min="3335" max="3335" width="13.140625" customWidth="1"/>
    <col min="3586" max="3586" width="3.140625" customWidth="1"/>
    <col min="3588" max="3588" width="14.42578125" customWidth="1"/>
    <col min="3589" max="3589" width="12.28515625" bestFit="1" customWidth="1"/>
    <col min="3590" max="3590" width="9.140625" customWidth="1"/>
    <col min="3591" max="3591" width="13.140625" customWidth="1"/>
    <col min="3842" max="3842" width="3.140625" customWidth="1"/>
    <col min="3844" max="3844" width="14.42578125" customWidth="1"/>
    <col min="3845" max="3845" width="12.28515625" bestFit="1" customWidth="1"/>
    <col min="3846" max="3846" width="9.140625" customWidth="1"/>
    <col min="3847" max="3847" width="13.140625" customWidth="1"/>
    <col min="4098" max="4098" width="3.140625" customWidth="1"/>
    <col min="4100" max="4100" width="14.42578125" customWidth="1"/>
    <col min="4101" max="4101" width="12.28515625" bestFit="1" customWidth="1"/>
    <col min="4102" max="4102" width="9.140625" customWidth="1"/>
    <col min="4103" max="4103" width="13.140625" customWidth="1"/>
    <col min="4354" max="4354" width="3.140625" customWidth="1"/>
    <col min="4356" max="4356" width="14.42578125" customWidth="1"/>
    <col min="4357" max="4357" width="12.28515625" bestFit="1" customWidth="1"/>
    <col min="4358" max="4358" width="9.140625" customWidth="1"/>
    <col min="4359" max="4359" width="13.140625" customWidth="1"/>
    <col min="4610" max="4610" width="3.140625" customWidth="1"/>
    <col min="4612" max="4612" width="14.42578125" customWidth="1"/>
    <col min="4613" max="4613" width="12.28515625" bestFit="1" customWidth="1"/>
    <col min="4614" max="4614" width="9.140625" customWidth="1"/>
    <col min="4615" max="4615" width="13.140625" customWidth="1"/>
    <col min="4866" max="4866" width="3.140625" customWidth="1"/>
    <col min="4868" max="4868" width="14.42578125" customWidth="1"/>
    <col min="4869" max="4869" width="12.28515625" bestFit="1" customWidth="1"/>
    <col min="4870" max="4870" width="9.140625" customWidth="1"/>
    <col min="4871" max="4871" width="13.140625" customWidth="1"/>
    <col min="5122" max="5122" width="3.140625" customWidth="1"/>
    <col min="5124" max="5124" width="14.42578125" customWidth="1"/>
    <col min="5125" max="5125" width="12.28515625" bestFit="1" customWidth="1"/>
    <col min="5126" max="5126" width="9.140625" customWidth="1"/>
    <col min="5127" max="5127" width="13.140625" customWidth="1"/>
    <col min="5378" max="5378" width="3.140625" customWidth="1"/>
    <col min="5380" max="5380" width="14.42578125" customWidth="1"/>
    <col min="5381" max="5381" width="12.28515625" bestFit="1" customWidth="1"/>
    <col min="5382" max="5382" width="9.140625" customWidth="1"/>
    <col min="5383" max="5383" width="13.140625" customWidth="1"/>
    <col min="5634" max="5634" width="3.140625" customWidth="1"/>
    <col min="5636" max="5636" width="14.42578125" customWidth="1"/>
    <col min="5637" max="5637" width="12.28515625" bestFit="1" customWidth="1"/>
    <col min="5638" max="5638" width="9.140625" customWidth="1"/>
    <col min="5639" max="5639" width="13.140625" customWidth="1"/>
    <col min="5890" max="5890" width="3.140625" customWidth="1"/>
    <col min="5892" max="5892" width="14.42578125" customWidth="1"/>
    <col min="5893" max="5893" width="12.28515625" bestFit="1" customWidth="1"/>
    <col min="5894" max="5894" width="9.140625" customWidth="1"/>
    <col min="5895" max="5895" width="13.140625" customWidth="1"/>
    <col min="6146" max="6146" width="3.140625" customWidth="1"/>
    <col min="6148" max="6148" width="14.42578125" customWidth="1"/>
    <col min="6149" max="6149" width="12.28515625" bestFit="1" customWidth="1"/>
    <col min="6150" max="6150" width="9.140625" customWidth="1"/>
    <col min="6151" max="6151" width="13.140625" customWidth="1"/>
    <col min="6402" max="6402" width="3.140625" customWidth="1"/>
    <col min="6404" max="6404" width="14.42578125" customWidth="1"/>
    <col min="6405" max="6405" width="12.28515625" bestFit="1" customWidth="1"/>
    <col min="6406" max="6406" width="9.140625" customWidth="1"/>
    <col min="6407" max="6407" width="13.140625" customWidth="1"/>
    <col min="6658" max="6658" width="3.140625" customWidth="1"/>
    <col min="6660" max="6660" width="14.42578125" customWidth="1"/>
    <col min="6661" max="6661" width="12.28515625" bestFit="1" customWidth="1"/>
    <col min="6662" max="6662" width="9.140625" customWidth="1"/>
    <col min="6663" max="6663" width="13.140625" customWidth="1"/>
    <col min="6914" max="6914" width="3.140625" customWidth="1"/>
    <col min="6916" max="6916" width="14.42578125" customWidth="1"/>
    <col min="6917" max="6917" width="12.28515625" bestFit="1" customWidth="1"/>
    <col min="6918" max="6918" width="9.140625" customWidth="1"/>
    <col min="6919" max="6919" width="13.140625" customWidth="1"/>
    <col min="7170" max="7170" width="3.140625" customWidth="1"/>
    <col min="7172" max="7172" width="14.42578125" customWidth="1"/>
    <col min="7173" max="7173" width="12.28515625" bestFit="1" customWidth="1"/>
    <col min="7174" max="7174" width="9.140625" customWidth="1"/>
    <col min="7175" max="7175" width="13.140625" customWidth="1"/>
    <col min="7426" max="7426" width="3.140625" customWidth="1"/>
    <col min="7428" max="7428" width="14.42578125" customWidth="1"/>
    <col min="7429" max="7429" width="12.28515625" bestFit="1" customWidth="1"/>
    <col min="7430" max="7430" width="9.140625" customWidth="1"/>
    <col min="7431" max="7431" width="13.140625" customWidth="1"/>
    <col min="7682" max="7682" width="3.140625" customWidth="1"/>
    <col min="7684" max="7684" width="14.42578125" customWidth="1"/>
    <col min="7685" max="7685" width="12.28515625" bestFit="1" customWidth="1"/>
    <col min="7686" max="7686" width="9.140625" customWidth="1"/>
    <col min="7687" max="7687" width="13.140625" customWidth="1"/>
    <col min="7938" max="7938" width="3.140625" customWidth="1"/>
    <col min="7940" max="7940" width="14.42578125" customWidth="1"/>
    <col min="7941" max="7941" width="12.28515625" bestFit="1" customWidth="1"/>
    <col min="7942" max="7942" width="9.140625" customWidth="1"/>
    <col min="7943" max="7943" width="13.140625" customWidth="1"/>
    <col min="8194" max="8194" width="3.140625" customWidth="1"/>
    <col min="8196" max="8196" width="14.42578125" customWidth="1"/>
    <col min="8197" max="8197" width="12.28515625" bestFit="1" customWidth="1"/>
    <col min="8198" max="8198" width="9.140625" customWidth="1"/>
    <col min="8199" max="8199" width="13.140625" customWidth="1"/>
    <col min="8450" max="8450" width="3.140625" customWidth="1"/>
    <col min="8452" max="8452" width="14.42578125" customWidth="1"/>
    <col min="8453" max="8453" width="12.28515625" bestFit="1" customWidth="1"/>
    <col min="8454" max="8454" width="9.140625" customWidth="1"/>
    <col min="8455" max="8455" width="13.140625" customWidth="1"/>
    <col min="8706" max="8706" width="3.140625" customWidth="1"/>
    <col min="8708" max="8708" width="14.42578125" customWidth="1"/>
    <col min="8709" max="8709" width="12.28515625" bestFit="1" customWidth="1"/>
    <col min="8710" max="8710" width="9.140625" customWidth="1"/>
    <col min="8711" max="8711" width="13.140625" customWidth="1"/>
    <col min="8962" max="8962" width="3.140625" customWidth="1"/>
    <col min="8964" max="8964" width="14.42578125" customWidth="1"/>
    <col min="8965" max="8965" width="12.28515625" bestFit="1" customWidth="1"/>
    <col min="8966" max="8966" width="9.140625" customWidth="1"/>
    <col min="8967" max="8967" width="13.140625" customWidth="1"/>
    <col min="9218" max="9218" width="3.140625" customWidth="1"/>
    <col min="9220" max="9220" width="14.42578125" customWidth="1"/>
    <col min="9221" max="9221" width="12.28515625" bestFit="1" customWidth="1"/>
    <col min="9222" max="9222" width="9.140625" customWidth="1"/>
    <col min="9223" max="9223" width="13.140625" customWidth="1"/>
    <col min="9474" max="9474" width="3.140625" customWidth="1"/>
    <col min="9476" max="9476" width="14.42578125" customWidth="1"/>
    <col min="9477" max="9477" width="12.28515625" bestFit="1" customWidth="1"/>
    <col min="9478" max="9478" width="9.140625" customWidth="1"/>
    <col min="9479" max="9479" width="13.140625" customWidth="1"/>
    <col min="9730" max="9730" width="3.140625" customWidth="1"/>
    <col min="9732" max="9732" width="14.42578125" customWidth="1"/>
    <col min="9733" max="9733" width="12.28515625" bestFit="1" customWidth="1"/>
    <col min="9734" max="9734" width="9.140625" customWidth="1"/>
    <col min="9735" max="9735" width="13.140625" customWidth="1"/>
    <col min="9986" max="9986" width="3.140625" customWidth="1"/>
    <col min="9988" max="9988" width="14.42578125" customWidth="1"/>
    <col min="9989" max="9989" width="12.28515625" bestFit="1" customWidth="1"/>
    <col min="9990" max="9990" width="9.140625" customWidth="1"/>
    <col min="9991" max="9991" width="13.140625" customWidth="1"/>
    <col min="10242" max="10242" width="3.140625" customWidth="1"/>
    <col min="10244" max="10244" width="14.42578125" customWidth="1"/>
    <col min="10245" max="10245" width="12.28515625" bestFit="1" customWidth="1"/>
    <col min="10246" max="10246" width="9.140625" customWidth="1"/>
    <col min="10247" max="10247" width="13.140625" customWidth="1"/>
    <col min="10498" max="10498" width="3.140625" customWidth="1"/>
    <col min="10500" max="10500" width="14.42578125" customWidth="1"/>
    <col min="10501" max="10501" width="12.28515625" bestFit="1" customWidth="1"/>
    <col min="10502" max="10502" width="9.140625" customWidth="1"/>
    <col min="10503" max="10503" width="13.140625" customWidth="1"/>
    <col min="10754" max="10754" width="3.140625" customWidth="1"/>
    <col min="10756" max="10756" width="14.42578125" customWidth="1"/>
    <col min="10757" max="10757" width="12.28515625" bestFit="1" customWidth="1"/>
    <col min="10758" max="10758" width="9.140625" customWidth="1"/>
    <col min="10759" max="10759" width="13.140625" customWidth="1"/>
    <col min="11010" max="11010" width="3.140625" customWidth="1"/>
    <col min="11012" max="11012" width="14.42578125" customWidth="1"/>
    <col min="11013" max="11013" width="12.28515625" bestFit="1" customWidth="1"/>
    <col min="11014" max="11014" width="9.140625" customWidth="1"/>
    <col min="11015" max="11015" width="13.140625" customWidth="1"/>
    <col min="11266" max="11266" width="3.140625" customWidth="1"/>
    <col min="11268" max="11268" width="14.42578125" customWidth="1"/>
    <col min="11269" max="11269" width="12.28515625" bestFit="1" customWidth="1"/>
    <col min="11270" max="11270" width="9.140625" customWidth="1"/>
    <col min="11271" max="11271" width="13.140625" customWidth="1"/>
    <col min="11522" max="11522" width="3.140625" customWidth="1"/>
    <col min="11524" max="11524" width="14.42578125" customWidth="1"/>
    <col min="11525" max="11525" width="12.28515625" bestFit="1" customWidth="1"/>
    <col min="11526" max="11526" width="9.140625" customWidth="1"/>
    <col min="11527" max="11527" width="13.140625" customWidth="1"/>
    <col min="11778" max="11778" width="3.140625" customWidth="1"/>
    <col min="11780" max="11780" width="14.42578125" customWidth="1"/>
    <col min="11781" max="11781" width="12.28515625" bestFit="1" customWidth="1"/>
    <col min="11782" max="11782" width="9.140625" customWidth="1"/>
    <col min="11783" max="11783" width="13.140625" customWidth="1"/>
    <col min="12034" max="12034" width="3.140625" customWidth="1"/>
    <col min="12036" max="12036" width="14.42578125" customWidth="1"/>
    <col min="12037" max="12037" width="12.28515625" bestFit="1" customWidth="1"/>
    <col min="12038" max="12038" width="9.140625" customWidth="1"/>
    <col min="12039" max="12039" width="13.140625" customWidth="1"/>
    <col min="12290" max="12290" width="3.140625" customWidth="1"/>
    <col min="12292" max="12292" width="14.42578125" customWidth="1"/>
    <col min="12293" max="12293" width="12.28515625" bestFit="1" customWidth="1"/>
    <col min="12294" max="12294" width="9.140625" customWidth="1"/>
    <col min="12295" max="12295" width="13.140625" customWidth="1"/>
    <col min="12546" max="12546" width="3.140625" customWidth="1"/>
    <col min="12548" max="12548" width="14.42578125" customWidth="1"/>
    <col min="12549" max="12549" width="12.28515625" bestFit="1" customWidth="1"/>
    <col min="12550" max="12550" width="9.140625" customWidth="1"/>
    <col min="12551" max="12551" width="13.140625" customWidth="1"/>
    <col min="12802" max="12802" width="3.140625" customWidth="1"/>
    <col min="12804" max="12804" width="14.42578125" customWidth="1"/>
    <col min="12805" max="12805" width="12.28515625" bestFit="1" customWidth="1"/>
    <col min="12806" max="12806" width="9.140625" customWidth="1"/>
    <col min="12807" max="12807" width="13.140625" customWidth="1"/>
    <col min="13058" max="13058" width="3.140625" customWidth="1"/>
    <col min="13060" max="13060" width="14.42578125" customWidth="1"/>
    <col min="13061" max="13061" width="12.28515625" bestFit="1" customWidth="1"/>
    <col min="13062" max="13062" width="9.140625" customWidth="1"/>
    <col min="13063" max="13063" width="13.140625" customWidth="1"/>
    <col min="13314" max="13314" width="3.140625" customWidth="1"/>
    <col min="13316" max="13316" width="14.42578125" customWidth="1"/>
    <col min="13317" max="13317" width="12.28515625" bestFit="1" customWidth="1"/>
    <col min="13318" max="13318" width="9.140625" customWidth="1"/>
    <col min="13319" max="13319" width="13.140625" customWidth="1"/>
    <col min="13570" max="13570" width="3.140625" customWidth="1"/>
    <col min="13572" max="13572" width="14.42578125" customWidth="1"/>
    <col min="13573" max="13573" width="12.28515625" bestFit="1" customWidth="1"/>
    <col min="13574" max="13574" width="9.140625" customWidth="1"/>
    <col min="13575" max="13575" width="13.140625" customWidth="1"/>
    <col min="13826" max="13826" width="3.140625" customWidth="1"/>
    <col min="13828" max="13828" width="14.42578125" customWidth="1"/>
    <col min="13829" max="13829" width="12.28515625" bestFit="1" customWidth="1"/>
    <col min="13830" max="13830" width="9.140625" customWidth="1"/>
    <col min="13831" max="13831" width="13.140625" customWidth="1"/>
    <col min="14082" max="14082" width="3.140625" customWidth="1"/>
    <col min="14084" max="14084" width="14.42578125" customWidth="1"/>
    <col min="14085" max="14085" width="12.28515625" bestFit="1" customWidth="1"/>
    <col min="14086" max="14086" width="9.140625" customWidth="1"/>
    <col min="14087" max="14087" width="13.140625" customWidth="1"/>
    <col min="14338" max="14338" width="3.140625" customWidth="1"/>
    <col min="14340" max="14340" width="14.42578125" customWidth="1"/>
    <col min="14341" max="14341" width="12.28515625" bestFit="1" customWidth="1"/>
    <col min="14342" max="14342" width="9.140625" customWidth="1"/>
    <col min="14343" max="14343" width="13.140625" customWidth="1"/>
    <col min="14594" max="14594" width="3.140625" customWidth="1"/>
    <col min="14596" max="14596" width="14.42578125" customWidth="1"/>
    <col min="14597" max="14597" width="12.28515625" bestFit="1" customWidth="1"/>
    <col min="14598" max="14598" width="9.140625" customWidth="1"/>
    <col min="14599" max="14599" width="13.140625" customWidth="1"/>
    <col min="14850" max="14850" width="3.140625" customWidth="1"/>
    <col min="14852" max="14852" width="14.42578125" customWidth="1"/>
    <col min="14853" max="14853" width="12.28515625" bestFit="1" customWidth="1"/>
    <col min="14854" max="14854" width="9.140625" customWidth="1"/>
    <col min="14855" max="14855" width="13.140625" customWidth="1"/>
    <col min="15106" max="15106" width="3.140625" customWidth="1"/>
    <col min="15108" max="15108" width="14.42578125" customWidth="1"/>
    <col min="15109" max="15109" width="12.28515625" bestFit="1" customWidth="1"/>
    <col min="15110" max="15110" width="9.140625" customWidth="1"/>
    <col min="15111" max="15111" width="13.140625" customWidth="1"/>
    <col min="15362" max="15362" width="3.140625" customWidth="1"/>
    <col min="15364" max="15364" width="14.42578125" customWidth="1"/>
    <col min="15365" max="15365" width="12.28515625" bestFit="1" customWidth="1"/>
    <col min="15366" max="15366" width="9.140625" customWidth="1"/>
    <col min="15367" max="15367" width="13.140625" customWidth="1"/>
    <col min="15618" max="15618" width="3.140625" customWidth="1"/>
    <col min="15620" max="15620" width="14.42578125" customWidth="1"/>
    <col min="15621" max="15621" width="12.28515625" bestFit="1" customWidth="1"/>
    <col min="15622" max="15622" width="9.140625" customWidth="1"/>
    <col min="15623" max="15623" width="13.140625" customWidth="1"/>
    <col min="15874" max="15874" width="3.140625" customWidth="1"/>
    <col min="15876" max="15876" width="14.42578125" customWidth="1"/>
    <col min="15877" max="15877" width="12.28515625" bestFit="1" customWidth="1"/>
    <col min="15878" max="15878" width="9.140625" customWidth="1"/>
    <col min="15879" max="15879" width="13.140625" customWidth="1"/>
    <col min="16130" max="16130" width="3.140625" customWidth="1"/>
    <col min="16132" max="16132" width="14.42578125" customWidth="1"/>
    <col min="16133" max="16133" width="12.28515625" bestFit="1" customWidth="1"/>
    <col min="16134" max="16134" width="9.140625" customWidth="1"/>
    <col min="16135" max="16135" width="13.140625" customWidth="1"/>
  </cols>
  <sheetData>
    <row r="2" spans="2:12" x14ac:dyDescent="0.25">
      <c r="B2" s="141" t="s">
        <v>270</v>
      </c>
    </row>
    <row r="3" spans="2:12" x14ac:dyDescent="0.25">
      <c r="B3" s="21"/>
      <c r="C3" s="21"/>
      <c r="D3" s="54" t="s">
        <v>271</v>
      </c>
      <c r="E3" s="160">
        <f>'Inversión inicial'!H64</f>
        <v>12638.94836111111</v>
      </c>
      <c r="F3" s="21"/>
      <c r="G3" s="21"/>
      <c r="H3" s="21"/>
      <c r="I3" s="127"/>
    </row>
    <row r="4" spans="2:12" x14ac:dyDescent="0.25">
      <c r="B4" s="21"/>
      <c r="C4" s="21"/>
      <c r="D4" s="54" t="s">
        <v>7</v>
      </c>
      <c r="E4" s="208">
        <f>+Resumen!C10</f>
        <v>0.17399999999999999</v>
      </c>
      <c r="F4" s="21"/>
      <c r="G4" s="21"/>
      <c r="H4" s="21"/>
      <c r="J4" s="74" t="s">
        <v>272</v>
      </c>
      <c r="L4">
        <v>12</v>
      </c>
    </row>
    <row r="5" spans="2:12" x14ac:dyDescent="0.25">
      <c r="B5" s="21"/>
      <c r="C5" s="21"/>
      <c r="D5" s="54" t="s">
        <v>286</v>
      </c>
      <c r="E5" s="208">
        <f>POWER((1+E4),(1/F9))-1</f>
        <v>1.3457812123617963E-2</v>
      </c>
      <c r="F5" s="54"/>
      <c r="G5" s="54"/>
      <c r="H5" s="21"/>
      <c r="J5" s="74" t="s">
        <v>273</v>
      </c>
      <c r="L5">
        <v>1</v>
      </c>
    </row>
    <row r="6" spans="2:12" x14ac:dyDescent="0.25">
      <c r="B6" s="21"/>
      <c r="C6" s="21"/>
      <c r="D6" s="54" t="s">
        <v>381</v>
      </c>
      <c r="E6" s="209">
        <f>Resumen!C6</f>
        <v>2.7777777777777801E-2</v>
      </c>
      <c r="F6" s="54"/>
      <c r="G6" s="54"/>
      <c r="H6" s="21"/>
    </row>
    <row r="7" spans="2:12" x14ac:dyDescent="0.25">
      <c r="B7" s="21"/>
      <c r="C7" s="21"/>
      <c r="D7" s="54" t="s">
        <v>382</v>
      </c>
      <c r="E7" s="210">
        <f>POWER((1+E6),(1/F9))-1</f>
        <v>2.285856444358414E-3</v>
      </c>
      <c r="F7" s="54"/>
      <c r="G7" s="21"/>
      <c r="H7" s="21"/>
    </row>
    <row r="8" spans="2:12" x14ac:dyDescent="0.25">
      <c r="B8" s="21"/>
      <c r="C8" s="21"/>
      <c r="D8" s="54" t="s">
        <v>274</v>
      </c>
      <c r="E8" s="210">
        <f>((1+E5)/(1+E7))-1</f>
        <v>1.1146476434270358E-2</v>
      </c>
      <c r="F8" s="54"/>
      <c r="G8" s="21"/>
      <c r="H8" s="21"/>
    </row>
    <row r="9" spans="2:12" x14ac:dyDescent="0.25">
      <c r="B9" s="21"/>
      <c r="C9" s="21"/>
      <c r="D9" s="54" t="s">
        <v>275</v>
      </c>
      <c r="E9" s="21">
        <v>24</v>
      </c>
      <c r="F9" s="21">
        <v>12</v>
      </c>
      <c r="G9" s="21"/>
      <c r="H9" s="21"/>
    </row>
    <row r="10" spans="2:12" x14ac:dyDescent="0.25">
      <c r="B10" s="21"/>
      <c r="C10" s="21"/>
      <c r="D10" s="54" t="s">
        <v>276</v>
      </c>
      <c r="E10" s="211">
        <f>PMT(E8,E9,E3)</f>
        <v>-603.11186370563087</v>
      </c>
      <c r="F10" s="21"/>
      <c r="G10" s="21"/>
      <c r="H10" s="21"/>
    </row>
    <row r="11" spans="2:12" ht="15.75" thickBot="1" x14ac:dyDescent="0.3">
      <c r="B11" s="21"/>
      <c r="C11" s="21"/>
      <c r="D11" s="21"/>
      <c r="E11" s="21"/>
      <c r="F11" s="21"/>
      <c r="G11" s="21"/>
      <c r="H11" s="21"/>
    </row>
    <row r="12" spans="2:12" x14ac:dyDescent="0.25">
      <c r="C12" s="212" t="s">
        <v>277</v>
      </c>
      <c r="D12" s="213" t="s">
        <v>278</v>
      </c>
      <c r="E12" s="213" t="s">
        <v>279</v>
      </c>
      <c r="F12" s="213" t="s">
        <v>280</v>
      </c>
      <c r="G12" s="213" t="s">
        <v>281</v>
      </c>
      <c r="H12" s="214" t="s">
        <v>282</v>
      </c>
    </row>
    <row r="13" spans="2:12" x14ac:dyDescent="0.25">
      <c r="C13" s="215" t="s">
        <v>283</v>
      </c>
      <c r="D13" s="216"/>
      <c r="E13" s="217">
        <f>SUM(E14:E25)</f>
        <v>1337.5506638076076</v>
      </c>
      <c r="F13" s="218">
        <f>SUM(F14:F25)</f>
        <v>5899.7917006599637</v>
      </c>
      <c r="G13" s="217">
        <f>SUM(G14:G25)</f>
        <v>7237.3423644675686</v>
      </c>
      <c r="H13" s="219"/>
    </row>
    <row r="14" spans="2:12" x14ac:dyDescent="0.25">
      <c r="C14" s="220">
        <v>1</v>
      </c>
      <c r="D14" s="177">
        <f>E3</f>
        <v>12638.94836111111</v>
      </c>
      <c r="E14" s="192">
        <f>D14*$E$8</f>
        <v>140.87974006108496</v>
      </c>
      <c r="F14" s="221">
        <f>G14-E14</f>
        <v>462.23212364454594</v>
      </c>
      <c r="G14" s="192">
        <f>-$E$10</f>
        <v>603.11186370563087</v>
      </c>
      <c r="H14" s="222">
        <f>D14-F14</f>
        <v>12176.716237466564</v>
      </c>
      <c r="J14" s="36"/>
      <c r="K14" s="193">
        <f>SUM(F14:F25)</f>
        <v>5899.7917006599637</v>
      </c>
      <c r="L14" s="74" t="s">
        <v>284</v>
      </c>
    </row>
    <row r="15" spans="2:12" x14ac:dyDescent="0.25">
      <c r="C15" s="220">
        <f>C14+1</f>
        <v>2</v>
      </c>
      <c r="D15" s="177">
        <f>H14</f>
        <v>12176.716237466564</v>
      </c>
      <c r="E15" s="192">
        <f t="shared" ref="E15:E24" si="0">D15*$E$8</f>
        <v>135.72748058771828</v>
      </c>
      <c r="F15" s="221">
        <f t="shared" ref="F15:F37" si="1">G15-E15</f>
        <v>467.38438311791259</v>
      </c>
      <c r="G15" s="192">
        <f t="shared" ref="G15:G37" si="2">-$E$10</f>
        <v>603.11186370563087</v>
      </c>
      <c r="H15" s="222">
        <f t="shared" ref="H15:H37" si="3">D15-F15</f>
        <v>11709.331854348651</v>
      </c>
    </row>
    <row r="16" spans="2:12" x14ac:dyDescent="0.25">
      <c r="C16" s="220">
        <f t="shared" ref="C16:C37" si="4">C15+1</f>
        <v>3</v>
      </c>
      <c r="D16" s="177">
        <f t="shared" ref="D16:D37" si="5">H15</f>
        <v>11709.331854348651</v>
      </c>
      <c r="E16" s="192">
        <f t="shared" si="0"/>
        <v>130.51779157554847</v>
      </c>
      <c r="F16" s="221">
        <f t="shared" si="1"/>
        <v>472.5940721300824</v>
      </c>
      <c r="G16" s="192">
        <f t="shared" si="2"/>
        <v>603.11186370563087</v>
      </c>
      <c r="H16" s="222">
        <f t="shared" si="3"/>
        <v>11236.737782218568</v>
      </c>
      <c r="J16" s="36"/>
      <c r="K16" s="193">
        <f>SUM(F26:F37)</f>
        <v>6739.1566604511481</v>
      </c>
      <c r="L16" s="74" t="s">
        <v>284</v>
      </c>
    </row>
    <row r="17" spans="3:11" x14ac:dyDescent="0.25">
      <c r="C17" s="220">
        <f t="shared" si="4"/>
        <v>4</v>
      </c>
      <c r="D17" s="177">
        <f t="shared" si="5"/>
        <v>11236.737782218568</v>
      </c>
      <c r="E17" s="192">
        <f t="shared" si="0"/>
        <v>125.25003288757463</v>
      </c>
      <c r="F17" s="221">
        <f t="shared" si="1"/>
        <v>477.86183081805621</v>
      </c>
      <c r="G17" s="192">
        <f t="shared" si="2"/>
        <v>603.11186370563087</v>
      </c>
      <c r="H17" s="222">
        <f t="shared" si="3"/>
        <v>10758.875951400512</v>
      </c>
    </row>
    <row r="18" spans="3:11" x14ac:dyDescent="0.25">
      <c r="C18" s="220">
        <f t="shared" si="4"/>
        <v>5</v>
      </c>
      <c r="D18" s="177">
        <f t="shared" si="5"/>
        <v>10758.875951400512</v>
      </c>
      <c r="E18" s="192">
        <f t="shared" si="0"/>
        <v>119.92355725152389</v>
      </c>
      <c r="F18" s="221">
        <f t="shared" si="1"/>
        <v>483.18830645410696</v>
      </c>
      <c r="G18" s="192">
        <f t="shared" si="2"/>
        <v>603.11186370563087</v>
      </c>
      <c r="H18" s="222">
        <f t="shared" si="3"/>
        <v>10275.687644946405</v>
      </c>
      <c r="J18" s="177">
        <f>SUM(E14:E25)</f>
        <v>1337.5506638076076</v>
      </c>
      <c r="K18" s="74" t="s">
        <v>261</v>
      </c>
    </row>
    <row r="19" spans="3:11" x14ac:dyDescent="0.25">
      <c r="C19" s="220">
        <f t="shared" si="4"/>
        <v>6</v>
      </c>
      <c r="D19" s="177">
        <f t="shared" si="5"/>
        <v>10275.687644946405</v>
      </c>
      <c r="E19" s="192">
        <f t="shared" si="0"/>
        <v>114.53771018031819</v>
      </c>
      <c r="F19" s="221">
        <f t="shared" si="1"/>
        <v>488.57415352531268</v>
      </c>
      <c r="G19" s="192">
        <f t="shared" si="2"/>
        <v>603.11186370563087</v>
      </c>
      <c r="H19" s="222">
        <f t="shared" si="3"/>
        <v>9787.1134914210925</v>
      </c>
    </row>
    <row r="20" spans="3:11" x14ac:dyDescent="0.25">
      <c r="C20" s="220">
        <f t="shared" si="4"/>
        <v>7</v>
      </c>
      <c r="D20" s="177">
        <f t="shared" si="5"/>
        <v>9787.1134914210925</v>
      </c>
      <c r="E20" s="192">
        <f t="shared" si="0"/>
        <v>109.0918298916547</v>
      </c>
      <c r="F20" s="221">
        <f t="shared" si="1"/>
        <v>494.02003381397617</v>
      </c>
      <c r="G20" s="192">
        <f t="shared" si="2"/>
        <v>603.11186370563087</v>
      </c>
      <c r="H20" s="222">
        <f t="shared" si="3"/>
        <v>9293.0934576071159</v>
      </c>
      <c r="J20" s="177">
        <f>SUM(E26:E37)</f>
        <v>498.18570401642251</v>
      </c>
      <c r="K20" s="74" t="s">
        <v>261</v>
      </c>
    </row>
    <row r="21" spans="3:11" x14ac:dyDescent="0.25">
      <c r="C21" s="220">
        <f t="shared" si="4"/>
        <v>8</v>
      </c>
      <c r="D21" s="177">
        <f t="shared" si="5"/>
        <v>9293.0934576071159</v>
      </c>
      <c r="E21" s="192">
        <f t="shared" si="0"/>
        <v>103.58524722668976</v>
      </c>
      <c r="F21" s="221">
        <f t="shared" si="1"/>
        <v>499.52661647894109</v>
      </c>
      <c r="G21" s="192">
        <f t="shared" si="2"/>
        <v>603.11186370563087</v>
      </c>
      <c r="H21" s="222">
        <f t="shared" si="3"/>
        <v>8793.5668411281749</v>
      </c>
    </row>
    <row r="22" spans="3:11" x14ac:dyDescent="0.25">
      <c r="C22" s="220">
        <f t="shared" si="4"/>
        <v>9</v>
      </c>
      <c r="D22" s="177">
        <f t="shared" si="5"/>
        <v>8793.5668411281749</v>
      </c>
      <c r="E22" s="192">
        <f t="shared" si="0"/>
        <v>98.01728556781643</v>
      </c>
      <c r="F22" s="221">
        <f t="shared" si="1"/>
        <v>505.09457813781444</v>
      </c>
      <c r="G22" s="192">
        <f t="shared" si="2"/>
        <v>603.11186370563087</v>
      </c>
      <c r="H22" s="222">
        <f t="shared" si="3"/>
        <v>8288.4722629903608</v>
      </c>
    </row>
    <row r="23" spans="3:11" x14ac:dyDescent="0.25">
      <c r="C23" s="220">
        <f t="shared" si="4"/>
        <v>10</v>
      </c>
      <c r="D23" s="177">
        <f t="shared" si="5"/>
        <v>8288.4722629903608</v>
      </c>
      <c r="E23" s="192">
        <f t="shared" si="0"/>
        <v>92.38726075552556</v>
      </c>
      <c r="F23" s="221">
        <f t="shared" si="1"/>
        <v>510.72460295010529</v>
      </c>
      <c r="G23" s="192">
        <f t="shared" si="2"/>
        <v>603.11186370563087</v>
      </c>
      <c r="H23" s="222">
        <f t="shared" si="3"/>
        <v>7777.7476600402551</v>
      </c>
    </row>
    <row r="24" spans="3:11" x14ac:dyDescent="0.25">
      <c r="C24" s="220">
        <f t="shared" si="4"/>
        <v>11</v>
      </c>
      <c r="D24" s="177">
        <f t="shared" si="5"/>
        <v>7777.7476600402551</v>
      </c>
      <c r="E24" s="192">
        <f t="shared" si="0"/>
        <v>86.694481004340119</v>
      </c>
      <c r="F24" s="221">
        <f t="shared" si="1"/>
        <v>516.41738270129076</v>
      </c>
      <c r="G24" s="192">
        <f t="shared" si="2"/>
        <v>603.11186370563087</v>
      </c>
      <c r="H24" s="222">
        <f t="shared" si="3"/>
        <v>7261.3302773389642</v>
      </c>
    </row>
    <row r="25" spans="3:11" x14ac:dyDescent="0.25">
      <c r="C25" s="220">
        <f t="shared" si="4"/>
        <v>12</v>
      </c>
      <c r="D25" s="177">
        <f t="shared" si="5"/>
        <v>7261.3302773389642</v>
      </c>
      <c r="E25" s="192">
        <f>D25*$E$8</f>
        <v>80.938246817812612</v>
      </c>
      <c r="F25" s="221">
        <f t="shared" si="1"/>
        <v>522.1736168878183</v>
      </c>
      <c r="G25" s="192">
        <f t="shared" si="2"/>
        <v>603.11186370563087</v>
      </c>
      <c r="H25" s="222">
        <f t="shared" si="3"/>
        <v>6739.1566604511463</v>
      </c>
    </row>
    <row r="26" spans="3:11" x14ac:dyDescent="0.25">
      <c r="C26" s="220">
        <f t="shared" si="4"/>
        <v>13</v>
      </c>
      <c r="D26" s="177">
        <f t="shared" si="5"/>
        <v>6739.1566604511463</v>
      </c>
      <c r="E26" s="192">
        <f t="shared" ref="E26:E37" si="6">D26*$E$8</f>
        <v>75.11785090257483</v>
      </c>
      <c r="F26" s="221">
        <f t="shared" si="1"/>
        <v>527.99401280305608</v>
      </c>
      <c r="G26" s="192">
        <f t="shared" si="2"/>
        <v>603.11186370563087</v>
      </c>
      <c r="H26" s="222">
        <f t="shared" si="3"/>
        <v>6211.1626476480906</v>
      </c>
    </row>
    <row r="27" spans="3:11" x14ac:dyDescent="0.25">
      <c r="C27" s="220">
        <f t="shared" si="4"/>
        <v>14</v>
      </c>
      <c r="D27" s="177">
        <f t="shared" si="5"/>
        <v>6211.1626476480906</v>
      </c>
      <c r="E27" s="192">
        <f t="shared" si="6"/>
        <v>69.232578081429722</v>
      </c>
      <c r="F27" s="221">
        <f t="shared" si="1"/>
        <v>533.8792856242012</v>
      </c>
      <c r="G27" s="192">
        <f t="shared" si="2"/>
        <v>603.11186370563087</v>
      </c>
      <c r="H27" s="222">
        <f t="shared" si="3"/>
        <v>5677.2833620238889</v>
      </c>
    </row>
    <row r="28" spans="3:11" x14ac:dyDescent="0.25">
      <c r="C28" s="220">
        <f t="shared" si="4"/>
        <v>15</v>
      </c>
      <c r="D28" s="177">
        <f t="shared" si="5"/>
        <v>5677.2833620238889</v>
      </c>
      <c r="E28" s="192">
        <f t="shared" si="6"/>
        <v>63.281705205474466</v>
      </c>
      <c r="F28" s="221">
        <f t="shared" si="1"/>
        <v>539.83015850015636</v>
      </c>
      <c r="G28" s="192">
        <f t="shared" si="2"/>
        <v>603.11186370563087</v>
      </c>
      <c r="H28" s="222">
        <f t="shared" si="3"/>
        <v>5137.4532035237326</v>
      </c>
    </row>
    <row r="29" spans="3:11" x14ac:dyDescent="0.25">
      <c r="C29" s="220">
        <f t="shared" si="4"/>
        <v>16</v>
      </c>
      <c r="D29" s="177">
        <f t="shared" si="5"/>
        <v>5137.4532035237326</v>
      </c>
      <c r="E29" s="192">
        <f t="shared" si="6"/>
        <v>57.26450106524404</v>
      </c>
      <c r="F29" s="221">
        <f t="shared" si="1"/>
        <v>545.84736264038679</v>
      </c>
      <c r="G29" s="192">
        <f t="shared" si="2"/>
        <v>603.11186370563087</v>
      </c>
      <c r="H29" s="222">
        <f t="shared" si="3"/>
        <v>4591.605840883346</v>
      </c>
    </row>
    <row r="30" spans="3:11" x14ac:dyDescent="0.25">
      <c r="C30" s="220">
        <f t="shared" si="4"/>
        <v>17</v>
      </c>
      <c r="D30" s="177">
        <f t="shared" si="5"/>
        <v>4591.605840883346</v>
      </c>
      <c r="E30" s="192">
        <f t="shared" si="6"/>
        <v>51.180226300864348</v>
      </c>
      <c r="F30" s="221">
        <f t="shared" si="1"/>
        <v>551.93163740476655</v>
      </c>
      <c r="G30" s="192">
        <f t="shared" si="2"/>
        <v>603.11186370563087</v>
      </c>
      <c r="H30" s="222">
        <f t="shared" si="3"/>
        <v>4039.6742034785793</v>
      </c>
    </row>
    <row r="31" spans="3:11" x14ac:dyDescent="0.25">
      <c r="C31" s="220">
        <f t="shared" si="4"/>
        <v>18</v>
      </c>
      <c r="D31" s="177">
        <f t="shared" si="5"/>
        <v>4039.6742034785793</v>
      </c>
      <c r="E31" s="192">
        <f t="shared" si="6"/>
        <v>45.028133311203867</v>
      </c>
      <c r="F31" s="221">
        <f t="shared" si="1"/>
        <v>558.08373039442699</v>
      </c>
      <c r="G31" s="192">
        <f t="shared" si="2"/>
        <v>603.11186370563087</v>
      </c>
      <c r="H31" s="222">
        <f t="shared" si="3"/>
        <v>3481.5904730841521</v>
      </c>
    </row>
    <row r="32" spans="3:11" x14ac:dyDescent="0.25">
      <c r="C32" s="220">
        <f t="shared" si="4"/>
        <v>19</v>
      </c>
      <c r="D32" s="177">
        <f t="shared" si="5"/>
        <v>3481.5904730841521</v>
      </c>
      <c r="E32" s="192">
        <f t="shared" si="6"/>
        <v>38.807466162012688</v>
      </c>
      <c r="F32" s="221">
        <f t="shared" si="1"/>
        <v>564.30439754361817</v>
      </c>
      <c r="G32" s="192">
        <f t="shared" si="2"/>
        <v>603.11186370563087</v>
      </c>
      <c r="H32" s="222">
        <f t="shared" si="3"/>
        <v>2917.2860755405341</v>
      </c>
    </row>
    <row r="33" spans="3:8" x14ac:dyDescent="0.25">
      <c r="C33" s="220">
        <f t="shared" si="4"/>
        <v>20</v>
      </c>
      <c r="D33" s="177">
        <f t="shared" si="5"/>
        <v>2917.2860755405341</v>
      </c>
      <c r="E33" s="192">
        <f t="shared" si="6"/>
        <v>32.517460493037618</v>
      </c>
      <c r="F33" s="221">
        <f t="shared" si="1"/>
        <v>570.59440321259331</v>
      </c>
      <c r="G33" s="192">
        <f t="shared" si="2"/>
        <v>603.11186370563087</v>
      </c>
      <c r="H33" s="222">
        <f t="shared" si="3"/>
        <v>2346.691672327941</v>
      </c>
    </row>
    <row r="34" spans="3:8" x14ac:dyDescent="0.25">
      <c r="C34" s="220">
        <f t="shared" si="4"/>
        <v>21</v>
      </c>
      <c r="D34" s="177">
        <f t="shared" si="5"/>
        <v>2346.691672327941</v>
      </c>
      <c r="E34" s="192">
        <f t="shared" si="6"/>
        <v>26.157343424101892</v>
      </c>
      <c r="F34" s="221">
        <f t="shared" si="1"/>
        <v>576.95452028152897</v>
      </c>
      <c r="G34" s="192">
        <f t="shared" si="2"/>
        <v>603.11186370563087</v>
      </c>
      <c r="H34" s="222">
        <f t="shared" si="3"/>
        <v>1769.7371520464121</v>
      </c>
    </row>
    <row r="35" spans="3:8" x14ac:dyDescent="0.25">
      <c r="C35" s="220">
        <f>C34+1</f>
        <v>22</v>
      </c>
      <c r="D35" s="177">
        <f t="shared" si="5"/>
        <v>1769.7371520464121</v>
      </c>
      <c r="E35" s="192">
        <f t="shared" si="6"/>
        <v>19.726333460138072</v>
      </c>
      <c r="F35" s="221">
        <f t="shared" si="1"/>
        <v>583.38553024549276</v>
      </c>
      <c r="G35" s="192">
        <f t="shared" si="2"/>
        <v>603.11186370563087</v>
      </c>
      <c r="H35" s="222">
        <f t="shared" si="3"/>
        <v>1186.3516218009195</v>
      </c>
    </row>
    <row r="36" spans="3:8" x14ac:dyDescent="0.25">
      <c r="C36" s="220">
        <f t="shared" si="4"/>
        <v>23</v>
      </c>
      <c r="D36" s="177">
        <f t="shared" si="5"/>
        <v>1186.3516218009195</v>
      </c>
      <c r="E36" s="192">
        <f t="shared" si="6"/>
        <v>13.22364039516237</v>
      </c>
      <c r="F36" s="221">
        <f t="shared" si="1"/>
        <v>589.88822331046845</v>
      </c>
      <c r="G36" s="192">
        <f t="shared" si="2"/>
        <v>603.11186370563087</v>
      </c>
      <c r="H36" s="222">
        <f t="shared" si="3"/>
        <v>596.46339849045103</v>
      </c>
    </row>
    <row r="37" spans="3:8" x14ac:dyDescent="0.25">
      <c r="C37" s="220">
        <f t="shared" si="4"/>
        <v>24</v>
      </c>
      <c r="D37" s="177">
        <f t="shared" si="5"/>
        <v>596.46339849045103</v>
      </c>
      <c r="E37" s="192">
        <f t="shared" si="6"/>
        <v>6.6484652151786223</v>
      </c>
      <c r="F37" s="221">
        <f t="shared" si="1"/>
        <v>596.46339849045228</v>
      </c>
      <c r="G37" s="192">
        <f t="shared" si="2"/>
        <v>603.11186370563087</v>
      </c>
      <c r="H37" s="222">
        <f t="shared" si="3"/>
        <v>-1.2505552149377763E-12</v>
      </c>
    </row>
    <row r="38" spans="3:8" x14ac:dyDescent="0.25">
      <c r="C38" s="223" t="s">
        <v>285</v>
      </c>
      <c r="D38" s="224"/>
      <c r="E38" s="225">
        <f>SUM(E26:E37)</f>
        <v>498.18570401642251</v>
      </c>
      <c r="F38" s="226">
        <f>SUM(F26:F37)</f>
        <v>6739.1566604511481</v>
      </c>
      <c r="G38" s="225">
        <f>SUM(G26:G37)</f>
        <v>7237.3423644675686</v>
      </c>
      <c r="H38" s="2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L13"/>
  <sheetViews>
    <sheetView workbookViewId="0">
      <selection activeCell="I12" sqref="I12"/>
    </sheetView>
  </sheetViews>
  <sheetFormatPr baseColWidth="10" defaultRowHeight="15" x14ac:dyDescent="0.25"/>
  <sheetData>
    <row r="1" spans="2:12" ht="15.75" thickBot="1" x14ac:dyDescent="0.3"/>
    <row r="2" spans="2:12" ht="15.75" thickBot="1" x14ac:dyDescent="0.3">
      <c r="B2" s="504" t="s">
        <v>390</v>
      </c>
      <c r="C2" s="505"/>
      <c r="D2" s="505"/>
      <c r="E2" s="505"/>
      <c r="F2" s="506"/>
      <c r="H2" s="504" t="s">
        <v>391</v>
      </c>
      <c r="I2" s="505"/>
      <c r="J2" s="505"/>
      <c r="K2" s="505"/>
      <c r="L2" s="506"/>
    </row>
    <row r="4" spans="2:12" ht="18.75" x14ac:dyDescent="0.25">
      <c r="B4" s="227" t="s">
        <v>287</v>
      </c>
      <c r="H4" s="227" t="s">
        <v>386</v>
      </c>
    </row>
    <row r="6" spans="2:12" x14ac:dyDescent="0.25">
      <c r="B6" s="141" t="s">
        <v>288</v>
      </c>
      <c r="H6" s="141" t="s">
        <v>288</v>
      </c>
    </row>
    <row r="7" spans="2:12" x14ac:dyDescent="0.25">
      <c r="B7" s="74" t="s">
        <v>289</v>
      </c>
      <c r="C7" s="228">
        <v>4.9500000000000002E-2</v>
      </c>
      <c r="D7" s="74" t="s">
        <v>290</v>
      </c>
      <c r="H7" s="74" t="s">
        <v>289</v>
      </c>
      <c r="I7" s="228">
        <v>4.9500000000000002E-2</v>
      </c>
      <c r="J7" s="74" t="s">
        <v>290</v>
      </c>
    </row>
    <row r="8" spans="2:12" x14ac:dyDescent="0.25">
      <c r="B8" s="229" t="s">
        <v>291</v>
      </c>
      <c r="C8">
        <v>3.5</v>
      </c>
      <c r="D8" s="74" t="s">
        <v>292</v>
      </c>
      <c r="H8" s="229" t="s">
        <v>384</v>
      </c>
      <c r="I8">
        <v>0.74</v>
      </c>
      <c r="J8" s="74" t="s">
        <v>385</v>
      </c>
    </row>
    <row r="9" spans="2:12" x14ac:dyDescent="0.25">
      <c r="B9" s="74" t="s">
        <v>293</v>
      </c>
      <c r="C9" s="228">
        <v>4.6399999999999997E-2</v>
      </c>
      <c r="D9" s="74" t="s">
        <v>290</v>
      </c>
      <c r="H9" s="74" t="s">
        <v>293</v>
      </c>
      <c r="I9" s="228">
        <v>4.6399999999999997E-2</v>
      </c>
      <c r="J9" s="74" t="s">
        <v>290</v>
      </c>
    </row>
    <row r="10" spans="2:12" x14ac:dyDescent="0.25">
      <c r="B10" s="74" t="s">
        <v>294</v>
      </c>
      <c r="C10" s="230">
        <v>1.7399999999999999E-2</v>
      </c>
      <c r="D10" s="74" t="s">
        <v>295</v>
      </c>
      <c r="H10" s="74" t="s">
        <v>294</v>
      </c>
      <c r="I10" s="230">
        <v>1.7399999999999999E-2</v>
      </c>
      <c r="J10" s="74" t="s">
        <v>295</v>
      </c>
    </row>
    <row r="11" spans="2:12" x14ac:dyDescent="0.25">
      <c r="H11" t="s">
        <v>387</v>
      </c>
      <c r="I11">
        <v>1.5</v>
      </c>
    </row>
    <row r="12" spans="2:12" x14ac:dyDescent="0.25">
      <c r="B12" s="231" t="s">
        <v>296</v>
      </c>
      <c r="C12" s="232">
        <f>C7+C8*C9+C10</f>
        <v>0.22929999999999998</v>
      </c>
      <c r="D12" s="74" t="s">
        <v>297</v>
      </c>
      <c r="H12" s="231" t="s">
        <v>392</v>
      </c>
      <c r="I12" s="232">
        <f>I7+I8*I9+I11*I10</f>
        <v>0.10993599999999999</v>
      </c>
      <c r="J12" s="74" t="s">
        <v>297</v>
      </c>
    </row>
    <row r="13" spans="2:12" x14ac:dyDescent="0.25">
      <c r="D13" s="74" t="s">
        <v>435</v>
      </c>
    </row>
  </sheetData>
  <mergeCells count="2">
    <mergeCell ref="B2:F2"/>
    <mergeCell ref="H2:L2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K22"/>
  <sheetViews>
    <sheetView workbookViewId="0">
      <selection activeCell="G16" sqref="G16"/>
    </sheetView>
  </sheetViews>
  <sheetFormatPr baseColWidth="10" defaultRowHeight="15" x14ac:dyDescent="0.25"/>
  <cols>
    <col min="2" max="2" width="14.7109375" customWidth="1"/>
    <col min="258" max="258" width="14.7109375" customWidth="1"/>
    <col min="514" max="514" width="14.7109375" customWidth="1"/>
    <col min="770" max="770" width="14.7109375" customWidth="1"/>
    <col min="1026" max="1026" width="14.7109375" customWidth="1"/>
    <col min="1282" max="1282" width="14.7109375" customWidth="1"/>
    <col min="1538" max="1538" width="14.7109375" customWidth="1"/>
    <col min="1794" max="1794" width="14.7109375" customWidth="1"/>
    <col min="2050" max="2050" width="14.7109375" customWidth="1"/>
    <col min="2306" max="2306" width="14.7109375" customWidth="1"/>
    <col min="2562" max="2562" width="14.7109375" customWidth="1"/>
    <col min="2818" max="2818" width="14.7109375" customWidth="1"/>
    <col min="3074" max="3074" width="14.7109375" customWidth="1"/>
    <col min="3330" max="3330" width="14.7109375" customWidth="1"/>
    <col min="3586" max="3586" width="14.7109375" customWidth="1"/>
    <col min="3842" max="3842" width="14.7109375" customWidth="1"/>
    <col min="4098" max="4098" width="14.7109375" customWidth="1"/>
    <col min="4354" max="4354" width="14.7109375" customWidth="1"/>
    <col min="4610" max="4610" width="14.7109375" customWidth="1"/>
    <col min="4866" max="4866" width="14.7109375" customWidth="1"/>
    <col min="5122" max="5122" width="14.7109375" customWidth="1"/>
    <col min="5378" max="5378" width="14.7109375" customWidth="1"/>
    <col min="5634" max="5634" width="14.7109375" customWidth="1"/>
    <col min="5890" max="5890" width="14.7109375" customWidth="1"/>
    <col min="6146" max="6146" width="14.7109375" customWidth="1"/>
    <col min="6402" max="6402" width="14.7109375" customWidth="1"/>
    <col min="6658" max="6658" width="14.7109375" customWidth="1"/>
    <col min="6914" max="6914" width="14.7109375" customWidth="1"/>
    <col min="7170" max="7170" width="14.7109375" customWidth="1"/>
    <col min="7426" max="7426" width="14.7109375" customWidth="1"/>
    <col min="7682" max="7682" width="14.7109375" customWidth="1"/>
    <col min="7938" max="7938" width="14.7109375" customWidth="1"/>
    <col min="8194" max="8194" width="14.7109375" customWidth="1"/>
    <col min="8450" max="8450" width="14.7109375" customWidth="1"/>
    <col min="8706" max="8706" width="14.7109375" customWidth="1"/>
    <col min="8962" max="8962" width="14.7109375" customWidth="1"/>
    <col min="9218" max="9218" width="14.7109375" customWidth="1"/>
    <col min="9474" max="9474" width="14.7109375" customWidth="1"/>
    <col min="9730" max="9730" width="14.7109375" customWidth="1"/>
    <col min="9986" max="9986" width="14.7109375" customWidth="1"/>
    <col min="10242" max="10242" width="14.7109375" customWidth="1"/>
    <col min="10498" max="10498" width="14.7109375" customWidth="1"/>
    <col min="10754" max="10754" width="14.7109375" customWidth="1"/>
    <col min="11010" max="11010" width="14.7109375" customWidth="1"/>
    <col min="11266" max="11266" width="14.7109375" customWidth="1"/>
    <col min="11522" max="11522" width="14.7109375" customWidth="1"/>
    <col min="11778" max="11778" width="14.7109375" customWidth="1"/>
    <col min="12034" max="12034" width="14.7109375" customWidth="1"/>
    <col min="12290" max="12290" width="14.7109375" customWidth="1"/>
    <col min="12546" max="12546" width="14.7109375" customWidth="1"/>
    <col min="12802" max="12802" width="14.7109375" customWidth="1"/>
    <col min="13058" max="13058" width="14.7109375" customWidth="1"/>
    <col min="13314" max="13314" width="14.7109375" customWidth="1"/>
    <col min="13570" max="13570" width="14.7109375" customWidth="1"/>
    <col min="13826" max="13826" width="14.7109375" customWidth="1"/>
    <col min="14082" max="14082" width="14.7109375" customWidth="1"/>
    <col min="14338" max="14338" width="14.7109375" customWidth="1"/>
    <col min="14594" max="14594" width="14.7109375" customWidth="1"/>
    <col min="14850" max="14850" width="14.7109375" customWidth="1"/>
    <col min="15106" max="15106" width="14.7109375" customWidth="1"/>
    <col min="15362" max="15362" width="14.7109375" customWidth="1"/>
    <col min="15618" max="15618" width="14.7109375" customWidth="1"/>
    <col min="15874" max="15874" width="14.7109375" customWidth="1"/>
    <col min="16130" max="16130" width="14.7109375" customWidth="1"/>
  </cols>
  <sheetData>
    <row r="1" spans="2:11" ht="15.75" thickBot="1" x14ac:dyDescent="0.3"/>
    <row r="2" spans="2:11" ht="15.75" thickBot="1" x14ac:dyDescent="0.3">
      <c r="B2" s="507" t="s">
        <v>298</v>
      </c>
      <c r="C2" s="508"/>
      <c r="D2" s="508"/>
      <c r="E2" s="509"/>
      <c r="G2" s="510" t="s">
        <v>299</v>
      </c>
      <c r="H2" s="511"/>
      <c r="I2" s="511"/>
      <c r="J2" s="511"/>
      <c r="K2" s="512"/>
    </row>
    <row r="4" spans="2:11" ht="15.75" x14ac:dyDescent="0.25">
      <c r="B4" s="233" t="s">
        <v>300</v>
      </c>
      <c r="G4" s="234" t="s">
        <v>301</v>
      </c>
    </row>
    <row r="6" spans="2:11" ht="15.75" x14ac:dyDescent="0.25">
      <c r="B6" s="227" t="s">
        <v>180</v>
      </c>
      <c r="G6" s="227" t="s">
        <v>302</v>
      </c>
    </row>
    <row r="7" spans="2:11" ht="15.75" x14ac:dyDescent="0.25">
      <c r="B7" s="227" t="s">
        <v>303</v>
      </c>
      <c r="C7" s="235">
        <v>4.9500000000000002E-2</v>
      </c>
      <c r="G7" s="234" t="s">
        <v>304</v>
      </c>
      <c r="H7" s="127">
        <f>'Inversión inicial'!H64/'Inversión inicial'!F64</f>
        <v>0.45746230879451133</v>
      </c>
      <c r="I7" s="74" t="s">
        <v>305</v>
      </c>
    </row>
    <row r="8" spans="2:11" ht="15.75" x14ac:dyDescent="0.25">
      <c r="B8" s="236" t="s">
        <v>306</v>
      </c>
      <c r="C8" s="237">
        <f>C22</f>
        <v>3.660973394530318</v>
      </c>
      <c r="G8" s="234" t="s">
        <v>307</v>
      </c>
      <c r="H8" s="148">
        <f>C12</f>
        <v>0.23676916550620672</v>
      </c>
    </row>
    <row r="9" spans="2:11" ht="15.75" x14ac:dyDescent="0.25">
      <c r="B9" s="227" t="s">
        <v>308</v>
      </c>
      <c r="C9" s="235">
        <v>4.6399999999999997E-2</v>
      </c>
      <c r="G9" s="234" t="s">
        <v>309</v>
      </c>
      <c r="H9" s="127">
        <f>1-H7</f>
        <v>0.54253769120548867</v>
      </c>
      <c r="I9" s="74" t="s">
        <v>310</v>
      </c>
    </row>
    <row r="10" spans="2:11" ht="15.75" x14ac:dyDescent="0.25">
      <c r="B10" s="227" t="s">
        <v>311</v>
      </c>
      <c r="C10" s="148">
        <f>+'COK=Ku'!C10</f>
        <v>1.7399999999999999E-2</v>
      </c>
      <c r="G10" s="234" t="s">
        <v>312</v>
      </c>
      <c r="H10" s="148">
        <f>+Costo_Deuda!E4</f>
        <v>0.17399999999999999</v>
      </c>
    </row>
    <row r="11" spans="2:11" ht="15.75" x14ac:dyDescent="0.25">
      <c r="B11" s="227"/>
      <c r="C11" s="148"/>
      <c r="G11" s="234" t="s">
        <v>313</v>
      </c>
      <c r="H11" s="238">
        <f>C20</f>
        <v>0.29330000000000001</v>
      </c>
    </row>
    <row r="12" spans="2:11" ht="15.75" x14ac:dyDescent="0.25">
      <c r="B12" s="239" t="s">
        <v>307</v>
      </c>
      <c r="C12" s="240">
        <f>C7+C8*(C9)+C10</f>
        <v>0.23676916550620672</v>
      </c>
      <c r="D12" t="s">
        <v>435</v>
      </c>
      <c r="E12" s="241"/>
      <c r="G12" s="234"/>
    </row>
    <row r="13" spans="2:11" ht="16.5" thickBot="1" x14ac:dyDescent="0.3">
      <c r="B13" s="227"/>
      <c r="C13" s="148"/>
      <c r="G13" s="239" t="s">
        <v>314</v>
      </c>
      <c r="H13" s="232">
        <f>H7*H8+H9*H10*(1-H11)</f>
        <v>0.17502655033305498</v>
      </c>
      <c r="I13" t="s">
        <v>435</v>
      </c>
    </row>
    <row r="14" spans="2:11" ht="16.5" thickBot="1" x14ac:dyDescent="0.3">
      <c r="B14" s="513" t="s">
        <v>315</v>
      </c>
      <c r="C14" s="514"/>
      <c r="D14" s="514"/>
      <c r="E14" s="515"/>
      <c r="G14" s="242"/>
    </row>
    <row r="15" spans="2:11" ht="18.75" x14ac:dyDescent="0.25">
      <c r="B15" s="242" t="s">
        <v>316</v>
      </c>
    </row>
    <row r="16" spans="2:11" ht="15.75" x14ac:dyDescent="0.25">
      <c r="B16" s="227" t="s">
        <v>317</v>
      </c>
    </row>
    <row r="17" spans="2:7" ht="15.75" x14ac:dyDescent="0.25">
      <c r="B17" s="236"/>
    </row>
    <row r="18" spans="2:7" ht="19.5" x14ac:dyDescent="0.25">
      <c r="B18" s="236" t="s">
        <v>318</v>
      </c>
      <c r="C18">
        <f>+'COK=Ku'!C8</f>
        <v>3.5</v>
      </c>
      <c r="E18" s="74"/>
    </row>
    <row r="19" spans="2:7" ht="18.75" x14ac:dyDescent="0.25">
      <c r="B19" s="227" t="s">
        <v>319</v>
      </c>
      <c r="C19" s="127">
        <f>'Inversión inicial'!H65/'Inversión inicial'!G65</f>
        <v>0.84318991327230264</v>
      </c>
    </row>
    <row r="20" spans="2:7" ht="15.75" x14ac:dyDescent="0.25">
      <c r="B20" s="227" t="s">
        <v>320</v>
      </c>
      <c r="C20" s="238">
        <v>0.29330000000000001</v>
      </c>
    </row>
    <row r="21" spans="2:7" x14ac:dyDescent="0.25">
      <c r="G21" s="148"/>
    </row>
    <row r="22" spans="2:7" ht="15.75" x14ac:dyDescent="0.25">
      <c r="B22" s="227" t="s">
        <v>321</v>
      </c>
      <c r="C22" s="237">
        <f>C18*(1+ C20*(1-C19))</f>
        <v>3.660973394530318</v>
      </c>
    </row>
  </sheetData>
  <mergeCells count="3">
    <mergeCell ref="B2:E2"/>
    <mergeCell ref="G2:K2"/>
    <mergeCell ref="B14:E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G29"/>
  <sheetViews>
    <sheetView topLeftCell="A13" workbookViewId="0">
      <selection activeCell="C30" sqref="C30"/>
    </sheetView>
  </sheetViews>
  <sheetFormatPr baseColWidth="10" defaultRowHeight="15" x14ac:dyDescent="0.25"/>
  <cols>
    <col min="2" max="2" width="32.28515625" customWidth="1"/>
    <col min="3" max="3" width="11.85546875" customWidth="1"/>
    <col min="4" max="4" width="11" customWidth="1"/>
    <col min="5" max="5" width="10.42578125" customWidth="1"/>
    <col min="6" max="6" width="10" customWidth="1"/>
  </cols>
  <sheetData>
    <row r="2" spans="2:7" x14ac:dyDescent="0.25">
      <c r="B2" s="446" t="s">
        <v>377</v>
      </c>
      <c r="C2" s="446"/>
      <c r="D2" s="446"/>
      <c r="E2" s="446"/>
      <c r="F2" s="446"/>
    </row>
    <row r="3" spans="2:7" x14ac:dyDescent="0.25">
      <c r="B3" s="21"/>
      <c r="C3" s="21"/>
      <c r="D3" s="21"/>
      <c r="E3" s="21"/>
      <c r="F3" s="21"/>
    </row>
    <row r="4" spans="2:7" x14ac:dyDescent="0.25">
      <c r="B4" s="403" t="s">
        <v>23</v>
      </c>
      <c r="C4" s="403" t="s">
        <v>322</v>
      </c>
      <c r="D4" s="403" t="s">
        <v>323</v>
      </c>
      <c r="E4" s="403" t="s">
        <v>324</v>
      </c>
      <c r="F4" s="403" t="s">
        <v>325</v>
      </c>
    </row>
    <row r="5" spans="2:7" x14ac:dyDescent="0.25">
      <c r="B5" s="397" t="s">
        <v>401</v>
      </c>
      <c r="C5" s="395">
        <f>-'Inversión inicial'!F8</f>
        <v>-11504.027777777777</v>
      </c>
      <c r="D5" s="395"/>
      <c r="E5" s="395">
        <f>-Depreciación!C6</f>
        <v>-1270.6944444444446</v>
      </c>
      <c r="F5" s="395"/>
    </row>
    <row r="6" spans="2:7" x14ac:dyDescent="0.25">
      <c r="B6" s="397" t="s">
        <v>402</v>
      </c>
      <c r="C6" s="395">
        <f>-'Inversión inicial'!F35</f>
        <v>-643.05555555555554</v>
      </c>
      <c r="D6" s="395"/>
      <c r="E6" s="395"/>
      <c r="F6" s="395"/>
    </row>
    <row r="7" spans="2:7" x14ac:dyDescent="0.25">
      <c r="B7" s="397" t="s">
        <v>403</v>
      </c>
      <c r="C7" s="395">
        <f>-Capital_Trabajo!C75</f>
        <v>-15481.309472222223</v>
      </c>
      <c r="D7" s="395">
        <f>-Capital_Trabajo!D75</f>
        <v>-377.65735277778003</v>
      </c>
      <c r="E7" s="395">
        <f>-Capital_Trabajo!E75</f>
        <v>-561.38909777777371</v>
      </c>
      <c r="F7" s="395"/>
    </row>
    <row r="8" spans="2:7" x14ac:dyDescent="0.25">
      <c r="B8" s="397" t="s">
        <v>404</v>
      </c>
      <c r="C8" s="395"/>
      <c r="D8" s="395"/>
      <c r="E8" s="395"/>
      <c r="F8" s="395">
        <f>-SUM(C7:E7)</f>
        <v>16420.355922777777</v>
      </c>
    </row>
    <row r="9" spans="2:7" x14ac:dyDescent="0.25">
      <c r="B9" s="397" t="s">
        <v>405</v>
      </c>
      <c r="C9" s="395"/>
      <c r="D9" s="395"/>
      <c r="E9" s="395"/>
      <c r="F9" s="395">
        <f>Depreciación!H9</f>
        <v>2906.458333333333</v>
      </c>
    </row>
    <row r="10" spans="2:7" x14ac:dyDescent="0.25">
      <c r="B10" s="398" t="s">
        <v>406</v>
      </c>
      <c r="C10" s="399">
        <f t="shared" ref="C10:F10" si="0">SUM(C5:C9)</f>
        <v>-27628.392805555555</v>
      </c>
      <c r="D10" s="399">
        <f t="shared" si="0"/>
        <v>-377.65735277778003</v>
      </c>
      <c r="E10" s="399">
        <f t="shared" si="0"/>
        <v>-1832.0835422222183</v>
      </c>
      <c r="F10" s="399">
        <f t="shared" si="0"/>
        <v>19326.814256111109</v>
      </c>
    </row>
    <row r="11" spans="2:7" x14ac:dyDescent="0.25">
      <c r="B11" s="397" t="s">
        <v>326</v>
      </c>
      <c r="C11" s="395"/>
      <c r="D11" s="399">
        <f>+'Estado de resultados'!C7</f>
        <v>211916.28862222252</v>
      </c>
      <c r="E11" s="399">
        <f>+'Estado de resultados'!D7</f>
        <v>219186.60864296334</v>
      </c>
      <c r="F11" s="399">
        <f>+'Estado de resultados'!E7</f>
        <v>230203.14243614851</v>
      </c>
    </row>
    <row r="12" spans="2:7" x14ac:dyDescent="0.25">
      <c r="B12" s="397" t="s">
        <v>327</v>
      </c>
      <c r="C12" s="395"/>
      <c r="D12" s="395">
        <f>+'Estado de resultados'!C9</f>
        <v>-130785.71366666668</v>
      </c>
      <c r="E12" s="395">
        <f>+'Estado de resultados'!D9</f>
        <v>-135317.60190000001</v>
      </c>
      <c r="F12" s="395">
        <f>+'Estado de resultados'!E9</f>
        <v>-142054.27107333334</v>
      </c>
    </row>
    <row r="13" spans="2:7" x14ac:dyDescent="0.25">
      <c r="B13" s="397" t="s">
        <v>413</v>
      </c>
      <c r="C13" s="395"/>
      <c r="D13" s="395">
        <f>+-'Gastos operativos'!$H$21*12</f>
        <v>-55054.305555555547</v>
      </c>
      <c r="E13" s="395">
        <f>+-'Gastos operativos'!$H$21*12</f>
        <v>-55054.305555555547</v>
      </c>
      <c r="F13" s="395">
        <f>+-'Gastos operativos'!$H$21*12</f>
        <v>-55054.305555555547</v>
      </c>
    </row>
    <row r="14" spans="2:7" x14ac:dyDescent="0.25">
      <c r="B14" s="397" t="s">
        <v>414</v>
      </c>
      <c r="C14" s="395"/>
      <c r="D14" s="395">
        <f>+'Estado de resultados'!C19</f>
        <v>-3147.1201905926791</v>
      </c>
      <c r="E14" s="395">
        <f>+'Estado de resultados'!D19</f>
        <v>-3954.9575678778892</v>
      </c>
      <c r="F14" s="395">
        <f>+'Estado de resultados'!E19</f>
        <v>-5217.5176307341817</v>
      </c>
    </row>
    <row r="15" spans="2:7" x14ac:dyDescent="0.25">
      <c r="B15" s="398" t="s">
        <v>407</v>
      </c>
      <c r="C15" s="399"/>
      <c r="D15" s="399">
        <f>SUM(D11:D14)</f>
        <v>22929.149209407617</v>
      </c>
      <c r="E15" s="399">
        <f>SUM(E11:E14)</f>
        <v>24859.743619529898</v>
      </c>
      <c r="F15" s="399">
        <f>SUM(F11:F14)</f>
        <v>27877.048176525444</v>
      </c>
    </row>
    <row r="16" spans="2:7" x14ac:dyDescent="0.25">
      <c r="B16" s="400" t="s">
        <v>408</v>
      </c>
      <c r="C16" s="401">
        <f>C10+C15</f>
        <v>-27628.392805555555</v>
      </c>
      <c r="D16" s="401">
        <f>D10+D15</f>
        <v>22551.491856629837</v>
      </c>
      <c r="E16" s="401">
        <f>E10+E15</f>
        <v>23027.660077307679</v>
      </c>
      <c r="F16" s="401">
        <f>F10+F15</f>
        <v>47203.862432636553</v>
      </c>
      <c r="G16" s="243"/>
    </row>
    <row r="17" spans="2:7" x14ac:dyDescent="0.25">
      <c r="B17" s="397" t="s">
        <v>416</v>
      </c>
      <c r="C17" s="399"/>
      <c r="D17" s="399"/>
      <c r="E17" s="399"/>
      <c r="F17" s="399"/>
      <c r="G17" s="243"/>
    </row>
    <row r="18" spans="2:7" x14ac:dyDescent="0.25">
      <c r="B18" s="397" t="s">
        <v>417</v>
      </c>
      <c r="C18" s="399"/>
      <c r="D18" s="399"/>
      <c r="E18" s="399"/>
      <c r="F18" s="399"/>
      <c r="G18" s="243"/>
    </row>
    <row r="19" spans="2:7" x14ac:dyDescent="0.25">
      <c r="B19" s="398"/>
      <c r="C19" s="399"/>
      <c r="D19" s="399"/>
      <c r="E19" s="399"/>
      <c r="F19" s="399"/>
      <c r="G19" s="243"/>
    </row>
    <row r="20" spans="2:7" x14ac:dyDescent="0.25">
      <c r="B20" s="431" t="s">
        <v>31</v>
      </c>
      <c r="C20" s="432">
        <f>+Costo_Deuda!E3</f>
        <v>12638.94836111111</v>
      </c>
      <c r="D20" s="432"/>
      <c r="E20" s="432"/>
      <c r="F20" s="432"/>
    </row>
    <row r="21" spans="2:7" x14ac:dyDescent="0.25">
      <c r="B21" s="397" t="s">
        <v>409</v>
      </c>
      <c r="C21" s="395"/>
      <c r="D21" s="395">
        <f>+-Costo_Deuda!K14</f>
        <v>-5899.7917006599637</v>
      </c>
      <c r="E21" s="395">
        <f>+-Costo_Deuda!K16</f>
        <v>-6739.1566604511481</v>
      </c>
      <c r="F21" s="395"/>
    </row>
    <row r="22" spans="2:7" x14ac:dyDescent="0.25">
      <c r="B22" s="397" t="s">
        <v>410</v>
      </c>
      <c r="C22" s="395"/>
      <c r="D22" s="395">
        <f>-Costo_Deuda!J18</f>
        <v>-1337.5506638076076</v>
      </c>
      <c r="E22" s="395">
        <f>-Costo_Deuda!J20</f>
        <v>-498.18570401642251</v>
      </c>
      <c r="F22" s="395"/>
    </row>
    <row r="23" spans="2:7" x14ac:dyDescent="0.25">
      <c r="B23" s="397" t="s">
        <v>328</v>
      </c>
      <c r="C23" s="395"/>
      <c r="D23" s="395">
        <f>-+Resumen!$C$12*'FLUJO DE CAJA'!D22</f>
        <v>394.5774458232442</v>
      </c>
      <c r="E23" s="395">
        <f>-+Resumen!$C$12*'FLUJO DE CAJA'!E22</f>
        <v>146.96478268484464</v>
      </c>
      <c r="F23" s="395"/>
    </row>
    <row r="24" spans="2:7" x14ac:dyDescent="0.25">
      <c r="B24" s="433" t="s">
        <v>411</v>
      </c>
      <c r="C24" s="434">
        <f t="shared" ref="C24" si="1">SUM(C20:C23)</f>
        <v>12638.94836111111</v>
      </c>
      <c r="D24" s="434">
        <f>SUM(D20:D23)</f>
        <v>-6842.7649186443268</v>
      </c>
      <c r="E24" s="434">
        <f>SUM(E20:E23)</f>
        <v>-7090.3775817827254</v>
      </c>
      <c r="F24" s="434"/>
    </row>
    <row r="25" spans="2:7" x14ac:dyDescent="0.25">
      <c r="B25" s="400" t="s">
        <v>412</v>
      </c>
      <c r="C25" s="401">
        <f>C16+C24</f>
        <v>-14989.444444444445</v>
      </c>
      <c r="D25" s="401">
        <f>D16+D24</f>
        <v>15708.72693798551</v>
      </c>
      <c r="E25" s="401">
        <f>E16+E24</f>
        <v>15937.282495524953</v>
      </c>
      <c r="F25" s="401">
        <f>F16+F24</f>
        <v>47203.862432636553</v>
      </c>
    </row>
    <row r="26" spans="2:7" ht="9" customHeight="1" x14ac:dyDescent="0.25">
      <c r="B26" s="358"/>
      <c r="C26" s="396"/>
      <c r="D26" s="396"/>
      <c r="E26" s="396"/>
      <c r="F26" s="396"/>
    </row>
    <row r="27" spans="2:7" x14ac:dyDescent="0.25">
      <c r="B27" s="400" t="s">
        <v>415</v>
      </c>
      <c r="C27" s="402">
        <f>C16+C23</f>
        <v>-27628.392805555555</v>
      </c>
      <c r="D27" s="402">
        <f>D16+D23</f>
        <v>22946.069302453081</v>
      </c>
      <c r="E27" s="402">
        <f>E16+E23</f>
        <v>23174.624859992524</v>
      </c>
      <c r="F27" s="402">
        <f>F16+F23</f>
        <v>47203.862432636553</v>
      </c>
    </row>
    <row r="28" spans="2:7" x14ac:dyDescent="0.25">
      <c r="B28" s="397" t="s">
        <v>416</v>
      </c>
      <c r="C28" s="358"/>
      <c r="D28" s="358"/>
      <c r="E28" s="358"/>
      <c r="F28" s="358"/>
    </row>
    <row r="29" spans="2:7" x14ac:dyDescent="0.25">
      <c r="B29" s="397" t="s">
        <v>417</v>
      </c>
      <c r="C29" s="358"/>
      <c r="D29" s="358"/>
      <c r="E29" s="358"/>
      <c r="F29" s="358"/>
    </row>
  </sheetData>
  <mergeCells count="1">
    <mergeCell ref="B2:F2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P27"/>
  <sheetViews>
    <sheetView topLeftCell="A10" workbookViewId="0">
      <selection activeCell="D21" sqref="D21"/>
    </sheetView>
  </sheetViews>
  <sheetFormatPr baseColWidth="10" defaultRowHeight="15" x14ac:dyDescent="0.25"/>
  <cols>
    <col min="1" max="1" width="3.5703125" customWidth="1"/>
    <col min="2" max="2" width="3.28515625" customWidth="1"/>
    <col min="3" max="3" width="22" customWidth="1"/>
    <col min="4" max="4" width="10.42578125" customWidth="1"/>
    <col min="5" max="5" width="8.140625" customWidth="1"/>
    <col min="7" max="7" width="21.28515625" customWidth="1"/>
    <col min="8" max="8" width="10.28515625" customWidth="1"/>
    <col min="9" max="9" width="8.140625" customWidth="1"/>
    <col min="257" max="257" width="3.5703125" customWidth="1"/>
    <col min="258" max="258" width="3.28515625" customWidth="1"/>
    <col min="259" max="259" width="20.85546875" customWidth="1"/>
    <col min="260" max="260" width="11.85546875" bestFit="1" customWidth="1"/>
    <col min="263" max="263" width="11.7109375" bestFit="1" customWidth="1"/>
    <col min="264" max="264" width="12.85546875" bestFit="1" customWidth="1"/>
    <col min="513" max="513" width="3.5703125" customWidth="1"/>
    <col min="514" max="514" width="3.28515625" customWidth="1"/>
    <col min="515" max="515" width="20.85546875" customWidth="1"/>
    <col min="516" max="516" width="11.85546875" bestFit="1" customWidth="1"/>
    <col min="519" max="519" width="11.7109375" bestFit="1" customWidth="1"/>
    <col min="520" max="520" width="12.85546875" bestFit="1" customWidth="1"/>
    <col min="769" max="769" width="3.5703125" customWidth="1"/>
    <col min="770" max="770" width="3.28515625" customWidth="1"/>
    <col min="771" max="771" width="20.85546875" customWidth="1"/>
    <col min="772" max="772" width="11.85546875" bestFit="1" customWidth="1"/>
    <col min="775" max="775" width="11.7109375" bestFit="1" customWidth="1"/>
    <col min="776" max="776" width="12.85546875" bestFit="1" customWidth="1"/>
    <col min="1025" max="1025" width="3.5703125" customWidth="1"/>
    <col min="1026" max="1026" width="3.28515625" customWidth="1"/>
    <col min="1027" max="1027" width="20.85546875" customWidth="1"/>
    <col min="1028" max="1028" width="11.85546875" bestFit="1" customWidth="1"/>
    <col min="1031" max="1031" width="11.7109375" bestFit="1" customWidth="1"/>
    <col min="1032" max="1032" width="12.85546875" bestFit="1" customWidth="1"/>
    <col min="1281" max="1281" width="3.5703125" customWidth="1"/>
    <col min="1282" max="1282" width="3.28515625" customWidth="1"/>
    <col min="1283" max="1283" width="20.85546875" customWidth="1"/>
    <col min="1284" max="1284" width="11.85546875" bestFit="1" customWidth="1"/>
    <col min="1287" max="1287" width="11.7109375" bestFit="1" customWidth="1"/>
    <col min="1288" max="1288" width="12.85546875" bestFit="1" customWidth="1"/>
    <col min="1537" max="1537" width="3.5703125" customWidth="1"/>
    <col min="1538" max="1538" width="3.28515625" customWidth="1"/>
    <col min="1539" max="1539" width="20.85546875" customWidth="1"/>
    <col min="1540" max="1540" width="11.85546875" bestFit="1" customWidth="1"/>
    <col min="1543" max="1543" width="11.7109375" bestFit="1" customWidth="1"/>
    <col min="1544" max="1544" width="12.85546875" bestFit="1" customWidth="1"/>
    <col min="1793" max="1793" width="3.5703125" customWidth="1"/>
    <col min="1794" max="1794" width="3.28515625" customWidth="1"/>
    <col min="1795" max="1795" width="20.85546875" customWidth="1"/>
    <col min="1796" max="1796" width="11.85546875" bestFit="1" customWidth="1"/>
    <col min="1799" max="1799" width="11.7109375" bestFit="1" customWidth="1"/>
    <col min="1800" max="1800" width="12.85546875" bestFit="1" customWidth="1"/>
    <col min="2049" max="2049" width="3.5703125" customWidth="1"/>
    <col min="2050" max="2050" width="3.28515625" customWidth="1"/>
    <col min="2051" max="2051" width="20.85546875" customWidth="1"/>
    <col min="2052" max="2052" width="11.85546875" bestFit="1" customWidth="1"/>
    <col min="2055" max="2055" width="11.7109375" bestFit="1" customWidth="1"/>
    <col min="2056" max="2056" width="12.85546875" bestFit="1" customWidth="1"/>
    <col min="2305" max="2305" width="3.5703125" customWidth="1"/>
    <col min="2306" max="2306" width="3.28515625" customWidth="1"/>
    <col min="2307" max="2307" width="20.85546875" customWidth="1"/>
    <col min="2308" max="2308" width="11.85546875" bestFit="1" customWidth="1"/>
    <col min="2311" max="2311" width="11.7109375" bestFit="1" customWidth="1"/>
    <col min="2312" max="2312" width="12.85546875" bestFit="1" customWidth="1"/>
    <col min="2561" max="2561" width="3.5703125" customWidth="1"/>
    <col min="2562" max="2562" width="3.28515625" customWidth="1"/>
    <col min="2563" max="2563" width="20.85546875" customWidth="1"/>
    <col min="2564" max="2564" width="11.85546875" bestFit="1" customWidth="1"/>
    <col min="2567" max="2567" width="11.7109375" bestFit="1" customWidth="1"/>
    <col min="2568" max="2568" width="12.85546875" bestFit="1" customWidth="1"/>
    <col min="2817" max="2817" width="3.5703125" customWidth="1"/>
    <col min="2818" max="2818" width="3.28515625" customWidth="1"/>
    <col min="2819" max="2819" width="20.85546875" customWidth="1"/>
    <col min="2820" max="2820" width="11.85546875" bestFit="1" customWidth="1"/>
    <col min="2823" max="2823" width="11.7109375" bestFit="1" customWidth="1"/>
    <col min="2824" max="2824" width="12.85546875" bestFit="1" customWidth="1"/>
    <col min="3073" max="3073" width="3.5703125" customWidth="1"/>
    <col min="3074" max="3074" width="3.28515625" customWidth="1"/>
    <col min="3075" max="3075" width="20.85546875" customWidth="1"/>
    <col min="3076" max="3076" width="11.85546875" bestFit="1" customWidth="1"/>
    <col min="3079" max="3079" width="11.7109375" bestFit="1" customWidth="1"/>
    <col min="3080" max="3080" width="12.85546875" bestFit="1" customWidth="1"/>
    <col min="3329" max="3329" width="3.5703125" customWidth="1"/>
    <col min="3330" max="3330" width="3.28515625" customWidth="1"/>
    <col min="3331" max="3331" width="20.85546875" customWidth="1"/>
    <col min="3332" max="3332" width="11.85546875" bestFit="1" customWidth="1"/>
    <col min="3335" max="3335" width="11.7109375" bestFit="1" customWidth="1"/>
    <col min="3336" max="3336" width="12.85546875" bestFit="1" customWidth="1"/>
    <col min="3585" max="3585" width="3.5703125" customWidth="1"/>
    <col min="3586" max="3586" width="3.28515625" customWidth="1"/>
    <col min="3587" max="3587" width="20.85546875" customWidth="1"/>
    <col min="3588" max="3588" width="11.85546875" bestFit="1" customWidth="1"/>
    <col min="3591" max="3591" width="11.7109375" bestFit="1" customWidth="1"/>
    <col min="3592" max="3592" width="12.85546875" bestFit="1" customWidth="1"/>
    <col min="3841" max="3841" width="3.5703125" customWidth="1"/>
    <col min="3842" max="3842" width="3.28515625" customWidth="1"/>
    <col min="3843" max="3843" width="20.85546875" customWidth="1"/>
    <col min="3844" max="3844" width="11.85546875" bestFit="1" customWidth="1"/>
    <col min="3847" max="3847" width="11.7109375" bestFit="1" customWidth="1"/>
    <col min="3848" max="3848" width="12.85546875" bestFit="1" customWidth="1"/>
    <col min="4097" max="4097" width="3.5703125" customWidth="1"/>
    <col min="4098" max="4098" width="3.28515625" customWidth="1"/>
    <col min="4099" max="4099" width="20.85546875" customWidth="1"/>
    <col min="4100" max="4100" width="11.85546875" bestFit="1" customWidth="1"/>
    <col min="4103" max="4103" width="11.7109375" bestFit="1" customWidth="1"/>
    <col min="4104" max="4104" width="12.85546875" bestFit="1" customWidth="1"/>
    <col min="4353" max="4353" width="3.5703125" customWidth="1"/>
    <col min="4354" max="4354" width="3.28515625" customWidth="1"/>
    <col min="4355" max="4355" width="20.85546875" customWidth="1"/>
    <col min="4356" max="4356" width="11.85546875" bestFit="1" customWidth="1"/>
    <col min="4359" max="4359" width="11.7109375" bestFit="1" customWidth="1"/>
    <col min="4360" max="4360" width="12.85546875" bestFit="1" customWidth="1"/>
    <col min="4609" max="4609" width="3.5703125" customWidth="1"/>
    <col min="4610" max="4610" width="3.28515625" customWidth="1"/>
    <col min="4611" max="4611" width="20.85546875" customWidth="1"/>
    <col min="4612" max="4612" width="11.85546875" bestFit="1" customWidth="1"/>
    <col min="4615" max="4615" width="11.7109375" bestFit="1" customWidth="1"/>
    <col min="4616" max="4616" width="12.85546875" bestFit="1" customWidth="1"/>
    <col min="4865" max="4865" width="3.5703125" customWidth="1"/>
    <col min="4866" max="4866" width="3.28515625" customWidth="1"/>
    <col min="4867" max="4867" width="20.85546875" customWidth="1"/>
    <col min="4868" max="4868" width="11.85546875" bestFit="1" customWidth="1"/>
    <col min="4871" max="4871" width="11.7109375" bestFit="1" customWidth="1"/>
    <col min="4872" max="4872" width="12.85546875" bestFit="1" customWidth="1"/>
    <col min="5121" max="5121" width="3.5703125" customWidth="1"/>
    <col min="5122" max="5122" width="3.28515625" customWidth="1"/>
    <col min="5123" max="5123" width="20.85546875" customWidth="1"/>
    <col min="5124" max="5124" width="11.85546875" bestFit="1" customWidth="1"/>
    <col min="5127" max="5127" width="11.7109375" bestFit="1" customWidth="1"/>
    <col min="5128" max="5128" width="12.85546875" bestFit="1" customWidth="1"/>
    <col min="5377" max="5377" width="3.5703125" customWidth="1"/>
    <col min="5378" max="5378" width="3.28515625" customWidth="1"/>
    <col min="5379" max="5379" width="20.85546875" customWidth="1"/>
    <col min="5380" max="5380" width="11.85546875" bestFit="1" customWidth="1"/>
    <col min="5383" max="5383" width="11.7109375" bestFit="1" customWidth="1"/>
    <col min="5384" max="5384" width="12.85546875" bestFit="1" customWidth="1"/>
    <col min="5633" max="5633" width="3.5703125" customWidth="1"/>
    <col min="5634" max="5634" width="3.28515625" customWidth="1"/>
    <col min="5635" max="5635" width="20.85546875" customWidth="1"/>
    <col min="5636" max="5636" width="11.85546875" bestFit="1" customWidth="1"/>
    <col min="5639" max="5639" width="11.7109375" bestFit="1" customWidth="1"/>
    <col min="5640" max="5640" width="12.85546875" bestFit="1" customWidth="1"/>
    <col min="5889" max="5889" width="3.5703125" customWidth="1"/>
    <col min="5890" max="5890" width="3.28515625" customWidth="1"/>
    <col min="5891" max="5891" width="20.85546875" customWidth="1"/>
    <col min="5892" max="5892" width="11.85546875" bestFit="1" customWidth="1"/>
    <col min="5895" max="5895" width="11.7109375" bestFit="1" customWidth="1"/>
    <col min="5896" max="5896" width="12.85546875" bestFit="1" customWidth="1"/>
    <col min="6145" max="6145" width="3.5703125" customWidth="1"/>
    <col min="6146" max="6146" width="3.28515625" customWidth="1"/>
    <col min="6147" max="6147" width="20.85546875" customWidth="1"/>
    <col min="6148" max="6148" width="11.85546875" bestFit="1" customWidth="1"/>
    <col min="6151" max="6151" width="11.7109375" bestFit="1" customWidth="1"/>
    <col min="6152" max="6152" width="12.85546875" bestFit="1" customWidth="1"/>
    <col min="6401" max="6401" width="3.5703125" customWidth="1"/>
    <col min="6402" max="6402" width="3.28515625" customWidth="1"/>
    <col min="6403" max="6403" width="20.85546875" customWidth="1"/>
    <col min="6404" max="6404" width="11.85546875" bestFit="1" customWidth="1"/>
    <col min="6407" max="6407" width="11.7109375" bestFit="1" customWidth="1"/>
    <col min="6408" max="6408" width="12.85546875" bestFit="1" customWidth="1"/>
    <col min="6657" max="6657" width="3.5703125" customWidth="1"/>
    <col min="6658" max="6658" width="3.28515625" customWidth="1"/>
    <col min="6659" max="6659" width="20.85546875" customWidth="1"/>
    <col min="6660" max="6660" width="11.85546875" bestFit="1" customWidth="1"/>
    <col min="6663" max="6663" width="11.7109375" bestFit="1" customWidth="1"/>
    <col min="6664" max="6664" width="12.85546875" bestFit="1" customWidth="1"/>
    <col min="6913" max="6913" width="3.5703125" customWidth="1"/>
    <col min="6914" max="6914" width="3.28515625" customWidth="1"/>
    <col min="6915" max="6915" width="20.85546875" customWidth="1"/>
    <col min="6916" max="6916" width="11.85546875" bestFit="1" customWidth="1"/>
    <col min="6919" max="6919" width="11.7109375" bestFit="1" customWidth="1"/>
    <col min="6920" max="6920" width="12.85546875" bestFit="1" customWidth="1"/>
    <col min="7169" max="7169" width="3.5703125" customWidth="1"/>
    <col min="7170" max="7170" width="3.28515625" customWidth="1"/>
    <col min="7171" max="7171" width="20.85546875" customWidth="1"/>
    <col min="7172" max="7172" width="11.85546875" bestFit="1" customWidth="1"/>
    <col min="7175" max="7175" width="11.7109375" bestFit="1" customWidth="1"/>
    <col min="7176" max="7176" width="12.85546875" bestFit="1" customWidth="1"/>
    <col min="7425" max="7425" width="3.5703125" customWidth="1"/>
    <col min="7426" max="7426" width="3.28515625" customWidth="1"/>
    <col min="7427" max="7427" width="20.85546875" customWidth="1"/>
    <col min="7428" max="7428" width="11.85546875" bestFit="1" customWidth="1"/>
    <col min="7431" max="7431" width="11.7109375" bestFit="1" customWidth="1"/>
    <col min="7432" max="7432" width="12.85546875" bestFit="1" customWidth="1"/>
    <col min="7681" max="7681" width="3.5703125" customWidth="1"/>
    <col min="7682" max="7682" width="3.28515625" customWidth="1"/>
    <col min="7683" max="7683" width="20.85546875" customWidth="1"/>
    <col min="7684" max="7684" width="11.85546875" bestFit="1" customWidth="1"/>
    <col min="7687" max="7687" width="11.7109375" bestFit="1" customWidth="1"/>
    <col min="7688" max="7688" width="12.85546875" bestFit="1" customWidth="1"/>
    <col min="7937" max="7937" width="3.5703125" customWidth="1"/>
    <col min="7938" max="7938" width="3.28515625" customWidth="1"/>
    <col min="7939" max="7939" width="20.85546875" customWidth="1"/>
    <col min="7940" max="7940" width="11.85546875" bestFit="1" customWidth="1"/>
    <col min="7943" max="7943" width="11.7109375" bestFit="1" customWidth="1"/>
    <col min="7944" max="7944" width="12.85546875" bestFit="1" customWidth="1"/>
    <col min="8193" max="8193" width="3.5703125" customWidth="1"/>
    <col min="8194" max="8194" width="3.28515625" customWidth="1"/>
    <col min="8195" max="8195" width="20.85546875" customWidth="1"/>
    <col min="8196" max="8196" width="11.85546875" bestFit="1" customWidth="1"/>
    <col min="8199" max="8199" width="11.7109375" bestFit="1" customWidth="1"/>
    <col min="8200" max="8200" width="12.85546875" bestFit="1" customWidth="1"/>
    <col min="8449" max="8449" width="3.5703125" customWidth="1"/>
    <col min="8450" max="8450" width="3.28515625" customWidth="1"/>
    <col min="8451" max="8451" width="20.85546875" customWidth="1"/>
    <col min="8452" max="8452" width="11.85546875" bestFit="1" customWidth="1"/>
    <col min="8455" max="8455" width="11.7109375" bestFit="1" customWidth="1"/>
    <col min="8456" max="8456" width="12.85546875" bestFit="1" customWidth="1"/>
    <col min="8705" max="8705" width="3.5703125" customWidth="1"/>
    <col min="8706" max="8706" width="3.28515625" customWidth="1"/>
    <col min="8707" max="8707" width="20.85546875" customWidth="1"/>
    <col min="8708" max="8708" width="11.85546875" bestFit="1" customWidth="1"/>
    <col min="8711" max="8711" width="11.7109375" bestFit="1" customWidth="1"/>
    <col min="8712" max="8712" width="12.85546875" bestFit="1" customWidth="1"/>
    <col min="8961" max="8961" width="3.5703125" customWidth="1"/>
    <col min="8962" max="8962" width="3.28515625" customWidth="1"/>
    <col min="8963" max="8963" width="20.85546875" customWidth="1"/>
    <col min="8964" max="8964" width="11.85546875" bestFit="1" customWidth="1"/>
    <col min="8967" max="8967" width="11.7109375" bestFit="1" customWidth="1"/>
    <col min="8968" max="8968" width="12.85546875" bestFit="1" customWidth="1"/>
    <col min="9217" max="9217" width="3.5703125" customWidth="1"/>
    <col min="9218" max="9218" width="3.28515625" customWidth="1"/>
    <col min="9219" max="9219" width="20.85546875" customWidth="1"/>
    <col min="9220" max="9220" width="11.85546875" bestFit="1" customWidth="1"/>
    <col min="9223" max="9223" width="11.7109375" bestFit="1" customWidth="1"/>
    <col min="9224" max="9224" width="12.85546875" bestFit="1" customWidth="1"/>
    <col min="9473" max="9473" width="3.5703125" customWidth="1"/>
    <col min="9474" max="9474" width="3.28515625" customWidth="1"/>
    <col min="9475" max="9475" width="20.85546875" customWidth="1"/>
    <col min="9476" max="9476" width="11.85546875" bestFit="1" customWidth="1"/>
    <col min="9479" max="9479" width="11.7109375" bestFit="1" customWidth="1"/>
    <col min="9480" max="9480" width="12.85546875" bestFit="1" customWidth="1"/>
    <col min="9729" max="9729" width="3.5703125" customWidth="1"/>
    <col min="9730" max="9730" width="3.28515625" customWidth="1"/>
    <col min="9731" max="9731" width="20.85546875" customWidth="1"/>
    <col min="9732" max="9732" width="11.85546875" bestFit="1" customWidth="1"/>
    <col min="9735" max="9735" width="11.7109375" bestFit="1" customWidth="1"/>
    <col min="9736" max="9736" width="12.85546875" bestFit="1" customWidth="1"/>
    <col min="9985" max="9985" width="3.5703125" customWidth="1"/>
    <col min="9986" max="9986" width="3.28515625" customWidth="1"/>
    <col min="9987" max="9987" width="20.85546875" customWidth="1"/>
    <col min="9988" max="9988" width="11.85546875" bestFit="1" customWidth="1"/>
    <col min="9991" max="9991" width="11.7109375" bestFit="1" customWidth="1"/>
    <col min="9992" max="9992" width="12.85546875" bestFit="1" customWidth="1"/>
    <col min="10241" max="10241" width="3.5703125" customWidth="1"/>
    <col min="10242" max="10242" width="3.28515625" customWidth="1"/>
    <col min="10243" max="10243" width="20.85546875" customWidth="1"/>
    <col min="10244" max="10244" width="11.85546875" bestFit="1" customWidth="1"/>
    <col min="10247" max="10247" width="11.7109375" bestFit="1" customWidth="1"/>
    <col min="10248" max="10248" width="12.85546875" bestFit="1" customWidth="1"/>
    <col min="10497" max="10497" width="3.5703125" customWidth="1"/>
    <col min="10498" max="10498" width="3.28515625" customWidth="1"/>
    <col min="10499" max="10499" width="20.85546875" customWidth="1"/>
    <col min="10500" max="10500" width="11.85546875" bestFit="1" customWidth="1"/>
    <col min="10503" max="10503" width="11.7109375" bestFit="1" customWidth="1"/>
    <col min="10504" max="10504" width="12.85546875" bestFit="1" customWidth="1"/>
    <col min="10753" max="10753" width="3.5703125" customWidth="1"/>
    <col min="10754" max="10754" width="3.28515625" customWidth="1"/>
    <col min="10755" max="10755" width="20.85546875" customWidth="1"/>
    <col min="10756" max="10756" width="11.85546875" bestFit="1" customWidth="1"/>
    <col min="10759" max="10759" width="11.7109375" bestFit="1" customWidth="1"/>
    <col min="10760" max="10760" width="12.85546875" bestFit="1" customWidth="1"/>
    <col min="11009" max="11009" width="3.5703125" customWidth="1"/>
    <col min="11010" max="11010" width="3.28515625" customWidth="1"/>
    <col min="11011" max="11011" width="20.85546875" customWidth="1"/>
    <col min="11012" max="11012" width="11.85546875" bestFit="1" customWidth="1"/>
    <col min="11015" max="11015" width="11.7109375" bestFit="1" customWidth="1"/>
    <col min="11016" max="11016" width="12.85546875" bestFit="1" customWidth="1"/>
    <col min="11265" max="11265" width="3.5703125" customWidth="1"/>
    <col min="11266" max="11266" width="3.28515625" customWidth="1"/>
    <col min="11267" max="11267" width="20.85546875" customWidth="1"/>
    <col min="11268" max="11268" width="11.85546875" bestFit="1" customWidth="1"/>
    <col min="11271" max="11271" width="11.7109375" bestFit="1" customWidth="1"/>
    <col min="11272" max="11272" width="12.85546875" bestFit="1" customWidth="1"/>
    <col min="11521" max="11521" width="3.5703125" customWidth="1"/>
    <col min="11522" max="11522" width="3.28515625" customWidth="1"/>
    <col min="11523" max="11523" width="20.85546875" customWidth="1"/>
    <col min="11524" max="11524" width="11.85546875" bestFit="1" customWidth="1"/>
    <col min="11527" max="11527" width="11.7109375" bestFit="1" customWidth="1"/>
    <col min="11528" max="11528" width="12.85546875" bestFit="1" customWidth="1"/>
    <col min="11777" max="11777" width="3.5703125" customWidth="1"/>
    <col min="11778" max="11778" width="3.28515625" customWidth="1"/>
    <col min="11779" max="11779" width="20.85546875" customWidth="1"/>
    <col min="11780" max="11780" width="11.85546875" bestFit="1" customWidth="1"/>
    <col min="11783" max="11783" width="11.7109375" bestFit="1" customWidth="1"/>
    <col min="11784" max="11784" width="12.85546875" bestFit="1" customWidth="1"/>
    <col min="12033" max="12033" width="3.5703125" customWidth="1"/>
    <col min="12034" max="12034" width="3.28515625" customWidth="1"/>
    <col min="12035" max="12035" width="20.85546875" customWidth="1"/>
    <col min="12036" max="12036" width="11.85546875" bestFit="1" customWidth="1"/>
    <col min="12039" max="12039" width="11.7109375" bestFit="1" customWidth="1"/>
    <col min="12040" max="12040" width="12.85546875" bestFit="1" customWidth="1"/>
    <col min="12289" max="12289" width="3.5703125" customWidth="1"/>
    <col min="12290" max="12290" width="3.28515625" customWidth="1"/>
    <col min="12291" max="12291" width="20.85546875" customWidth="1"/>
    <col min="12292" max="12292" width="11.85546875" bestFit="1" customWidth="1"/>
    <col min="12295" max="12295" width="11.7109375" bestFit="1" customWidth="1"/>
    <col min="12296" max="12296" width="12.85546875" bestFit="1" customWidth="1"/>
    <col min="12545" max="12545" width="3.5703125" customWidth="1"/>
    <col min="12546" max="12546" width="3.28515625" customWidth="1"/>
    <col min="12547" max="12547" width="20.85546875" customWidth="1"/>
    <col min="12548" max="12548" width="11.85546875" bestFit="1" customWidth="1"/>
    <col min="12551" max="12551" width="11.7109375" bestFit="1" customWidth="1"/>
    <col min="12552" max="12552" width="12.85546875" bestFit="1" customWidth="1"/>
    <col min="12801" max="12801" width="3.5703125" customWidth="1"/>
    <col min="12802" max="12802" width="3.28515625" customWidth="1"/>
    <col min="12803" max="12803" width="20.85546875" customWidth="1"/>
    <col min="12804" max="12804" width="11.85546875" bestFit="1" customWidth="1"/>
    <col min="12807" max="12807" width="11.7109375" bestFit="1" customWidth="1"/>
    <col min="12808" max="12808" width="12.85546875" bestFit="1" customWidth="1"/>
    <col min="13057" max="13057" width="3.5703125" customWidth="1"/>
    <col min="13058" max="13058" width="3.28515625" customWidth="1"/>
    <col min="13059" max="13059" width="20.85546875" customWidth="1"/>
    <col min="13060" max="13060" width="11.85546875" bestFit="1" customWidth="1"/>
    <col min="13063" max="13063" width="11.7109375" bestFit="1" customWidth="1"/>
    <col min="13064" max="13064" width="12.85546875" bestFit="1" customWidth="1"/>
    <col min="13313" max="13313" width="3.5703125" customWidth="1"/>
    <col min="13314" max="13314" width="3.28515625" customWidth="1"/>
    <col min="13315" max="13315" width="20.85546875" customWidth="1"/>
    <col min="13316" max="13316" width="11.85546875" bestFit="1" customWidth="1"/>
    <col min="13319" max="13319" width="11.7109375" bestFit="1" customWidth="1"/>
    <col min="13320" max="13320" width="12.85546875" bestFit="1" customWidth="1"/>
    <col min="13569" max="13569" width="3.5703125" customWidth="1"/>
    <col min="13570" max="13570" width="3.28515625" customWidth="1"/>
    <col min="13571" max="13571" width="20.85546875" customWidth="1"/>
    <col min="13572" max="13572" width="11.85546875" bestFit="1" customWidth="1"/>
    <col min="13575" max="13575" width="11.7109375" bestFit="1" customWidth="1"/>
    <col min="13576" max="13576" width="12.85546875" bestFit="1" customWidth="1"/>
    <col min="13825" max="13825" width="3.5703125" customWidth="1"/>
    <col min="13826" max="13826" width="3.28515625" customWidth="1"/>
    <col min="13827" max="13827" width="20.85546875" customWidth="1"/>
    <col min="13828" max="13828" width="11.85546875" bestFit="1" customWidth="1"/>
    <col min="13831" max="13831" width="11.7109375" bestFit="1" customWidth="1"/>
    <col min="13832" max="13832" width="12.85546875" bestFit="1" customWidth="1"/>
    <col min="14081" max="14081" width="3.5703125" customWidth="1"/>
    <col min="14082" max="14082" width="3.28515625" customWidth="1"/>
    <col min="14083" max="14083" width="20.85546875" customWidth="1"/>
    <col min="14084" max="14084" width="11.85546875" bestFit="1" customWidth="1"/>
    <col min="14087" max="14087" width="11.7109375" bestFit="1" customWidth="1"/>
    <col min="14088" max="14088" width="12.85546875" bestFit="1" customWidth="1"/>
    <col min="14337" max="14337" width="3.5703125" customWidth="1"/>
    <col min="14338" max="14338" width="3.28515625" customWidth="1"/>
    <col min="14339" max="14339" width="20.85546875" customWidth="1"/>
    <col min="14340" max="14340" width="11.85546875" bestFit="1" customWidth="1"/>
    <col min="14343" max="14343" width="11.7109375" bestFit="1" customWidth="1"/>
    <col min="14344" max="14344" width="12.85546875" bestFit="1" customWidth="1"/>
    <col min="14593" max="14593" width="3.5703125" customWidth="1"/>
    <col min="14594" max="14594" width="3.28515625" customWidth="1"/>
    <col min="14595" max="14595" width="20.85546875" customWidth="1"/>
    <col min="14596" max="14596" width="11.85546875" bestFit="1" customWidth="1"/>
    <col min="14599" max="14599" width="11.7109375" bestFit="1" customWidth="1"/>
    <col min="14600" max="14600" width="12.85546875" bestFit="1" customWidth="1"/>
    <col min="14849" max="14849" width="3.5703125" customWidth="1"/>
    <col min="14850" max="14850" width="3.28515625" customWidth="1"/>
    <col min="14851" max="14851" width="20.85546875" customWidth="1"/>
    <col min="14852" max="14852" width="11.85546875" bestFit="1" customWidth="1"/>
    <col min="14855" max="14855" width="11.7109375" bestFit="1" customWidth="1"/>
    <col min="14856" max="14856" width="12.85546875" bestFit="1" customWidth="1"/>
    <col min="15105" max="15105" width="3.5703125" customWidth="1"/>
    <col min="15106" max="15106" width="3.28515625" customWidth="1"/>
    <col min="15107" max="15107" width="20.85546875" customWidth="1"/>
    <col min="15108" max="15108" width="11.85546875" bestFit="1" customWidth="1"/>
    <col min="15111" max="15111" width="11.7109375" bestFit="1" customWidth="1"/>
    <col min="15112" max="15112" width="12.85546875" bestFit="1" customWidth="1"/>
    <col min="15361" max="15361" width="3.5703125" customWidth="1"/>
    <col min="15362" max="15362" width="3.28515625" customWidth="1"/>
    <col min="15363" max="15363" width="20.85546875" customWidth="1"/>
    <col min="15364" max="15364" width="11.85546875" bestFit="1" customWidth="1"/>
    <col min="15367" max="15367" width="11.7109375" bestFit="1" customWidth="1"/>
    <col min="15368" max="15368" width="12.85546875" bestFit="1" customWidth="1"/>
    <col min="15617" max="15617" width="3.5703125" customWidth="1"/>
    <col min="15618" max="15618" width="3.28515625" customWidth="1"/>
    <col min="15619" max="15619" width="20.85546875" customWidth="1"/>
    <col min="15620" max="15620" width="11.85546875" bestFit="1" customWidth="1"/>
    <col min="15623" max="15623" width="11.7109375" bestFit="1" customWidth="1"/>
    <col min="15624" max="15624" width="12.85546875" bestFit="1" customWidth="1"/>
    <col min="15873" max="15873" width="3.5703125" customWidth="1"/>
    <col min="15874" max="15874" width="3.28515625" customWidth="1"/>
    <col min="15875" max="15875" width="20.85546875" customWidth="1"/>
    <col min="15876" max="15876" width="11.85546875" bestFit="1" customWidth="1"/>
    <col min="15879" max="15879" width="11.7109375" bestFit="1" customWidth="1"/>
    <col min="15880" max="15880" width="12.85546875" bestFit="1" customWidth="1"/>
    <col min="16129" max="16129" width="3.5703125" customWidth="1"/>
    <col min="16130" max="16130" width="3.28515625" customWidth="1"/>
    <col min="16131" max="16131" width="20.85546875" customWidth="1"/>
    <col min="16132" max="16132" width="11.85546875" bestFit="1" customWidth="1"/>
    <col min="16135" max="16135" width="11.7109375" bestFit="1" customWidth="1"/>
    <col min="16136" max="16136" width="12.85546875" bestFit="1" customWidth="1"/>
  </cols>
  <sheetData>
    <row r="2" spans="2:16" ht="15.75" thickBot="1" x14ac:dyDescent="0.3"/>
    <row r="3" spans="2:16" ht="15.75" thickBot="1" x14ac:dyDescent="0.3">
      <c r="C3" s="516" t="s">
        <v>383</v>
      </c>
      <c r="D3" s="517"/>
      <c r="G3" s="516" t="s">
        <v>388</v>
      </c>
      <c r="H3" s="517"/>
    </row>
    <row r="5" spans="2:16" ht="22.5" x14ac:dyDescent="0.25">
      <c r="B5" s="141"/>
      <c r="C5" s="141" t="s">
        <v>329</v>
      </c>
      <c r="G5" s="141" t="s">
        <v>329</v>
      </c>
      <c r="N5" s="244" t="s">
        <v>330</v>
      </c>
    </row>
    <row r="6" spans="2:16" ht="23.25" x14ac:dyDescent="0.35">
      <c r="B6" s="141"/>
      <c r="C6" s="141"/>
      <c r="G6" s="141"/>
      <c r="N6" s="244"/>
      <c r="O6" s="518" t="s">
        <v>421</v>
      </c>
      <c r="P6" s="518"/>
    </row>
    <row r="7" spans="2:16" ht="17.25" customHeight="1" x14ac:dyDescent="0.25">
      <c r="B7" s="141"/>
      <c r="C7" s="383" t="s">
        <v>394</v>
      </c>
      <c r="D7" s="385" t="s">
        <v>395</v>
      </c>
      <c r="E7" s="384"/>
      <c r="F7" s="375"/>
      <c r="G7" s="383" t="s">
        <v>394</v>
      </c>
      <c r="H7" s="385" t="s">
        <v>395</v>
      </c>
      <c r="I7" s="384"/>
      <c r="N7" s="244"/>
    </row>
    <row r="8" spans="2:16" ht="22.5" x14ac:dyDescent="0.3">
      <c r="C8" s="374" t="s">
        <v>397</v>
      </c>
      <c r="D8" s="379">
        <f>+'COK=Ku'!C12</f>
        <v>0.22929999999999998</v>
      </c>
      <c r="E8" s="375"/>
      <c r="F8" s="375"/>
      <c r="G8" s="374" t="s">
        <v>398</v>
      </c>
      <c r="H8" s="379">
        <f>'COK=Ku'!I12</f>
        <v>0.10993599999999999</v>
      </c>
      <c r="I8" s="375"/>
      <c r="N8" s="245"/>
    </row>
    <row r="9" spans="2:16" ht="22.5" x14ac:dyDescent="0.25">
      <c r="C9" s="374" t="s">
        <v>331</v>
      </c>
      <c r="D9" s="376">
        <f>+Resumen!C6</f>
        <v>2.7777777777777801E-2</v>
      </c>
      <c r="E9" s="375"/>
      <c r="F9" s="375"/>
      <c r="G9" s="374" t="s">
        <v>331</v>
      </c>
      <c r="H9" s="376">
        <f>D9</f>
        <v>2.7777777777777801E-2</v>
      </c>
      <c r="I9" s="375"/>
      <c r="N9" s="244"/>
    </row>
    <row r="10" spans="2:16" ht="22.5" x14ac:dyDescent="0.25">
      <c r="C10" s="374" t="s">
        <v>399</v>
      </c>
      <c r="D10" s="379">
        <f xml:space="preserve"> ((1+D8)/(1+D9)) - 1</f>
        <v>0.19607567567567563</v>
      </c>
      <c r="E10" s="375"/>
      <c r="F10" s="375"/>
      <c r="G10" s="374" t="s">
        <v>400</v>
      </c>
      <c r="H10" s="379">
        <f xml:space="preserve"> ((1+H8)/(1+H9)) - 1</f>
        <v>7.9937729729729678E-2</v>
      </c>
      <c r="I10" s="375"/>
      <c r="N10" s="244"/>
    </row>
    <row r="11" spans="2:16" x14ac:dyDescent="0.25">
      <c r="C11" s="375"/>
      <c r="D11" s="380"/>
      <c r="E11" s="375"/>
      <c r="F11" s="375"/>
      <c r="G11" s="375"/>
      <c r="H11" s="380"/>
      <c r="I11" s="375"/>
    </row>
    <row r="12" spans="2:16" x14ac:dyDescent="0.25">
      <c r="C12" s="387" t="s">
        <v>332</v>
      </c>
      <c r="D12" s="392">
        <f>+NPV(D10,'FLUJO DE CAJA'!D16:F16)+'FLUJO DE CAJA'!C16</f>
        <v>34909.530047920693</v>
      </c>
      <c r="E12" s="386" t="s">
        <v>333</v>
      </c>
      <c r="F12" s="375"/>
      <c r="G12" s="387" t="s">
        <v>332</v>
      </c>
      <c r="H12" s="394">
        <f>NPV(H10,'FLUJO DE CAJA'!D16:F16)+'FLUJO DE CAJA'!C16</f>
        <v>50477.036209163445</v>
      </c>
      <c r="I12" s="386" t="s">
        <v>333</v>
      </c>
    </row>
    <row r="13" spans="2:16" x14ac:dyDescent="0.25">
      <c r="C13" s="375"/>
      <c r="D13" s="378"/>
      <c r="E13" s="375"/>
      <c r="F13" s="375"/>
      <c r="G13" s="375"/>
      <c r="H13" s="378"/>
      <c r="I13" s="375"/>
    </row>
    <row r="14" spans="2:16" x14ac:dyDescent="0.25">
      <c r="C14" s="387" t="s">
        <v>334</v>
      </c>
      <c r="D14" s="393">
        <f>+IRR('FLUJO DE CAJA'!C16:F16)</f>
        <v>0.80359061383593833</v>
      </c>
      <c r="E14" s="384" t="s">
        <v>396</v>
      </c>
      <c r="F14" s="375"/>
      <c r="G14" s="387" t="s">
        <v>334</v>
      </c>
      <c r="H14" s="393">
        <f>IRR('FLUJO DE CAJA'!C16:F16)</f>
        <v>0.80359061383593833</v>
      </c>
      <c r="I14" s="384" t="s">
        <v>396</v>
      </c>
    </row>
    <row r="15" spans="2:16" x14ac:dyDescent="0.25">
      <c r="C15" s="375"/>
      <c r="D15" s="375"/>
      <c r="E15" s="375"/>
      <c r="F15" s="375"/>
      <c r="G15" s="375"/>
      <c r="H15" s="375"/>
      <c r="I15" s="375"/>
    </row>
    <row r="16" spans="2:16" x14ac:dyDescent="0.25">
      <c r="B16" s="141"/>
      <c r="C16" s="377" t="s">
        <v>335</v>
      </c>
      <c r="D16" s="375"/>
      <c r="E16" s="375"/>
      <c r="F16" s="375"/>
      <c r="G16" s="377" t="s">
        <v>335</v>
      </c>
      <c r="H16" s="375"/>
      <c r="I16" s="375"/>
    </row>
    <row r="17" spans="2:9" x14ac:dyDescent="0.25">
      <c r="B17" s="141"/>
      <c r="C17" s="377"/>
      <c r="D17" s="375"/>
      <c r="E17" s="375"/>
      <c r="F17" s="375"/>
      <c r="G17" s="377"/>
      <c r="H17" s="375"/>
      <c r="I17" s="375"/>
    </row>
    <row r="18" spans="2:9" x14ac:dyDescent="0.25">
      <c r="B18" s="141"/>
      <c r="C18" s="377"/>
      <c r="D18" s="375"/>
      <c r="E18" s="375"/>
      <c r="F18" s="375"/>
      <c r="G18" s="377"/>
      <c r="H18" s="375"/>
      <c r="I18" s="375"/>
    </row>
    <row r="19" spans="2:9" x14ac:dyDescent="0.25">
      <c r="C19" s="383" t="s">
        <v>394</v>
      </c>
      <c r="D19" s="385" t="s">
        <v>395</v>
      </c>
      <c r="E19" s="384"/>
      <c r="F19" s="375"/>
      <c r="G19" s="383" t="s">
        <v>394</v>
      </c>
      <c r="H19" s="385" t="s">
        <v>395</v>
      </c>
      <c r="I19" s="384"/>
    </row>
    <row r="20" spans="2:9" x14ac:dyDescent="0.25">
      <c r="C20" s="374" t="s">
        <v>336</v>
      </c>
      <c r="D20" s="376">
        <v>0.17399999999999999</v>
      </c>
      <c r="E20" s="375"/>
      <c r="F20" s="375"/>
      <c r="G20" s="374" t="s">
        <v>336</v>
      </c>
      <c r="H20" s="376">
        <v>0.17399999999999999</v>
      </c>
      <c r="I20" s="375"/>
    </row>
    <row r="21" spans="2:9" x14ac:dyDescent="0.25">
      <c r="C21" s="374" t="s">
        <v>337</v>
      </c>
      <c r="D21" s="381">
        <f xml:space="preserve"> ((1+D20)/(1+D9)) -1</f>
        <v>0.14227027027027006</v>
      </c>
      <c r="E21" s="375"/>
      <c r="F21" s="375"/>
      <c r="G21" s="374" t="s">
        <v>337</v>
      </c>
      <c r="H21" s="381">
        <f xml:space="preserve"> ((1+H20)/(1+H9)) -1</f>
        <v>0.14227027027027006</v>
      </c>
      <c r="I21" s="375"/>
    </row>
    <row r="22" spans="2:9" x14ac:dyDescent="0.25">
      <c r="C22" s="375"/>
      <c r="D22" s="378"/>
      <c r="E22" s="375"/>
      <c r="F22" s="375"/>
      <c r="G22" s="375"/>
      <c r="H22" s="378"/>
      <c r="I22" s="375"/>
    </row>
    <row r="23" spans="2:9" x14ac:dyDescent="0.25">
      <c r="C23" s="374" t="s">
        <v>338</v>
      </c>
      <c r="D23" s="382">
        <f>+NPV(D21,'FLUJO DE CAJA'!D23:E23)</f>
        <v>458.0682112365327</v>
      </c>
      <c r="E23" s="375"/>
      <c r="F23" s="375"/>
      <c r="G23" s="374" t="s">
        <v>338</v>
      </c>
      <c r="H23" s="382">
        <f>NPV(H21,'FLUJO DE CAJA'!D23:E23)</f>
        <v>458.0682112365327</v>
      </c>
      <c r="I23" s="375"/>
    </row>
    <row r="24" spans="2:9" x14ac:dyDescent="0.25">
      <c r="C24" s="375"/>
      <c r="D24" s="378"/>
      <c r="E24" s="375"/>
      <c r="F24" s="375"/>
      <c r="G24" s="375"/>
      <c r="H24" s="378"/>
      <c r="I24" s="375"/>
    </row>
    <row r="25" spans="2:9" x14ac:dyDescent="0.25">
      <c r="C25" s="387" t="s">
        <v>339</v>
      </c>
      <c r="D25" s="388">
        <f>D12+D23</f>
        <v>35367.598259157225</v>
      </c>
      <c r="E25" s="386" t="s">
        <v>333</v>
      </c>
      <c r="F25" s="375"/>
      <c r="G25" s="387" t="s">
        <v>339</v>
      </c>
      <c r="H25" s="388">
        <f>H12+H23</f>
        <v>50935.104420399977</v>
      </c>
      <c r="I25" s="386" t="s">
        <v>333</v>
      </c>
    </row>
    <row r="26" spans="2:9" x14ac:dyDescent="0.25">
      <c r="C26" s="375"/>
      <c r="D26" s="378"/>
      <c r="E26" s="390"/>
      <c r="F26" s="375"/>
      <c r="G26" s="375"/>
      <c r="H26" s="378"/>
      <c r="I26" s="390"/>
    </row>
    <row r="27" spans="2:9" x14ac:dyDescent="0.25">
      <c r="C27" s="387" t="s">
        <v>340</v>
      </c>
      <c r="D27" s="389">
        <f>+IRR('FLUJO DE CAJA'!C27:F27)</f>
        <v>0.81298368586921943</v>
      </c>
      <c r="E27" s="391" t="s">
        <v>396</v>
      </c>
      <c r="F27" s="375"/>
      <c r="G27" s="387" t="s">
        <v>340</v>
      </c>
      <c r="H27" s="389">
        <f>IRR('FLUJO DE CAJA'!C27:F27)</f>
        <v>0.81298368586921943</v>
      </c>
      <c r="I27" s="391" t="s">
        <v>396</v>
      </c>
    </row>
  </sheetData>
  <mergeCells count="3">
    <mergeCell ref="C3:D3"/>
    <mergeCell ref="G3:H3"/>
    <mergeCell ref="O6:P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Resumen del escenario 2</vt:lpstr>
      <vt:lpstr>Análisis de sensibilidad</vt:lpstr>
      <vt:lpstr>Resumen</vt:lpstr>
      <vt:lpstr>Presupuesto de ventas</vt:lpstr>
      <vt:lpstr>Inversión inicial</vt:lpstr>
      <vt:lpstr>Depreciación</vt:lpstr>
      <vt:lpstr>Costo de producción</vt:lpstr>
      <vt:lpstr>Sueldos</vt:lpstr>
      <vt:lpstr>Gastos operativos</vt:lpstr>
      <vt:lpstr>Capital_Trabajo</vt:lpstr>
      <vt:lpstr>Costo unitario</vt:lpstr>
      <vt:lpstr>Punto de equilibrio</vt:lpstr>
      <vt:lpstr>Estado de resultados</vt:lpstr>
      <vt:lpstr>Costo_Deuda</vt:lpstr>
      <vt:lpstr>COK=Ku</vt:lpstr>
      <vt:lpstr>Kert y Wacc</vt:lpstr>
      <vt:lpstr>FLUJO DE CAJA</vt:lpstr>
      <vt:lpstr>Rentabilidad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2021-02-28T21:46:09Z</dcterms:created>
  <dcterms:modified xsi:type="dcterms:W3CDTF">2021-07-02T15:26:39Z</dcterms:modified>
</cp:coreProperties>
</file>