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 UNFV 2021\PROYECTOS APLICATIVOS POSGRADO\ESTACION DE SERVICIO\"/>
    </mc:Choice>
  </mc:AlternateContent>
  <xr:revisionPtr revIDLastSave="0" documentId="8_{79A0E1EB-166D-4245-AC18-3913841ACC7F}" xr6:coauthVersionLast="47" xr6:coauthVersionMax="47" xr10:uidLastSave="{00000000-0000-0000-0000-000000000000}"/>
  <bookViews>
    <workbookView xWindow="-120" yWindow="-120" windowWidth="20730" windowHeight="11160" tabRatio="786" firstSheet="10" activeTab="17" xr2:uid="{B3788B7F-BBB6-4C27-9898-C609CF4DFC1F}"/>
  </bookViews>
  <sheets>
    <sheet name="Resumen del escenario 2" sheetId="23" r:id="rId1"/>
    <sheet name="Análisis de sensibilidad" sheetId="18" r:id="rId2"/>
    <sheet name="Resumen" sheetId="1" r:id="rId3"/>
    <sheet name="Inversión inicial" sheetId="3" r:id="rId4"/>
    <sheet name="Depreciación y VR" sheetId="4" r:id="rId5"/>
    <sheet name="Presupuesto de ventas" sheetId="2" r:id="rId6"/>
    <sheet name="Capital_Trabajo" sheetId="6" r:id="rId7"/>
    <sheet name="Costos Ventas" sheetId="7" r:id="rId8"/>
    <sheet name="Sueldos" sheetId="8" r:id="rId9"/>
    <sheet name="Gastos_Operativos" sheetId="9" r:id="rId10"/>
    <sheet name="Costos unitarios" sheetId="5" r:id="rId11"/>
    <sheet name="Estado de resultados" sheetId="12" r:id="rId12"/>
    <sheet name="Punto de equilibrio" sheetId="13" r:id="rId13"/>
    <sheet name="Financiamiento" sheetId="11" r:id="rId14"/>
    <sheet name="Ku" sheetId="14" r:id="rId15"/>
    <sheet name="Ke y Wacc" sheetId="15" r:id="rId16"/>
    <sheet name="Flujo de caja" sheetId="16" r:id="rId17"/>
    <sheet name="Rentabilidad" sheetId="17" r:id="rId18"/>
  </sheets>
  <externalReferences>
    <externalReference r:id="rId19"/>
  </externalReferences>
  <definedNames>
    <definedName name="Precio_Materia_Prima" localSheetId="7">#REF!</definedName>
    <definedName name="Precio_Materia_Prima" localSheetId="13">#REF!</definedName>
    <definedName name="Precio_Materia_Prima" localSheetId="9">#REF!</definedName>
    <definedName name="Precio_Materia_Prima" localSheetId="8">#REF!</definedName>
    <definedName name="Precio_Materia_Prima">#REF!</definedName>
    <definedName name="Precio_Queso_Maduro" localSheetId="7">#REF!</definedName>
    <definedName name="Precio_Queso_Maduro" localSheetId="13">#REF!</definedName>
    <definedName name="Precio_Queso_Maduro" localSheetId="9">#REF!</definedName>
    <definedName name="Precio_Queso_Maduro" localSheetId="8">#REF!</definedName>
    <definedName name="Precio_Queso_Maduro">#REF!</definedName>
    <definedName name="Precio_retablo_unidad" localSheetId="7">#REF!</definedName>
    <definedName name="Precio_retablo_unidad" localSheetId="13">#REF!</definedName>
    <definedName name="Precio_retablo_unidad" localSheetId="9">#REF!</definedName>
    <definedName name="Precio_retablo_unidad" localSheetId="8">#REF!</definedName>
    <definedName name="Precio_retablo_unidad">#REF!</definedName>
    <definedName name="TIRE" localSheetId="7">#REF!</definedName>
    <definedName name="TIRE" localSheetId="13">#REF!</definedName>
    <definedName name="TIRE" localSheetId="9">#REF!</definedName>
    <definedName name="TIRE" localSheetId="8">#REF!</definedName>
    <definedName name="TIRE">#REF!</definedName>
    <definedName name="TIRF" localSheetId="7">#REF!</definedName>
    <definedName name="TIRF" localSheetId="13">#REF!</definedName>
    <definedName name="TIRF" localSheetId="9">#REF!</definedName>
    <definedName name="TIRF" localSheetId="8">#REF!</definedName>
    <definedName name="TIRF">#REF!</definedName>
    <definedName name="VANE" localSheetId="7">#REF!</definedName>
    <definedName name="VANE" localSheetId="13">#REF!</definedName>
    <definedName name="VANE" localSheetId="9">#REF!</definedName>
    <definedName name="VANE" localSheetId="8">#REF!</definedName>
    <definedName name="VANE">#REF!</definedName>
    <definedName name="VANF" localSheetId="7">#REF!</definedName>
    <definedName name="VANF" localSheetId="13">#REF!</definedName>
    <definedName name="VANF" localSheetId="9">#REF!</definedName>
    <definedName name="VANF" localSheetId="8">#REF!</definedName>
    <definedName name="VANF">#REF!</definedName>
    <definedName name="VENCII">[1]CRONOGRAMA!$C$83:$D$452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G11" i="3"/>
  <c r="D29" i="16"/>
  <c r="E28" i="16"/>
  <c r="F28" i="16"/>
  <c r="G28" i="16"/>
  <c r="H28" i="16"/>
  <c r="I28" i="16"/>
  <c r="J28" i="16"/>
  <c r="K28" i="16"/>
  <c r="L28" i="16"/>
  <c r="M28" i="16"/>
  <c r="D28" i="16"/>
  <c r="C3" i="11"/>
  <c r="C2" i="11"/>
  <c r="F10" i="1"/>
  <c r="J9" i="14"/>
  <c r="G6" i="17"/>
  <c r="G9" i="17" s="1"/>
  <c r="G26" i="9"/>
  <c r="E26" i="9"/>
  <c r="C29" i="16"/>
  <c r="M28" i="3"/>
  <c r="L28" i="3"/>
  <c r="K28" i="3"/>
  <c r="C5" i="16"/>
  <c r="M16" i="16"/>
  <c r="D23" i="12"/>
  <c r="G7" i="3"/>
  <c r="I42" i="3"/>
  <c r="AI71" i="18"/>
  <c r="AI72" i="18"/>
  <c r="AI73" i="18"/>
  <c r="AI74" i="18"/>
  <c r="AI75" i="18"/>
  <c r="AI76" i="18"/>
  <c r="AI77" i="18"/>
  <c r="AI78" i="18"/>
  <c r="AI79" i="18"/>
  <c r="AI80" i="18"/>
  <c r="AI70" i="18"/>
  <c r="F7" i="1"/>
  <c r="T72" i="18" l="1"/>
  <c r="T75" i="18"/>
  <c r="J69" i="18"/>
  <c r="D72" i="18"/>
  <c r="D75" i="18"/>
  <c r="L47" i="18"/>
  <c r="T80" i="18" s="1"/>
  <c r="E46" i="18"/>
  <c r="D79" i="18" s="1"/>
  <c r="L23" i="18"/>
  <c r="E23" i="18"/>
  <c r="G69" i="18" s="1"/>
  <c r="E58" i="18" l="1"/>
  <c r="E59" i="18" s="1"/>
  <c r="E60" i="18" s="1"/>
  <c r="E61" i="18" s="1"/>
  <c r="E62" i="18" s="1"/>
  <c r="E56" i="18"/>
  <c r="E55" i="18" s="1"/>
  <c r="E54" i="18" s="1"/>
  <c r="E53" i="18" s="1"/>
  <c r="E52" i="18" s="1"/>
  <c r="U43" i="18"/>
  <c r="U44" i="18" s="1"/>
  <c r="U45" i="18" s="1"/>
  <c r="U46" i="18" s="1"/>
  <c r="U47" i="18" s="1"/>
  <c r="U41" i="18"/>
  <c r="U40" i="18" s="1"/>
  <c r="U38" i="18"/>
  <c r="U37" i="18" s="1"/>
  <c r="L43" i="18"/>
  <c r="L41" i="18"/>
  <c r="L38" i="18"/>
  <c r="E43" i="18"/>
  <c r="D76" i="18" s="1"/>
  <c r="E41" i="18"/>
  <c r="D74" i="18" s="1"/>
  <c r="E38" i="18"/>
  <c r="D71" i="18" s="1"/>
  <c r="U27" i="18"/>
  <c r="U25" i="18"/>
  <c r="U24" i="18" s="1"/>
  <c r="U22" i="18"/>
  <c r="U21" i="18" s="1"/>
  <c r="L40" i="18" l="1"/>
  <c r="T73" i="18" s="1"/>
  <c r="T74" i="18"/>
  <c r="L37" i="18"/>
  <c r="T70" i="18" s="1"/>
  <c r="T71" i="18"/>
  <c r="L44" i="18"/>
  <c r="T76" i="18"/>
  <c r="E37" i="18"/>
  <c r="D70" i="18" s="1"/>
  <c r="E40" i="18"/>
  <c r="D73" i="18" s="1"/>
  <c r="E44" i="18"/>
  <c r="D77" i="18" s="1"/>
  <c r="U28" i="18"/>
  <c r="U29" i="18" s="1"/>
  <c r="U30" i="18" s="1"/>
  <c r="U31" i="18" s="1"/>
  <c r="L27" i="18"/>
  <c r="L28" i="18" s="1"/>
  <c r="L29" i="18" s="1"/>
  <c r="L30" i="18" s="1"/>
  <c r="L31" i="18" s="1"/>
  <c r="L25" i="18"/>
  <c r="L24" i="18" s="1"/>
  <c r="L22" i="18"/>
  <c r="L21" i="18" s="1"/>
  <c r="E25" i="9"/>
  <c r="E24" i="9"/>
  <c r="E27" i="18"/>
  <c r="K69" i="18" s="1"/>
  <c r="E25" i="18"/>
  <c r="I69" i="18" s="1"/>
  <c r="E22" i="18"/>
  <c r="F69" i="18" s="1"/>
  <c r="L45" i="18" l="1"/>
  <c r="T77" i="18"/>
  <c r="E45" i="18"/>
  <c r="M69" i="18" s="1"/>
  <c r="E28" i="18"/>
  <c r="L69" i="18" s="1"/>
  <c r="E24" i="18"/>
  <c r="H69" i="18" s="1"/>
  <c r="E47" i="18"/>
  <c r="D80" i="18" s="1"/>
  <c r="E21" i="18"/>
  <c r="E69" i="18" s="1"/>
  <c r="D2" i="11"/>
  <c r="C11" i="1"/>
  <c r="C12" i="1"/>
  <c r="C10" i="1"/>
  <c r="C6" i="1"/>
  <c r="C5" i="1"/>
  <c r="C4" i="1"/>
  <c r="D20" i="16"/>
  <c r="E20" i="16"/>
  <c r="F20" i="16"/>
  <c r="G20" i="16"/>
  <c r="H20" i="16"/>
  <c r="I20" i="16"/>
  <c r="J20" i="16"/>
  <c r="K20" i="16"/>
  <c r="L20" i="16"/>
  <c r="M20" i="16"/>
  <c r="F15" i="1" l="1"/>
  <c r="F14" i="1"/>
  <c r="F13" i="1"/>
  <c r="L46" i="18"/>
  <c r="T79" i="18" s="1"/>
  <c r="T78" i="18"/>
  <c r="D78" i="18"/>
  <c r="I6" i="18"/>
  <c r="H6" i="18"/>
  <c r="H13" i="18"/>
  <c r="I13" i="18"/>
  <c r="I7" i="18"/>
  <c r="H7" i="18"/>
  <c r="I8" i="18"/>
  <c r="H8" i="18"/>
  <c r="I11" i="18"/>
  <c r="H11" i="18"/>
  <c r="I9" i="18"/>
  <c r="H9" i="18"/>
  <c r="I10" i="18"/>
  <c r="H10" i="18"/>
  <c r="T42" i="18"/>
  <c r="AH75" i="18" s="1"/>
  <c r="D42" i="18"/>
  <c r="C75" i="18" s="1"/>
  <c r="K42" i="18"/>
  <c r="D26" i="18"/>
  <c r="J68" i="18" s="1"/>
  <c r="E29" i="18"/>
  <c r="E30" i="18" s="1"/>
  <c r="N69" i="18" s="1"/>
  <c r="T26" i="18"/>
  <c r="AO68" i="18" s="1"/>
  <c r="K26" i="18"/>
  <c r="Z68" i="18" s="1"/>
  <c r="D6" i="2"/>
  <c r="F8" i="3"/>
  <c r="F42" i="3"/>
  <c r="C18" i="17"/>
  <c r="C25" i="16"/>
  <c r="C23" i="16"/>
  <c r="K12" i="16"/>
  <c r="G12" i="16"/>
  <c r="M14" i="16"/>
  <c r="C13" i="16"/>
  <c r="F30" i="3"/>
  <c r="F31" i="3"/>
  <c r="F29" i="3"/>
  <c r="F28" i="3"/>
  <c r="C19" i="17" l="1"/>
  <c r="G18" i="17"/>
  <c r="G19" i="17" s="1"/>
  <c r="AM68" i="18"/>
  <c r="AK68" i="18"/>
  <c r="AJ68" i="18"/>
  <c r="AQ68" i="18"/>
  <c r="AT68" i="18"/>
  <c r="AL68" i="18"/>
  <c r="AS68" i="18"/>
  <c r="AR68" i="18"/>
  <c r="AP68" i="18"/>
  <c r="AN68" i="18"/>
  <c r="AA68" i="18"/>
  <c r="AD68" i="18"/>
  <c r="AE68" i="18"/>
  <c r="AC68" i="18"/>
  <c r="AB68" i="18"/>
  <c r="Y68" i="18"/>
  <c r="U68" i="18"/>
  <c r="X68" i="18"/>
  <c r="V68" i="18"/>
  <c r="W68" i="18"/>
  <c r="K47" i="18"/>
  <c r="S75" i="18"/>
  <c r="T44" i="18"/>
  <c r="J89" i="18"/>
  <c r="I68" i="18"/>
  <c r="H68" i="18"/>
  <c r="N68" i="18"/>
  <c r="L68" i="18"/>
  <c r="K68" i="18"/>
  <c r="M68" i="18"/>
  <c r="G68" i="18"/>
  <c r="F68" i="18"/>
  <c r="D21" i="18"/>
  <c r="J8" i="18"/>
  <c r="J9" i="18"/>
  <c r="I12" i="18"/>
  <c r="H12" i="18"/>
  <c r="J10" i="18"/>
  <c r="J7" i="18"/>
  <c r="J13" i="18"/>
  <c r="J11" i="18"/>
  <c r="J6" i="18"/>
  <c r="D23" i="18"/>
  <c r="D28" i="18"/>
  <c r="D41" i="18"/>
  <c r="C74" i="18" s="1"/>
  <c r="J88" i="18" s="1"/>
  <c r="D38" i="18"/>
  <c r="C71" i="18" s="1"/>
  <c r="J85" i="18" s="1"/>
  <c r="D37" i="18"/>
  <c r="C70" i="18" s="1"/>
  <c r="D44" i="18"/>
  <c r="C77" i="18" s="1"/>
  <c r="J91" i="18" s="1"/>
  <c r="D46" i="18"/>
  <c r="C79" i="18" s="1"/>
  <c r="J93" i="18" s="1"/>
  <c r="D24" i="18"/>
  <c r="D25" i="18"/>
  <c r="D47" i="18"/>
  <c r="C80" i="18" s="1"/>
  <c r="J94" i="18" s="1"/>
  <c r="T37" i="18"/>
  <c r="D27" i="18"/>
  <c r="T39" i="18"/>
  <c r="D30" i="18"/>
  <c r="D22" i="18"/>
  <c r="D45" i="18"/>
  <c r="C78" i="18" s="1"/>
  <c r="J92" i="18" s="1"/>
  <c r="D40" i="18"/>
  <c r="C73" i="18" s="1"/>
  <c r="J87" i="18" s="1"/>
  <c r="D43" i="18"/>
  <c r="C76" i="18" s="1"/>
  <c r="J90" i="18" s="1"/>
  <c r="D39" i="18"/>
  <c r="C72" i="18" s="1"/>
  <c r="J86" i="18" s="1"/>
  <c r="K41" i="18"/>
  <c r="K45" i="18"/>
  <c r="K39" i="18"/>
  <c r="K46" i="18"/>
  <c r="T46" i="18"/>
  <c r="D57" i="18"/>
  <c r="D55" i="18" s="1"/>
  <c r="K40" i="18"/>
  <c r="K43" i="18"/>
  <c r="K38" i="18"/>
  <c r="T38" i="18"/>
  <c r="T47" i="18"/>
  <c r="T45" i="18"/>
  <c r="K37" i="18"/>
  <c r="T40" i="18"/>
  <c r="T43" i="18"/>
  <c r="K44" i="18"/>
  <c r="T41" i="18"/>
  <c r="D29" i="18"/>
  <c r="E31" i="18"/>
  <c r="O69" i="18" s="1"/>
  <c r="O68" i="18" s="1"/>
  <c r="T27" i="18"/>
  <c r="T30" i="18"/>
  <c r="T31" i="18"/>
  <c r="T29" i="18"/>
  <c r="T28" i="18"/>
  <c r="T25" i="18"/>
  <c r="T21" i="18"/>
  <c r="T22" i="18"/>
  <c r="T23" i="18"/>
  <c r="T24" i="18"/>
  <c r="K27" i="18"/>
  <c r="K28" i="18"/>
  <c r="K30" i="18"/>
  <c r="K29" i="18"/>
  <c r="K31" i="18"/>
  <c r="K25" i="18"/>
  <c r="K23" i="18"/>
  <c r="K21" i="18"/>
  <c r="K24" i="18"/>
  <c r="K22" i="18"/>
  <c r="C12" i="16"/>
  <c r="J9" i="15"/>
  <c r="D9" i="15"/>
  <c r="D8" i="15"/>
  <c r="D17" i="15"/>
  <c r="D6" i="15"/>
  <c r="J10" i="14"/>
  <c r="J8" i="14"/>
  <c r="W89" i="18" l="1"/>
  <c r="Y89" i="18"/>
  <c r="V89" i="18"/>
  <c r="X89" i="18"/>
  <c r="U89" i="18"/>
  <c r="S72" i="18"/>
  <c r="AH72" i="18"/>
  <c r="S79" i="18"/>
  <c r="AH79" i="18"/>
  <c r="S78" i="18"/>
  <c r="AH78" i="18"/>
  <c r="S80" i="18"/>
  <c r="AH80" i="18"/>
  <c r="S77" i="18"/>
  <c r="AH77" i="18"/>
  <c r="S74" i="18"/>
  <c r="AH74" i="18"/>
  <c r="S76" i="18"/>
  <c r="AH76" i="18"/>
  <c r="S71" i="18"/>
  <c r="AH71" i="18"/>
  <c r="S73" i="18"/>
  <c r="AH73" i="18"/>
  <c r="S70" i="18"/>
  <c r="Y84" i="18" s="1"/>
  <c r="AH70" i="18"/>
  <c r="M91" i="18"/>
  <c r="M88" i="18"/>
  <c r="M92" i="18"/>
  <c r="M86" i="18"/>
  <c r="M90" i="18"/>
  <c r="M94" i="18"/>
  <c r="M87" i="18"/>
  <c r="M85" i="18"/>
  <c r="M89" i="18"/>
  <c r="M93" i="18"/>
  <c r="K92" i="18"/>
  <c r="K85" i="18"/>
  <c r="K88" i="18"/>
  <c r="K89" i="18"/>
  <c r="K93" i="18"/>
  <c r="K86" i="18"/>
  <c r="K90" i="18"/>
  <c r="K94" i="18"/>
  <c r="K87" i="18"/>
  <c r="K91" i="18"/>
  <c r="L87" i="18"/>
  <c r="L91" i="18"/>
  <c r="L88" i="18"/>
  <c r="L92" i="18"/>
  <c r="L85" i="18"/>
  <c r="L89" i="18"/>
  <c r="L93" i="18"/>
  <c r="L86" i="18"/>
  <c r="L90" i="18"/>
  <c r="L94" i="18"/>
  <c r="N86" i="18"/>
  <c r="N90" i="18"/>
  <c r="N94" i="18"/>
  <c r="N87" i="18"/>
  <c r="N91" i="18"/>
  <c r="N88" i="18"/>
  <c r="N92" i="18"/>
  <c r="N85" i="18"/>
  <c r="N89" i="18"/>
  <c r="N93" i="18"/>
  <c r="H85" i="18"/>
  <c r="H89" i="18"/>
  <c r="H93" i="18"/>
  <c r="H86" i="18"/>
  <c r="H94" i="18"/>
  <c r="H90" i="18"/>
  <c r="H87" i="18"/>
  <c r="H91" i="18"/>
  <c r="H88" i="18"/>
  <c r="H92" i="18"/>
  <c r="I90" i="18"/>
  <c r="I94" i="18"/>
  <c r="I88" i="18"/>
  <c r="I92" i="18"/>
  <c r="I85" i="18"/>
  <c r="I89" i="18"/>
  <c r="I93" i="18"/>
  <c r="I86" i="18"/>
  <c r="I87" i="18"/>
  <c r="I91" i="18"/>
  <c r="O94" i="18"/>
  <c r="O87" i="18"/>
  <c r="O86" i="18"/>
  <c r="O90" i="18"/>
  <c r="O91" i="18"/>
  <c r="O85" i="18"/>
  <c r="O88" i="18"/>
  <c r="O92" i="18"/>
  <c r="O89" i="18"/>
  <c r="O93" i="18"/>
  <c r="F86" i="18"/>
  <c r="F90" i="18"/>
  <c r="F94" i="18"/>
  <c r="F91" i="18"/>
  <c r="F87" i="18"/>
  <c r="F88" i="18"/>
  <c r="F92" i="18"/>
  <c r="F85" i="18"/>
  <c r="F89" i="18"/>
  <c r="F93" i="18"/>
  <c r="O84" i="18"/>
  <c r="G90" i="18"/>
  <c r="G94" i="18"/>
  <c r="G87" i="18"/>
  <c r="G91" i="18"/>
  <c r="G86" i="18"/>
  <c r="G89" i="18"/>
  <c r="G93" i="18"/>
  <c r="G88" i="18"/>
  <c r="G92" i="18"/>
  <c r="G85" i="18"/>
  <c r="N84" i="18"/>
  <c r="J84" i="18"/>
  <c r="K84" i="18"/>
  <c r="M84" i="18"/>
  <c r="L84" i="18"/>
  <c r="G84" i="18"/>
  <c r="I84" i="18"/>
  <c r="H84" i="18"/>
  <c r="F84" i="18"/>
  <c r="J12" i="18"/>
  <c r="D53" i="18"/>
  <c r="D56" i="18"/>
  <c r="D59" i="18"/>
  <c r="D61" i="18"/>
  <c r="D60" i="18"/>
  <c r="D54" i="18"/>
  <c r="D62" i="18"/>
  <c r="D52" i="18"/>
  <c r="D58" i="18"/>
  <c r="D31" i="18"/>
  <c r="J12" i="14"/>
  <c r="C5" i="17" s="1"/>
  <c r="C6" i="17" s="1"/>
  <c r="C9" i="17" s="1"/>
  <c r="M6" i="13"/>
  <c r="M30" i="13"/>
  <c r="U86" i="18" l="1"/>
  <c r="V86" i="18"/>
  <c r="W86" i="18"/>
  <c r="X86" i="18"/>
  <c r="Y86" i="18"/>
  <c r="Y94" i="18"/>
  <c r="W94" i="18"/>
  <c r="X94" i="18"/>
  <c r="U94" i="18"/>
  <c r="V94" i="18"/>
  <c r="U92" i="18"/>
  <c r="V92" i="18"/>
  <c r="W92" i="18"/>
  <c r="X92" i="18"/>
  <c r="Y92" i="18"/>
  <c r="U88" i="18"/>
  <c r="V88" i="18"/>
  <c r="W88" i="18"/>
  <c r="X88" i="18"/>
  <c r="Y88" i="18"/>
  <c r="V93" i="18"/>
  <c r="W93" i="18"/>
  <c r="X93" i="18"/>
  <c r="Y93" i="18"/>
  <c r="U93" i="18"/>
  <c r="W87" i="18"/>
  <c r="X87" i="18"/>
  <c r="Y87" i="18"/>
  <c r="V87" i="18"/>
  <c r="U87" i="18"/>
  <c r="X91" i="18"/>
  <c r="Y91" i="18"/>
  <c r="W91" i="18"/>
  <c r="U91" i="18"/>
  <c r="V91" i="18"/>
  <c r="Y85" i="18"/>
  <c r="U85" i="18"/>
  <c r="V85" i="18"/>
  <c r="W85" i="18"/>
  <c r="X85" i="18"/>
  <c r="U90" i="18"/>
  <c r="V90" i="18"/>
  <c r="W90" i="18"/>
  <c r="X90" i="18"/>
  <c r="Y90" i="18"/>
  <c r="W84" i="18"/>
  <c r="X84" i="18"/>
  <c r="V84" i="18"/>
  <c r="U84" i="18"/>
  <c r="E16" i="12"/>
  <c r="F16" i="12"/>
  <c r="G16" i="12"/>
  <c r="H16" i="12"/>
  <c r="I16" i="12"/>
  <c r="J16" i="12"/>
  <c r="K16" i="12"/>
  <c r="L16" i="12"/>
  <c r="M16" i="12"/>
  <c r="D16" i="12"/>
  <c r="D8" i="13"/>
  <c r="D9" i="13"/>
  <c r="C8" i="13"/>
  <c r="I23" i="13" s="1"/>
  <c r="C9" i="13"/>
  <c r="E15" i="12"/>
  <c r="F15" i="12"/>
  <c r="G15" i="12"/>
  <c r="H15" i="12"/>
  <c r="I15" i="12"/>
  <c r="J15" i="12"/>
  <c r="K15" i="12"/>
  <c r="L15" i="12"/>
  <c r="M15" i="12"/>
  <c r="D15" i="12"/>
  <c r="E11" i="12"/>
  <c r="F11" i="12"/>
  <c r="G11" i="12"/>
  <c r="H11" i="12"/>
  <c r="I11" i="12"/>
  <c r="J11" i="12"/>
  <c r="K11" i="12"/>
  <c r="L11" i="12"/>
  <c r="M11" i="12"/>
  <c r="D11" i="12"/>
  <c r="E7" i="12"/>
  <c r="F7" i="12" s="1"/>
  <c r="C5" i="11"/>
  <c r="F10" i="11" s="1"/>
  <c r="F4" i="11"/>
  <c r="C6" i="11" s="1"/>
  <c r="O45" i="2"/>
  <c r="O46" i="2" s="1"/>
  <c r="O47" i="2" s="1"/>
  <c r="O48" i="2" s="1"/>
  <c r="O49" i="2" s="1"/>
  <c r="O50" i="2" s="1"/>
  <c r="O51" i="2" s="1"/>
  <c r="O52" i="2" s="1"/>
  <c r="O30" i="2"/>
  <c r="O31" i="2" s="1"/>
  <c r="O32" i="2" s="1"/>
  <c r="O33" i="2" s="1"/>
  <c r="O34" i="2" s="1"/>
  <c r="O35" i="2" s="1"/>
  <c r="O36" i="2" s="1"/>
  <c r="O37" i="2" s="1"/>
  <c r="F8" i="5"/>
  <c r="F9" i="5"/>
  <c r="C8" i="5"/>
  <c r="C6" i="5"/>
  <c r="C19" i="9"/>
  <c r="E19" i="9" s="1"/>
  <c r="G19" i="9" s="1"/>
  <c r="C8" i="9"/>
  <c r="E8" i="9" s="1"/>
  <c r="C10" i="7"/>
  <c r="C11" i="7"/>
  <c r="E9" i="9"/>
  <c r="G9" i="9" s="1"/>
  <c r="E10" i="9"/>
  <c r="G10" i="9" s="1"/>
  <c r="E11" i="9"/>
  <c r="G11" i="9" s="1"/>
  <c r="E12" i="9"/>
  <c r="G12" i="9" s="1"/>
  <c r="E13" i="9"/>
  <c r="G13" i="9"/>
  <c r="E14" i="9"/>
  <c r="G14" i="9" s="1"/>
  <c r="E15" i="9"/>
  <c r="G15" i="9" s="1"/>
  <c r="E16" i="9"/>
  <c r="G16" i="9" s="1"/>
  <c r="F17" i="9"/>
  <c r="E20" i="9"/>
  <c r="G20" i="9"/>
  <c r="E21" i="9"/>
  <c r="G21" i="9" s="1"/>
  <c r="E22" i="9"/>
  <c r="G22" i="9"/>
  <c r="F32" i="9"/>
  <c r="E38" i="9"/>
  <c r="F38" i="9"/>
  <c r="F42" i="9" s="1"/>
  <c r="C23" i="9" s="1"/>
  <c r="E23" i="9" s="1"/>
  <c r="G23" i="9" s="1"/>
  <c r="L7" i="8"/>
  <c r="N7" i="8" s="1"/>
  <c r="L8" i="8"/>
  <c r="R8" i="8" s="1"/>
  <c r="N8" i="8"/>
  <c r="L9" i="8"/>
  <c r="N9" i="8"/>
  <c r="R9" i="8"/>
  <c r="L10" i="8"/>
  <c r="N10" i="8" s="1"/>
  <c r="H11" i="8"/>
  <c r="I11" i="8"/>
  <c r="J11" i="8"/>
  <c r="K11" i="8"/>
  <c r="O11" i="8"/>
  <c r="P11" i="8"/>
  <c r="S11" i="8" s="1"/>
  <c r="Q11" i="8"/>
  <c r="L18" i="8"/>
  <c r="N18" i="8" s="1"/>
  <c r="N22" i="8" s="1"/>
  <c r="L19" i="8"/>
  <c r="N19" i="8"/>
  <c r="R19" i="8"/>
  <c r="L20" i="8"/>
  <c r="N20" i="8"/>
  <c r="R20" i="8"/>
  <c r="L21" i="8"/>
  <c r="N21" i="8" s="1"/>
  <c r="H22" i="8"/>
  <c r="I22" i="8"/>
  <c r="J22" i="8"/>
  <c r="K22" i="8"/>
  <c r="L22" i="8"/>
  <c r="O22" i="8"/>
  <c r="P22" i="8"/>
  <c r="S22" i="8" s="1"/>
  <c r="Q22" i="8"/>
  <c r="L29" i="8"/>
  <c r="N29" i="8" s="1"/>
  <c r="L30" i="8"/>
  <c r="N30" i="8"/>
  <c r="L31" i="8"/>
  <c r="N31" i="8" s="1"/>
  <c r="R31" i="8"/>
  <c r="L32" i="8"/>
  <c r="N32" i="8" s="1"/>
  <c r="H33" i="8"/>
  <c r="I33" i="8"/>
  <c r="I155" i="8" s="1"/>
  <c r="J33" i="8"/>
  <c r="K33" i="8"/>
  <c r="O33" i="8"/>
  <c r="O155" i="8" s="1"/>
  <c r="P33" i="8"/>
  <c r="Q33" i="8"/>
  <c r="L40" i="8"/>
  <c r="R40" i="8" s="1"/>
  <c r="N40" i="8"/>
  <c r="L41" i="8"/>
  <c r="N41" i="8"/>
  <c r="L42" i="8"/>
  <c r="N42" i="8" s="1"/>
  <c r="L43" i="8"/>
  <c r="R43" i="8" s="1"/>
  <c r="N43" i="8"/>
  <c r="H44" i="8"/>
  <c r="I44" i="8"/>
  <c r="J44" i="8"/>
  <c r="K44" i="8"/>
  <c r="O44" i="8"/>
  <c r="S44" i="8" s="1"/>
  <c r="P44" i="8"/>
  <c r="P155" i="8" s="1"/>
  <c r="Q44" i="8"/>
  <c r="L51" i="8"/>
  <c r="N51" i="8"/>
  <c r="R51" i="8"/>
  <c r="R55" i="8" s="1"/>
  <c r="L52" i="8"/>
  <c r="N52" i="8" s="1"/>
  <c r="L53" i="8"/>
  <c r="N53" i="8"/>
  <c r="R53" i="8"/>
  <c r="L54" i="8"/>
  <c r="N54" i="8"/>
  <c r="R54" i="8"/>
  <c r="H55" i="8"/>
  <c r="I55" i="8"/>
  <c r="J55" i="8"/>
  <c r="K55" i="8"/>
  <c r="O55" i="8"/>
  <c r="S55" i="8" s="1"/>
  <c r="P55" i="8"/>
  <c r="Q55" i="8"/>
  <c r="L62" i="8"/>
  <c r="N62" i="8" s="1"/>
  <c r="R62" i="8"/>
  <c r="R66" i="8" s="1"/>
  <c r="L63" i="8"/>
  <c r="N63" i="8" s="1"/>
  <c r="L64" i="8"/>
  <c r="N64" i="8"/>
  <c r="R64" i="8"/>
  <c r="L65" i="8"/>
  <c r="N65" i="8" s="1"/>
  <c r="R65" i="8"/>
  <c r="H66" i="8"/>
  <c r="H155" i="8" s="1"/>
  <c r="I66" i="8"/>
  <c r="J66" i="8"/>
  <c r="K66" i="8"/>
  <c r="O66" i="8"/>
  <c r="S66" i="8" s="1"/>
  <c r="P66" i="8"/>
  <c r="Q66" i="8"/>
  <c r="Q155" i="8" s="1"/>
  <c r="J73" i="8"/>
  <c r="L73" i="8" s="1"/>
  <c r="J74" i="8"/>
  <c r="L74" i="8" s="1"/>
  <c r="N74" i="8" s="1"/>
  <c r="J75" i="8"/>
  <c r="L75" i="8"/>
  <c r="N75" i="8" s="1"/>
  <c r="J76" i="8"/>
  <c r="L76" i="8"/>
  <c r="N76" i="8" s="1"/>
  <c r="H77" i="8"/>
  <c r="I77" i="8"/>
  <c r="K77" i="8"/>
  <c r="O77" i="8"/>
  <c r="S77" i="8" s="1"/>
  <c r="P77" i="8"/>
  <c r="Q77" i="8"/>
  <c r="L84" i="8"/>
  <c r="R84" i="8" s="1"/>
  <c r="N84" i="8"/>
  <c r="N88" i="8" s="1"/>
  <c r="L85" i="8"/>
  <c r="N85" i="8"/>
  <c r="L86" i="8"/>
  <c r="N86" i="8" s="1"/>
  <c r="L87" i="8"/>
  <c r="R87" i="8" s="1"/>
  <c r="N87" i="8"/>
  <c r="H88" i="8"/>
  <c r="I88" i="8"/>
  <c r="J88" i="8"/>
  <c r="K88" i="8"/>
  <c r="O88" i="8"/>
  <c r="S88" i="8" s="1"/>
  <c r="P88" i="8"/>
  <c r="Q88" i="8"/>
  <c r="L95" i="8"/>
  <c r="N95" i="8"/>
  <c r="R95" i="8"/>
  <c r="R99" i="8" s="1"/>
  <c r="L96" i="8"/>
  <c r="N96" i="8" s="1"/>
  <c r="L97" i="8"/>
  <c r="N97" i="8"/>
  <c r="R97" i="8"/>
  <c r="L98" i="8"/>
  <c r="N98" i="8"/>
  <c r="R98" i="8"/>
  <c r="H99" i="8"/>
  <c r="I99" i="8"/>
  <c r="J99" i="8"/>
  <c r="K99" i="8"/>
  <c r="O99" i="8"/>
  <c r="S99" i="8" s="1"/>
  <c r="P99" i="8"/>
  <c r="Q99" i="8"/>
  <c r="L106" i="8"/>
  <c r="N106" i="8" s="1"/>
  <c r="R106" i="8"/>
  <c r="L107" i="8"/>
  <c r="N107" i="8" s="1"/>
  <c r="L108" i="8"/>
  <c r="N108" i="8"/>
  <c r="R108" i="8"/>
  <c r="L109" i="8"/>
  <c r="N109" i="8" s="1"/>
  <c r="R109" i="8"/>
  <c r="H110" i="8"/>
  <c r="I110" i="8"/>
  <c r="J110" i="8"/>
  <c r="K110" i="8"/>
  <c r="O110" i="8"/>
  <c r="P110" i="8"/>
  <c r="S110" i="8" s="1"/>
  <c r="Q110" i="8"/>
  <c r="R110" i="8"/>
  <c r="L117" i="8"/>
  <c r="L121" i="8" s="1"/>
  <c r="L118" i="8"/>
  <c r="N118" i="8"/>
  <c r="R118" i="8"/>
  <c r="L119" i="8"/>
  <c r="N119" i="8"/>
  <c r="L120" i="8"/>
  <c r="N120" i="8" s="1"/>
  <c r="H121" i="8"/>
  <c r="I121" i="8"/>
  <c r="J121" i="8"/>
  <c r="K121" i="8"/>
  <c r="O121" i="8"/>
  <c r="P121" i="8"/>
  <c r="Q121" i="8"/>
  <c r="S121" i="8"/>
  <c r="J128" i="8"/>
  <c r="L128" i="8"/>
  <c r="N128" i="8" s="1"/>
  <c r="J129" i="8"/>
  <c r="J132" i="8" s="1"/>
  <c r="L129" i="8"/>
  <c r="N129" i="8" s="1"/>
  <c r="J130" i="8"/>
  <c r="L130" i="8"/>
  <c r="N130" i="8" s="1"/>
  <c r="J131" i="8"/>
  <c r="L131" i="8"/>
  <c r="N131" i="8"/>
  <c r="R131" i="8"/>
  <c r="H132" i="8"/>
  <c r="I132" i="8"/>
  <c r="K132" i="8"/>
  <c r="O132" i="8"/>
  <c r="S132" i="8" s="1"/>
  <c r="P132" i="8"/>
  <c r="Q132" i="8"/>
  <c r="H139" i="8"/>
  <c r="I139" i="8"/>
  <c r="I143" i="8" s="1"/>
  <c r="J139" i="8"/>
  <c r="K139" i="8"/>
  <c r="K143" i="8" s="1"/>
  <c r="M139" i="8"/>
  <c r="O139" i="8"/>
  <c r="P139" i="8"/>
  <c r="Q139" i="8"/>
  <c r="Q143" i="8" s="1"/>
  <c r="H140" i="8"/>
  <c r="H143" i="8" s="1"/>
  <c r="I140" i="8"/>
  <c r="K140" i="8"/>
  <c r="M140" i="8"/>
  <c r="O140" i="8"/>
  <c r="P140" i="8"/>
  <c r="Q140" i="8"/>
  <c r="H141" i="8"/>
  <c r="I141" i="8"/>
  <c r="J141" i="8"/>
  <c r="K141" i="8"/>
  <c r="L141" i="8"/>
  <c r="M141" i="8"/>
  <c r="O141" i="8"/>
  <c r="P141" i="8"/>
  <c r="Q141" i="8"/>
  <c r="H142" i="8"/>
  <c r="I142" i="8"/>
  <c r="J142" i="8"/>
  <c r="K142" i="8"/>
  <c r="M142" i="8"/>
  <c r="O142" i="8"/>
  <c r="P142" i="8"/>
  <c r="Q142" i="8"/>
  <c r="O143" i="8"/>
  <c r="P143" i="8"/>
  <c r="K155" i="8"/>
  <c r="E12" i="7"/>
  <c r="F11" i="3"/>
  <c r="F12" i="3"/>
  <c r="F13" i="3"/>
  <c r="F14" i="3"/>
  <c r="F16" i="3"/>
  <c r="F17" i="3"/>
  <c r="F18" i="3"/>
  <c r="F19" i="3"/>
  <c r="F20" i="3"/>
  <c r="F21" i="3"/>
  <c r="F22" i="3"/>
  <c r="F23" i="3"/>
  <c r="F24" i="3"/>
  <c r="F25" i="3"/>
  <c r="F10" i="3"/>
  <c r="E11" i="11" l="1"/>
  <c r="C11" i="11"/>
  <c r="E9" i="13"/>
  <c r="J9" i="13" s="1"/>
  <c r="E8" i="13"/>
  <c r="J8" i="13" s="1"/>
  <c r="C7" i="5"/>
  <c r="I24" i="13"/>
  <c r="K10" i="11"/>
  <c r="C139" i="11" s="1"/>
  <c r="G8" i="9"/>
  <c r="G17" i="9" s="1"/>
  <c r="E17" i="9"/>
  <c r="G24" i="9"/>
  <c r="G25" i="9" s="1"/>
  <c r="N33" i="8"/>
  <c r="N142" i="8"/>
  <c r="N132" i="8"/>
  <c r="N110" i="8"/>
  <c r="N99" i="8"/>
  <c r="N140" i="8"/>
  <c r="N44" i="8"/>
  <c r="N141" i="8"/>
  <c r="N66" i="8"/>
  <c r="N55" i="8"/>
  <c r="S23" i="8"/>
  <c r="R44" i="8"/>
  <c r="N73" i="8"/>
  <c r="N77" i="8" s="1"/>
  <c r="R73" i="8"/>
  <c r="L77" i="8"/>
  <c r="S78" i="8" s="1"/>
  <c r="S155" i="8"/>
  <c r="N11" i="8"/>
  <c r="L11" i="8"/>
  <c r="L132" i="8"/>
  <c r="S133" i="8" s="1"/>
  <c r="R128" i="8"/>
  <c r="R120" i="8"/>
  <c r="R117" i="8"/>
  <c r="R121" i="8" s="1"/>
  <c r="L88" i="8"/>
  <c r="S89" i="8" s="1"/>
  <c r="R86" i="8"/>
  <c r="R88" i="8" s="1"/>
  <c r="R75" i="8"/>
  <c r="R141" i="8" s="1"/>
  <c r="L44" i="8"/>
  <c r="S45" i="8" s="1"/>
  <c r="R42" i="8"/>
  <c r="L33" i="8"/>
  <c r="L140" i="8"/>
  <c r="N117" i="8"/>
  <c r="N121" i="8" s="1"/>
  <c r="S122" i="8" s="1"/>
  <c r="L99" i="8"/>
  <c r="J77" i="8"/>
  <c r="J155" i="8" s="1"/>
  <c r="L55" i="8"/>
  <c r="S56" i="8" s="1"/>
  <c r="S33" i="8"/>
  <c r="L66" i="8"/>
  <c r="S67" i="8" s="1"/>
  <c r="L142" i="8"/>
  <c r="J140" i="8"/>
  <c r="J143" i="8" s="1"/>
  <c r="R21" i="8"/>
  <c r="R10" i="8"/>
  <c r="L110" i="8"/>
  <c r="L139" i="8"/>
  <c r="L143" i="8" s="1"/>
  <c r="R129" i="8"/>
  <c r="R140" i="8" s="1"/>
  <c r="R76" i="8"/>
  <c r="R32" i="8"/>
  <c r="R29" i="8"/>
  <c r="R33" i="8" s="1"/>
  <c r="R18" i="8"/>
  <c r="R22" i="8" s="1"/>
  <c r="R7" i="8"/>
  <c r="L14" i="12" l="1"/>
  <c r="C5" i="5"/>
  <c r="C10" i="5" s="1"/>
  <c r="C14" i="13" s="1"/>
  <c r="E14" i="12"/>
  <c r="M14" i="12"/>
  <c r="F14" i="12"/>
  <c r="D14" i="12"/>
  <c r="J14" i="12"/>
  <c r="G14" i="12"/>
  <c r="H14" i="12"/>
  <c r="I14" i="12"/>
  <c r="K14" i="12"/>
  <c r="C16" i="11"/>
  <c r="C24" i="11"/>
  <c r="C32" i="11"/>
  <c r="C40" i="11"/>
  <c r="C48" i="11"/>
  <c r="C56" i="11"/>
  <c r="C64" i="11"/>
  <c r="C72" i="11"/>
  <c r="C80" i="11"/>
  <c r="C88" i="11"/>
  <c r="C96" i="11"/>
  <c r="C104" i="11"/>
  <c r="C112" i="11"/>
  <c r="C120" i="11"/>
  <c r="C128" i="11"/>
  <c r="C37" i="11"/>
  <c r="C77" i="11"/>
  <c r="C101" i="11"/>
  <c r="C22" i="11"/>
  <c r="C62" i="11"/>
  <c r="C102" i="11"/>
  <c r="C17" i="11"/>
  <c r="C25" i="11"/>
  <c r="C33" i="11"/>
  <c r="C41" i="11"/>
  <c r="C49" i="11"/>
  <c r="C57" i="11"/>
  <c r="C65" i="11"/>
  <c r="C73" i="11"/>
  <c r="C81" i="11"/>
  <c r="C89" i="11"/>
  <c r="C97" i="11"/>
  <c r="C105" i="11"/>
  <c r="C113" i="11"/>
  <c r="C121" i="11"/>
  <c r="C129" i="11"/>
  <c r="C29" i="11"/>
  <c r="C61" i="11"/>
  <c r="C93" i="11"/>
  <c r="C125" i="11"/>
  <c r="C30" i="11"/>
  <c r="C54" i="11"/>
  <c r="C94" i="11"/>
  <c r="C18" i="11"/>
  <c r="C26" i="11"/>
  <c r="C34" i="11"/>
  <c r="C42" i="11"/>
  <c r="C50" i="11"/>
  <c r="C58" i="11"/>
  <c r="C66" i="11"/>
  <c r="C74" i="11"/>
  <c r="C82" i="11"/>
  <c r="C90" i="11"/>
  <c r="C98" i="11"/>
  <c r="C106" i="11"/>
  <c r="C114" i="11"/>
  <c r="C122" i="11"/>
  <c r="C130" i="11"/>
  <c r="C13" i="11"/>
  <c r="C85" i="11"/>
  <c r="C86" i="11"/>
  <c r="C19" i="11"/>
  <c r="C27" i="11"/>
  <c r="C35" i="11"/>
  <c r="C43" i="11"/>
  <c r="C51" i="11"/>
  <c r="C59" i="11"/>
  <c r="C67" i="11"/>
  <c r="C75" i="11"/>
  <c r="C83" i="11"/>
  <c r="C91" i="11"/>
  <c r="C99" i="11"/>
  <c r="C107" i="11"/>
  <c r="C115" i="11"/>
  <c r="C123" i="11"/>
  <c r="C21" i="11"/>
  <c r="C69" i="11"/>
  <c r="C117" i="11"/>
  <c r="C14" i="11"/>
  <c r="C70" i="11"/>
  <c r="C126" i="11"/>
  <c r="C12" i="11"/>
  <c r="C20" i="11"/>
  <c r="C28" i="11"/>
  <c r="C36" i="11"/>
  <c r="C44" i="11"/>
  <c r="C52" i="11"/>
  <c r="C60" i="11"/>
  <c r="C68" i="11"/>
  <c r="C76" i="11"/>
  <c r="C84" i="11"/>
  <c r="C92" i="11"/>
  <c r="C100" i="11"/>
  <c r="C108" i="11"/>
  <c r="C116" i="11"/>
  <c r="C124" i="11"/>
  <c r="C53" i="11"/>
  <c r="C109" i="11"/>
  <c r="C46" i="11"/>
  <c r="C110" i="11"/>
  <c r="C15" i="11"/>
  <c r="C23" i="11"/>
  <c r="C31" i="11"/>
  <c r="C39" i="11"/>
  <c r="C47" i="11"/>
  <c r="C55" i="11"/>
  <c r="C63" i="11"/>
  <c r="C71" i="11"/>
  <c r="C79" i="11"/>
  <c r="C87" i="11"/>
  <c r="C95" i="11"/>
  <c r="C103" i="11"/>
  <c r="C111" i="11"/>
  <c r="C119" i="11"/>
  <c r="C127" i="11"/>
  <c r="C45" i="11"/>
  <c r="C38" i="11"/>
  <c r="C78" i="11"/>
  <c r="C118" i="11"/>
  <c r="D11" i="11"/>
  <c r="L155" i="8"/>
  <c r="S12" i="8"/>
  <c r="N139" i="8"/>
  <c r="N143" i="8" s="1"/>
  <c r="S111" i="8"/>
  <c r="N155" i="8"/>
  <c r="R11" i="8"/>
  <c r="R155" i="8" s="1"/>
  <c r="R139" i="8"/>
  <c r="R143" i="8" s="1"/>
  <c r="R142" i="8"/>
  <c r="S100" i="8"/>
  <c r="S34" i="8"/>
  <c r="R132" i="8"/>
  <c r="R77" i="8"/>
  <c r="H34" i="11" l="1"/>
  <c r="H46" i="11"/>
  <c r="H94" i="11"/>
  <c r="H82" i="11"/>
  <c r="H106" i="11"/>
  <c r="H118" i="11"/>
  <c r="H70" i="11"/>
  <c r="H130" i="11"/>
  <c r="C131" i="11"/>
  <c r="H58" i="11"/>
  <c r="H22" i="11"/>
  <c r="H136" i="11" s="1"/>
  <c r="F11" i="11"/>
  <c r="E12" i="11" s="1"/>
  <c r="D12" i="11" s="1"/>
  <c r="F12" i="11" s="1"/>
  <c r="S156" i="8"/>
  <c r="M136" i="11" l="1"/>
  <c r="E136" i="11"/>
  <c r="L136" i="11"/>
  <c r="D136" i="11"/>
  <c r="F136" i="11"/>
  <c r="H131" i="11"/>
  <c r="J136" i="11"/>
  <c r="G136" i="11"/>
  <c r="K136" i="11"/>
  <c r="I136" i="11"/>
  <c r="E13" i="11"/>
  <c r="D13" i="11" s="1"/>
  <c r="F13" i="11" s="1"/>
  <c r="E14" i="11" s="1"/>
  <c r="D14" i="11" s="1"/>
  <c r="F14" i="11" s="1"/>
  <c r="E15" i="11" s="1"/>
  <c r="D15" i="11" s="1"/>
  <c r="F15" i="11" s="1"/>
  <c r="E16" i="11" l="1"/>
  <c r="D16" i="11" s="1"/>
  <c r="F16" i="11" s="1"/>
  <c r="E17" i="11" s="1"/>
  <c r="D17" i="11" s="1"/>
  <c r="F17" i="11" s="1"/>
  <c r="E18" i="11" l="1"/>
  <c r="D18" i="11" s="1"/>
  <c r="F18" i="11" s="1"/>
  <c r="E19" i="11" l="1"/>
  <c r="D19" i="11" s="1"/>
  <c r="F19" i="11" s="1"/>
  <c r="E20" i="11" l="1"/>
  <c r="D20" i="11" s="1"/>
  <c r="F20" i="11" s="1"/>
  <c r="E21" i="11" l="1"/>
  <c r="D21" i="11" s="1"/>
  <c r="F21" i="11" s="1"/>
  <c r="E22" i="11" s="1"/>
  <c r="D22" i="11" l="1"/>
  <c r="F22" i="11" s="1"/>
  <c r="E23" i="11" l="1"/>
  <c r="D23" i="11" s="1"/>
  <c r="F23" i="11" s="1"/>
  <c r="E24" i="11" l="1"/>
  <c r="D24" i="11" s="1"/>
  <c r="F24" i="11" s="1"/>
  <c r="E25" i="11" l="1"/>
  <c r="D25" i="11" s="1"/>
  <c r="F25" i="11" s="1"/>
  <c r="E26" i="11" l="1"/>
  <c r="D26" i="11" s="1"/>
  <c r="F26" i="11" s="1"/>
  <c r="E27" i="11" l="1"/>
  <c r="D27" i="11" s="1"/>
  <c r="F27" i="11" s="1"/>
  <c r="E28" i="11" l="1"/>
  <c r="D28" i="11" s="1"/>
  <c r="F28" i="11" s="1"/>
  <c r="E29" i="11" l="1"/>
  <c r="D29" i="11" s="1"/>
  <c r="F29" i="11" s="1"/>
  <c r="E30" i="11" l="1"/>
  <c r="D30" i="11" s="1"/>
  <c r="F30" i="11" s="1"/>
  <c r="E31" i="11" l="1"/>
  <c r="D31" i="11" s="1"/>
  <c r="F31" i="11" s="1"/>
  <c r="E32" i="11" l="1"/>
  <c r="D32" i="11" s="1"/>
  <c r="F32" i="11" s="1"/>
  <c r="E33" i="11" l="1"/>
  <c r="D33" i="11" s="1"/>
  <c r="F33" i="11" s="1"/>
  <c r="E34" i="11" l="1"/>
  <c r="D34" i="11" s="1"/>
  <c r="F34" i="11" s="1"/>
  <c r="E35" i="11" l="1"/>
  <c r="D35" i="11" s="1"/>
  <c r="F35" i="11" s="1"/>
  <c r="J22" i="11"/>
  <c r="E36" i="11" l="1"/>
  <c r="D36" i="11" s="1"/>
  <c r="F36" i="11" s="1"/>
  <c r="I22" i="11"/>
  <c r="D137" i="11" l="1"/>
  <c r="E37" i="11"/>
  <c r="D37" i="11" s="1"/>
  <c r="F37" i="11" s="1"/>
  <c r="K22" i="11"/>
  <c r="D139" i="11" l="1"/>
  <c r="D26" i="16"/>
  <c r="D138" i="11"/>
  <c r="E38" i="11"/>
  <c r="D38" i="11" s="1"/>
  <c r="F38" i="11" s="1"/>
  <c r="D18" i="12" l="1"/>
  <c r="D27" i="16"/>
  <c r="E39" i="11"/>
  <c r="D39" i="11" s="1"/>
  <c r="F39" i="11" s="1"/>
  <c r="C9" i="4"/>
  <c r="C14" i="4"/>
  <c r="C16" i="4"/>
  <c r="C17" i="4"/>
  <c r="C22" i="4"/>
  <c r="C8" i="4"/>
  <c r="E13" i="6"/>
  <c r="E25" i="6" s="1"/>
  <c r="E37" i="6" s="1"/>
  <c r="E49" i="6" s="1"/>
  <c r="E61" i="6" s="1"/>
  <c r="E73" i="6" s="1"/>
  <c r="E85" i="6" s="1"/>
  <c r="E97" i="6" s="1"/>
  <c r="E109" i="6" s="1"/>
  <c r="E121" i="6" s="1"/>
  <c r="F13" i="6"/>
  <c r="F25" i="6" s="1"/>
  <c r="F37" i="6" s="1"/>
  <c r="F49" i="6" s="1"/>
  <c r="F61" i="6" s="1"/>
  <c r="F73" i="6" s="1"/>
  <c r="G13" i="6"/>
  <c r="G25" i="6" s="1"/>
  <c r="H13" i="6"/>
  <c r="H25" i="6" s="1"/>
  <c r="H37" i="6" s="1"/>
  <c r="H49" i="6" s="1"/>
  <c r="H61" i="6" s="1"/>
  <c r="H73" i="6" s="1"/>
  <c r="H85" i="6" s="1"/>
  <c r="I13" i="6"/>
  <c r="I25" i="6" s="1"/>
  <c r="I37" i="6" s="1"/>
  <c r="I49" i="6" s="1"/>
  <c r="I61" i="6" s="1"/>
  <c r="I73" i="6" s="1"/>
  <c r="I85" i="6" s="1"/>
  <c r="I97" i="6" s="1"/>
  <c r="J13" i="6"/>
  <c r="J25" i="6" s="1"/>
  <c r="K13" i="6"/>
  <c r="K25" i="6" s="1"/>
  <c r="K37" i="6" s="1"/>
  <c r="K49" i="6" s="1"/>
  <c r="K61" i="6" s="1"/>
  <c r="K73" i="6" s="1"/>
  <c r="K85" i="6" s="1"/>
  <c r="K97" i="6" s="1"/>
  <c r="K109" i="6" s="1"/>
  <c r="K121" i="6" s="1"/>
  <c r="L13" i="6"/>
  <c r="L25" i="6" s="1"/>
  <c r="L37" i="6" s="1"/>
  <c r="L49" i="6" s="1"/>
  <c r="M13" i="6"/>
  <c r="M25" i="6" s="1"/>
  <c r="M37" i="6" s="1"/>
  <c r="M49" i="6" s="1"/>
  <c r="M61" i="6" s="1"/>
  <c r="M73" i="6" s="1"/>
  <c r="M85" i="6" s="1"/>
  <c r="M97" i="6" s="1"/>
  <c r="M109" i="6" s="1"/>
  <c r="M121" i="6" s="1"/>
  <c r="N13" i="6"/>
  <c r="N25" i="6" s="1"/>
  <c r="N37" i="6" s="1"/>
  <c r="N49" i="6" s="1"/>
  <c r="N61" i="6" s="1"/>
  <c r="N73" i="6" s="1"/>
  <c r="O13" i="6"/>
  <c r="O25" i="6" s="1"/>
  <c r="E14" i="6"/>
  <c r="E26" i="6" s="1"/>
  <c r="E38" i="6" s="1"/>
  <c r="E50" i="6" s="1"/>
  <c r="E62" i="6" s="1"/>
  <c r="E74" i="6" s="1"/>
  <c r="E86" i="6" s="1"/>
  <c r="E98" i="6" s="1"/>
  <c r="E110" i="6" s="1"/>
  <c r="E122" i="6" s="1"/>
  <c r="F14" i="6"/>
  <c r="F26" i="6" s="1"/>
  <c r="F38" i="6" s="1"/>
  <c r="F50" i="6" s="1"/>
  <c r="F62" i="6" s="1"/>
  <c r="F74" i="6" s="1"/>
  <c r="F86" i="6" s="1"/>
  <c r="F98" i="6" s="1"/>
  <c r="F110" i="6" s="1"/>
  <c r="F122" i="6" s="1"/>
  <c r="G14" i="6"/>
  <c r="G26" i="6" s="1"/>
  <c r="G38" i="6" s="1"/>
  <c r="G50" i="6" s="1"/>
  <c r="G62" i="6" s="1"/>
  <c r="G74" i="6" s="1"/>
  <c r="G86" i="6" s="1"/>
  <c r="G98" i="6" s="1"/>
  <c r="G110" i="6" s="1"/>
  <c r="G122" i="6" s="1"/>
  <c r="H14" i="6"/>
  <c r="H26" i="6" s="1"/>
  <c r="I14" i="6"/>
  <c r="I26" i="6" s="1"/>
  <c r="I38" i="6" s="1"/>
  <c r="I50" i="6" s="1"/>
  <c r="I62" i="6" s="1"/>
  <c r="I74" i="6" s="1"/>
  <c r="I86" i="6" s="1"/>
  <c r="I98" i="6" s="1"/>
  <c r="I110" i="6" s="1"/>
  <c r="I122" i="6" s="1"/>
  <c r="J14" i="6"/>
  <c r="J26" i="6" s="1"/>
  <c r="J38" i="6" s="1"/>
  <c r="J50" i="6" s="1"/>
  <c r="J62" i="6" s="1"/>
  <c r="J74" i="6" s="1"/>
  <c r="J86" i="6" s="1"/>
  <c r="J98" i="6" s="1"/>
  <c r="J110" i="6" s="1"/>
  <c r="J122" i="6" s="1"/>
  <c r="K14" i="6"/>
  <c r="K26" i="6" s="1"/>
  <c r="K38" i="6" s="1"/>
  <c r="K50" i="6" s="1"/>
  <c r="K62" i="6" s="1"/>
  <c r="K74" i="6" s="1"/>
  <c r="K86" i="6" s="1"/>
  <c r="K98" i="6" s="1"/>
  <c r="K110" i="6" s="1"/>
  <c r="K122" i="6" s="1"/>
  <c r="L14" i="6"/>
  <c r="L26" i="6" s="1"/>
  <c r="L38" i="6" s="1"/>
  <c r="L50" i="6" s="1"/>
  <c r="L62" i="6" s="1"/>
  <c r="L74" i="6" s="1"/>
  <c r="L86" i="6" s="1"/>
  <c r="L98" i="6" s="1"/>
  <c r="L110" i="6" s="1"/>
  <c r="L122" i="6" s="1"/>
  <c r="M14" i="6"/>
  <c r="M26" i="6" s="1"/>
  <c r="M38" i="6" s="1"/>
  <c r="M50" i="6" s="1"/>
  <c r="M62" i="6" s="1"/>
  <c r="M74" i="6" s="1"/>
  <c r="M86" i="6" s="1"/>
  <c r="M98" i="6" s="1"/>
  <c r="M110" i="6" s="1"/>
  <c r="M122" i="6" s="1"/>
  <c r="N14" i="6"/>
  <c r="N26" i="6" s="1"/>
  <c r="N38" i="6" s="1"/>
  <c r="N50" i="6" s="1"/>
  <c r="N62" i="6" s="1"/>
  <c r="N74" i="6" s="1"/>
  <c r="N86" i="6" s="1"/>
  <c r="N98" i="6" s="1"/>
  <c r="O14" i="6"/>
  <c r="O26" i="6" s="1"/>
  <c r="O38" i="6" s="1"/>
  <c r="O50" i="6" s="1"/>
  <c r="O62" i="6" s="1"/>
  <c r="O74" i="6" s="1"/>
  <c r="O86" i="6" s="1"/>
  <c r="O98" i="6" s="1"/>
  <c r="O110" i="6" s="1"/>
  <c r="O122" i="6" s="1"/>
  <c r="D14" i="6"/>
  <c r="D26" i="6" s="1"/>
  <c r="D38" i="6" s="1"/>
  <c r="D50" i="6" s="1"/>
  <c r="D62" i="6" s="1"/>
  <c r="D74" i="6" s="1"/>
  <c r="D86" i="6" s="1"/>
  <c r="D98" i="6" s="1"/>
  <c r="D110" i="6" s="1"/>
  <c r="D122" i="6" s="1"/>
  <c r="D13" i="6"/>
  <c r="D25" i="6" s="1"/>
  <c r="D37" i="6" s="1"/>
  <c r="D49" i="6" s="1"/>
  <c r="D61" i="6" s="1"/>
  <c r="D73" i="6" s="1"/>
  <c r="D85" i="6" s="1"/>
  <c r="D97" i="6" s="1"/>
  <c r="D109" i="6" s="1"/>
  <c r="D121" i="6" s="1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8" i="4"/>
  <c r="C10" i="4"/>
  <c r="F10" i="4" s="1"/>
  <c r="G10" i="4" s="1"/>
  <c r="C11" i="4"/>
  <c r="F11" i="4" s="1"/>
  <c r="G11" i="4" s="1"/>
  <c r="C12" i="4"/>
  <c r="F12" i="4" s="1"/>
  <c r="G12" i="4" s="1"/>
  <c r="C13" i="4"/>
  <c r="F13" i="4" s="1"/>
  <c r="G13" i="4" s="1"/>
  <c r="C15" i="4"/>
  <c r="C18" i="4"/>
  <c r="C19" i="4"/>
  <c r="C20" i="4"/>
  <c r="F20" i="4" s="1"/>
  <c r="G20" i="4" s="1"/>
  <c r="C21" i="4"/>
  <c r="F21" i="4" s="1"/>
  <c r="G21" i="4" s="1"/>
  <c r="C23" i="4"/>
  <c r="C7" i="4"/>
  <c r="G8" i="3"/>
  <c r="G27" i="3"/>
  <c r="G29" i="3"/>
  <c r="G30" i="3"/>
  <c r="G31" i="3"/>
  <c r="G28" i="3"/>
  <c r="G10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9" i="3"/>
  <c r="D98" i="2"/>
  <c r="S98" i="2" s="1"/>
  <c r="L124" i="2" s="1"/>
  <c r="D83" i="2"/>
  <c r="S83" i="2" s="1"/>
  <c r="E83" i="2"/>
  <c r="T83" i="2" s="1"/>
  <c r="F83" i="2"/>
  <c r="U83" i="2" s="1"/>
  <c r="G83" i="2"/>
  <c r="V83" i="2" s="1"/>
  <c r="H83" i="2"/>
  <c r="W83" i="2" s="1"/>
  <c r="I83" i="2"/>
  <c r="X83" i="2" s="1"/>
  <c r="J83" i="2"/>
  <c r="Y83" i="2" s="1"/>
  <c r="K83" i="2"/>
  <c r="Z83" i="2" s="1"/>
  <c r="L83" i="2"/>
  <c r="AA83" i="2" s="1"/>
  <c r="N83" i="2"/>
  <c r="AC83" i="2" s="1"/>
  <c r="C83" i="2"/>
  <c r="R83" i="2" s="1"/>
  <c r="O84" i="2"/>
  <c r="K84" i="2" s="1"/>
  <c r="Z84" i="2" s="1"/>
  <c r="M76" i="2"/>
  <c r="L76" i="2"/>
  <c r="K76" i="2"/>
  <c r="J76" i="2"/>
  <c r="I76" i="2"/>
  <c r="H76" i="2"/>
  <c r="G76" i="2"/>
  <c r="F76" i="2"/>
  <c r="E76" i="2"/>
  <c r="M75" i="2"/>
  <c r="L75" i="2"/>
  <c r="K75" i="2"/>
  <c r="J75" i="2"/>
  <c r="I75" i="2"/>
  <c r="H75" i="2"/>
  <c r="G75" i="2"/>
  <c r="F75" i="2"/>
  <c r="E75" i="2"/>
  <c r="D75" i="2"/>
  <c r="D74" i="2"/>
  <c r="D44" i="2"/>
  <c r="E44" i="2"/>
  <c r="F44" i="2"/>
  <c r="G44" i="2"/>
  <c r="H44" i="2"/>
  <c r="I44" i="2"/>
  <c r="J44" i="2"/>
  <c r="K44" i="2"/>
  <c r="L44" i="2"/>
  <c r="N44" i="2"/>
  <c r="D45" i="2"/>
  <c r="E45" i="2"/>
  <c r="F45" i="2"/>
  <c r="G45" i="2"/>
  <c r="H45" i="2"/>
  <c r="I45" i="2"/>
  <c r="J45" i="2"/>
  <c r="K45" i="2"/>
  <c r="L45" i="2"/>
  <c r="N45" i="2"/>
  <c r="D46" i="2"/>
  <c r="E46" i="2"/>
  <c r="F46" i="2"/>
  <c r="G46" i="2"/>
  <c r="H46" i="2"/>
  <c r="I46" i="2"/>
  <c r="J46" i="2"/>
  <c r="K46" i="2"/>
  <c r="L46" i="2"/>
  <c r="N46" i="2"/>
  <c r="D47" i="2"/>
  <c r="E47" i="2"/>
  <c r="F47" i="2"/>
  <c r="G47" i="2"/>
  <c r="H47" i="2"/>
  <c r="I47" i="2"/>
  <c r="J47" i="2"/>
  <c r="K47" i="2"/>
  <c r="L47" i="2"/>
  <c r="N47" i="2"/>
  <c r="D48" i="2"/>
  <c r="E48" i="2"/>
  <c r="F48" i="2"/>
  <c r="G48" i="2"/>
  <c r="H48" i="2"/>
  <c r="I48" i="2"/>
  <c r="J48" i="2"/>
  <c r="K48" i="2"/>
  <c r="L48" i="2"/>
  <c r="N48" i="2"/>
  <c r="D49" i="2"/>
  <c r="E49" i="2"/>
  <c r="F49" i="2"/>
  <c r="G49" i="2"/>
  <c r="H49" i="2"/>
  <c r="I49" i="2"/>
  <c r="J49" i="2"/>
  <c r="K49" i="2"/>
  <c r="L49" i="2"/>
  <c r="N49" i="2"/>
  <c r="D50" i="2"/>
  <c r="E50" i="2"/>
  <c r="F50" i="2"/>
  <c r="G50" i="2"/>
  <c r="H50" i="2"/>
  <c r="I50" i="2"/>
  <c r="J50" i="2"/>
  <c r="K50" i="2"/>
  <c r="L50" i="2"/>
  <c r="N50" i="2"/>
  <c r="D51" i="2"/>
  <c r="E51" i="2"/>
  <c r="F51" i="2"/>
  <c r="G51" i="2"/>
  <c r="H51" i="2"/>
  <c r="I51" i="2"/>
  <c r="J51" i="2"/>
  <c r="K51" i="2"/>
  <c r="L51" i="2"/>
  <c r="N51" i="2"/>
  <c r="D52" i="2"/>
  <c r="E52" i="2"/>
  <c r="F52" i="2"/>
  <c r="G52" i="2"/>
  <c r="H52" i="2"/>
  <c r="I52" i="2"/>
  <c r="J52" i="2"/>
  <c r="K52" i="2"/>
  <c r="L52" i="2"/>
  <c r="N52" i="2"/>
  <c r="C52" i="2"/>
  <c r="C51" i="2"/>
  <c r="C50" i="2"/>
  <c r="C49" i="2"/>
  <c r="C48" i="2"/>
  <c r="C47" i="2"/>
  <c r="C46" i="2"/>
  <c r="C45" i="2"/>
  <c r="C44" i="2"/>
  <c r="D28" i="2"/>
  <c r="S28" i="2" s="1"/>
  <c r="E28" i="2"/>
  <c r="T28" i="2" s="1"/>
  <c r="F28" i="2"/>
  <c r="U28" i="2" s="1"/>
  <c r="G28" i="2"/>
  <c r="V28" i="2" s="1"/>
  <c r="H28" i="2"/>
  <c r="W28" i="2" s="1"/>
  <c r="I28" i="2"/>
  <c r="X28" i="2" s="1"/>
  <c r="J28" i="2"/>
  <c r="Y28" i="2" s="1"/>
  <c r="K28" i="2"/>
  <c r="Z28" i="2" s="1"/>
  <c r="L28" i="2"/>
  <c r="AA28" i="2" s="1"/>
  <c r="N28" i="2"/>
  <c r="AC28" i="2" s="1"/>
  <c r="D29" i="2"/>
  <c r="S29" i="2" s="1"/>
  <c r="E29" i="2"/>
  <c r="T29" i="2" s="1"/>
  <c r="F29" i="2"/>
  <c r="U29" i="2" s="1"/>
  <c r="G29" i="2"/>
  <c r="V29" i="2" s="1"/>
  <c r="H29" i="2"/>
  <c r="W29" i="2" s="1"/>
  <c r="I29" i="2"/>
  <c r="X29" i="2" s="1"/>
  <c r="J29" i="2"/>
  <c r="Y29" i="2" s="1"/>
  <c r="K29" i="2"/>
  <c r="Z29" i="2" s="1"/>
  <c r="L29" i="2"/>
  <c r="AA29" i="2" s="1"/>
  <c r="N29" i="2"/>
  <c r="AC29" i="2" s="1"/>
  <c r="D30" i="2"/>
  <c r="S30" i="2" s="1"/>
  <c r="E30" i="2"/>
  <c r="T30" i="2" s="1"/>
  <c r="F30" i="2"/>
  <c r="U30" i="2" s="1"/>
  <c r="G30" i="2"/>
  <c r="V30" i="2" s="1"/>
  <c r="H30" i="2"/>
  <c r="W30" i="2" s="1"/>
  <c r="I30" i="2"/>
  <c r="X30" i="2" s="1"/>
  <c r="J30" i="2"/>
  <c r="Y30" i="2" s="1"/>
  <c r="K30" i="2"/>
  <c r="Z30" i="2" s="1"/>
  <c r="L30" i="2"/>
  <c r="AA30" i="2" s="1"/>
  <c r="N30" i="2"/>
  <c r="AC30" i="2" s="1"/>
  <c r="D31" i="2"/>
  <c r="S31" i="2" s="1"/>
  <c r="E31" i="2"/>
  <c r="T31" i="2" s="1"/>
  <c r="F31" i="2"/>
  <c r="U31" i="2" s="1"/>
  <c r="G31" i="2"/>
  <c r="V31" i="2" s="1"/>
  <c r="H31" i="2"/>
  <c r="W31" i="2" s="1"/>
  <c r="I31" i="2"/>
  <c r="X31" i="2" s="1"/>
  <c r="J31" i="2"/>
  <c r="Y31" i="2" s="1"/>
  <c r="K31" i="2"/>
  <c r="Z31" i="2" s="1"/>
  <c r="L31" i="2"/>
  <c r="AA31" i="2" s="1"/>
  <c r="N31" i="2"/>
  <c r="AC31" i="2" s="1"/>
  <c r="D32" i="2"/>
  <c r="S32" i="2" s="1"/>
  <c r="E32" i="2"/>
  <c r="T32" i="2" s="1"/>
  <c r="F32" i="2"/>
  <c r="U32" i="2" s="1"/>
  <c r="G32" i="2"/>
  <c r="V32" i="2" s="1"/>
  <c r="H32" i="2"/>
  <c r="W32" i="2" s="1"/>
  <c r="I32" i="2"/>
  <c r="X32" i="2" s="1"/>
  <c r="J32" i="2"/>
  <c r="Y32" i="2" s="1"/>
  <c r="K32" i="2"/>
  <c r="Z32" i="2" s="1"/>
  <c r="L32" i="2"/>
  <c r="AA32" i="2" s="1"/>
  <c r="N32" i="2"/>
  <c r="AC32" i="2" s="1"/>
  <c r="D33" i="2"/>
  <c r="S33" i="2" s="1"/>
  <c r="E33" i="2"/>
  <c r="T33" i="2" s="1"/>
  <c r="F33" i="2"/>
  <c r="U33" i="2" s="1"/>
  <c r="G33" i="2"/>
  <c r="V33" i="2" s="1"/>
  <c r="H33" i="2"/>
  <c r="W33" i="2" s="1"/>
  <c r="I33" i="2"/>
  <c r="X33" i="2" s="1"/>
  <c r="J33" i="2"/>
  <c r="Y33" i="2" s="1"/>
  <c r="K33" i="2"/>
  <c r="Z33" i="2" s="1"/>
  <c r="L33" i="2"/>
  <c r="AA33" i="2" s="1"/>
  <c r="N33" i="2"/>
  <c r="AC33" i="2" s="1"/>
  <c r="D34" i="2"/>
  <c r="S34" i="2" s="1"/>
  <c r="E34" i="2"/>
  <c r="T34" i="2" s="1"/>
  <c r="F34" i="2"/>
  <c r="U34" i="2" s="1"/>
  <c r="G34" i="2"/>
  <c r="V34" i="2" s="1"/>
  <c r="H34" i="2"/>
  <c r="W34" i="2" s="1"/>
  <c r="I34" i="2"/>
  <c r="X34" i="2" s="1"/>
  <c r="J34" i="2"/>
  <c r="Y34" i="2" s="1"/>
  <c r="K34" i="2"/>
  <c r="Z34" i="2" s="1"/>
  <c r="L34" i="2"/>
  <c r="AA34" i="2" s="1"/>
  <c r="N34" i="2"/>
  <c r="AC34" i="2" s="1"/>
  <c r="D35" i="2"/>
  <c r="S35" i="2" s="1"/>
  <c r="E35" i="2"/>
  <c r="T35" i="2" s="1"/>
  <c r="F35" i="2"/>
  <c r="U35" i="2" s="1"/>
  <c r="G35" i="2"/>
  <c r="V35" i="2" s="1"/>
  <c r="H35" i="2"/>
  <c r="W35" i="2" s="1"/>
  <c r="I35" i="2"/>
  <c r="X35" i="2" s="1"/>
  <c r="J35" i="2"/>
  <c r="Y35" i="2" s="1"/>
  <c r="K35" i="2"/>
  <c r="Z35" i="2" s="1"/>
  <c r="L35" i="2"/>
  <c r="AA35" i="2" s="1"/>
  <c r="N35" i="2"/>
  <c r="AC35" i="2" s="1"/>
  <c r="D36" i="2"/>
  <c r="S36" i="2" s="1"/>
  <c r="E36" i="2"/>
  <c r="T36" i="2" s="1"/>
  <c r="F36" i="2"/>
  <c r="U36" i="2" s="1"/>
  <c r="G36" i="2"/>
  <c r="V36" i="2" s="1"/>
  <c r="H36" i="2"/>
  <c r="W36" i="2" s="1"/>
  <c r="I36" i="2"/>
  <c r="X36" i="2" s="1"/>
  <c r="J36" i="2"/>
  <c r="Y36" i="2" s="1"/>
  <c r="K36" i="2"/>
  <c r="Z36" i="2" s="1"/>
  <c r="L36" i="2"/>
  <c r="AA36" i="2" s="1"/>
  <c r="N36" i="2"/>
  <c r="AC36" i="2" s="1"/>
  <c r="D37" i="2"/>
  <c r="S37" i="2" s="1"/>
  <c r="E37" i="2"/>
  <c r="T37" i="2" s="1"/>
  <c r="F37" i="2"/>
  <c r="U37" i="2" s="1"/>
  <c r="G37" i="2"/>
  <c r="V37" i="2" s="1"/>
  <c r="H37" i="2"/>
  <c r="W37" i="2" s="1"/>
  <c r="I37" i="2"/>
  <c r="X37" i="2" s="1"/>
  <c r="J37" i="2"/>
  <c r="Y37" i="2" s="1"/>
  <c r="K37" i="2"/>
  <c r="Z37" i="2" s="1"/>
  <c r="L37" i="2"/>
  <c r="AA37" i="2" s="1"/>
  <c r="N37" i="2"/>
  <c r="AC37" i="2" s="1"/>
  <c r="C37" i="2"/>
  <c r="R37" i="2" s="1"/>
  <c r="C36" i="2"/>
  <c r="R36" i="2" s="1"/>
  <c r="C35" i="2"/>
  <c r="R35" i="2" s="1"/>
  <c r="C34" i="2"/>
  <c r="R34" i="2" s="1"/>
  <c r="C33" i="2"/>
  <c r="R33" i="2" s="1"/>
  <c r="C32" i="2"/>
  <c r="R32" i="2" s="1"/>
  <c r="C31" i="2"/>
  <c r="R31" i="2" s="1"/>
  <c r="C30" i="2"/>
  <c r="R30" i="2" s="1"/>
  <c r="C29" i="2"/>
  <c r="R29" i="2" s="1"/>
  <c r="C28" i="2"/>
  <c r="D13" i="2"/>
  <c r="E13" i="2"/>
  <c r="F13" i="2"/>
  <c r="G13" i="2"/>
  <c r="H13" i="2"/>
  <c r="I13" i="2"/>
  <c r="J13" i="2"/>
  <c r="K13" i="2"/>
  <c r="L13" i="2"/>
  <c r="N13" i="2"/>
  <c r="C13" i="2"/>
  <c r="D9" i="6" s="1"/>
  <c r="D14" i="2"/>
  <c r="E40" i="11" l="1"/>
  <c r="D40" i="11" s="1"/>
  <c r="F40" i="11" s="1"/>
  <c r="S52" i="2"/>
  <c r="W46" i="2"/>
  <c r="R45" i="2"/>
  <c r="AC52" i="2"/>
  <c r="T52" i="2"/>
  <c r="V51" i="2"/>
  <c r="X50" i="2"/>
  <c r="Z49" i="2"/>
  <c r="AC48" i="2"/>
  <c r="T48" i="2"/>
  <c r="V47" i="2"/>
  <c r="X46" i="2"/>
  <c r="Z45" i="2"/>
  <c r="AC44" i="2"/>
  <c r="T44" i="2"/>
  <c r="AA48" i="2"/>
  <c r="R47" i="2"/>
  <c r="Z52" i="2"/>
  <c r="AC51" i="2"/>
  <c r="T51" i="2"/>
  <c r="V50" i="2"/>
  <c r="X49" i="2"/>
  <c r="Z48" i="2"/>
  <c r="AC47" i="2"/>
  <c r="T47" i="2"/>
  <c r="V46" i="2"/>
  <c r="X45" i="2"/>
  <c r="Z44" i="2"/>
  <c r="AA52" i="2"/>
  <c r="U47" i="2"/>
  <c r="R48" i="2"/>
  <c r="Y52" i="2"/>
  <c r="AA51" i="2"/>
  <c r="S51" i="2"/>
  <c r="U50" i="2"/>
  <c r="W49" i="2"/>
  <c r="Y48" i="2"/>
  <c r="AA47" i="2"/>
  <c r="S47" i="2"/>
  <c r="U46" i="2"/>
  <c r="W45" i="2"/>
  <c r="Y44" i="2"/>
  <c r="U51" i="2"/>
  <c r="S44" i="2"/>
  <c r="R49" i="2"/>
  <c r="X52" i="2"/>
  <c r="Z51" i="2"/>
  <c r="AC50" i="2"/>
  <c r="T50" i="2"/>
  <c r="V49" i="2"/>
  <c r="X48" i="2"/>
  <c r="Z47" i="2"/>
  <c r="AC46" i="2"/>
  <c r="T46" i="2"/>
  <c r="V45" i="2"/>
  <c r="X44" i="2"/>
  <c r="Y49" i="2"/>
  <c r="AA44" i="2"/>
  <c r="R50" i="2"/>
  <c r="W52" i="2"/>
  <c r="Y51" i="2"/>
  <c r="AA50" i="2"/>
  <c r="S50" i="2"/>
  <c r="U49" i="2"/>
  <c r="W48" i="2"/>
  <c r="Y47" i="2"/>
  <c r="AA46" i="2"/>
  <c r="S46" i="2"/>
  <c r="U45" i="2"/>
  <c r="W44" i="2"/>
  <c r="R46" i="2"/>
  <c r="S48" i="2"/>
  <c r="R51" i="2"/>
  <c r="V52" i="2"/>
  <c r="X51" i="2"/>
  <c r="Z50" i="2"/>
  <c r="AC49" i="2"/>
  <c r="T49" i="2"/>
  <c r="V48" i="2"/>
  <c r="X47" i="2"/>
  <c r="Z46" i="2"/>
  <c r="AC45" i="2"/>
  <c r="T45" i="2"/>
  <c r="V44" i="2"/>
  <c r="W50" i="2"/>
  <c r="Y45" i="2"/>
  <c r="R44" i="2"/>
  <c r="R52" i="2"/>
  <c r="U52" i="2"/>
  <c r="W51" i="2"/>
  <c r="Y50" i="2"/>
  <c r="AA49" i="2"/>
  <c r="S49" i="2"/>
  <c r="U48" i="2"/>
  <c r="W47" i="2"/>
  <c r="Y46" i="2"/>
  <c r="AA45" i="2"/>
  <c r="S45" i="2"/>
  <c r="U44" i="2"/>
  <c r="Z75" i="2"/>
  <c r="S123" i="2" s="1"/>
  <c r="J21" i="7"/>
  <c r="O83" i="6"/>
  <c r="AA75" i="2"/>
  <c r="T123" i="2" s="1"/>
  <c r="K21" i="7"/>
  <c r="O107" i="6"/>
  <c r="AB75" i="2"/>
  <c r="U123" i="2" s="1"/>
  <c r="L21" i="7"/>
  <c r="U75" i="2"/>
  <c r="N123" i="2" s="1"/>
  <c r="E21" i="7"/>
  <c r="V75" i="2"/>
  <c r="O123" i="2" s="1"/>
  <c r="F21" i="7"/>
  <c r="W75" i="2"/>
  <c r="P123" i="2" s="1"/>
  <c r="G21" i="7"/>
  <c r="X75" i="2"/>
  <c r="Q123" i="2" s="1"/>
  <c r="H21" i="7"/>
  <c r="Y75" i="2"/>
  <c r="R123" i="2" s="1"/>
  <c r="I21" i="7"/>
  <c r="O47" i="6"/>
  <c r="T75" i="2"/>
  <c r="M123" i="2" s="1"/>
  <c r="D21" i="7"/>
  <c r="J23" i="6"/>
  <c r="V74" i="2"/>
  <c r="O122" i="2" s="1"/>
  <c r="F20" i="7"/>
  <c r="W74" i="2"/>
  <c r="P122" i="2" s="1"/>
  <c r="G20" i="7"/>
  <c r="O118" i="6"/>
  <c r="X74" i="2"/>
  <c r="Q122" i="2" s="1"/>
  <c r="H20" i="7"/>
  <c r="Y74" i="2"/>
  <c r="R122" i="2" s="1"/>
  <c r="I20" i="7"/>
  <c r="Z74" i="2"/>
  <c r="S122" i="2" s="1"/>
  <c r="J20" i="7"/>
  <c r="AA74" i="2"/>
  <c r="T122" i="2" s="1"/>
  <c r="K20" i="7"/>
  <c r="AB74" i="2"/>
  <c r="U122" i="2" s="1"/>
  <c r="L20" i="7"/>
  <c r="O58" i="6"/>
  <c r="U74" i="2"/>
  <c r="N122" i="2" s="1"/>
  <c r="E20" i="7"/>
  <c r="T74" i="2"/>
  <c r="M122" i="2" s="1"/>
  <c r="D20" i="7"/>
  <c r="S74" i="2"/>
  <c r="L122" i="2" s="1"/>
  <c r="C20" i="7"/>
  <c r="J10" i="6"/>
  <c r="O9" i="6"/>
  <c r="O22" i="6"/>
  <c r="J47" i="6"/>
  <c r="J58" i="6"/>
  <c r="J83" i="6"/>
  <c r="J107" i="6"/>
  <c r="J118" i="6"/>
  <c r="J22" i="6"/>
  <c r="O46" i="6"/>
  <c r="O71" i="6"/>
  <c r="O82" i="6"/>
  <c r="I107" i="6"/>
  <c r="I22" i="6"/>
  <c r="L46" i="6"/>
  <c r="M71" i="6"/>
  <c r="J82" i="6"/>
  <c r="O106" i="6"/>
  <c r="O35" i="6"/>
  <c r="J46" i="6"/>
  <c r="L71" i="6"/>
  <c r="O95" i="6"/>
  <c r="J106" i="6"/>
  <c r="J35" i="6"/>
  <c r="O59" i="6"/>
  <c r="J71" i="6"/>
  <c r="J95" i="6"/>
  <c r="O119" i="6"/>
  <c r="O34" i="6"/>
  <c r="J59" i="6"/>
  <c r="O70" i="6"/>
  <c r="O94" i="6"/>
  <c r="J119" i="6"/>
  <c r="O10" i="6"/>
  <c r="O23" i="6"/>
  <c r="J34" i="6"/>
  <c r="I59" i="6"/>
  <c r="J70" i="6"/>
  <c r="J94" i="6"/>
  <c r="H119" i="6"/>
  <c r="M59" i="6"/>
  <c r="M118" i="6"/>
  <c r="M22" i="6"/>
  <c r="M83" i="6"/>
  <c r="M95" i="6"/>
  <c r="M107" i="6"/>
  <c r="M34" i="6"/>
  <c r="M46" i="6"/>
  <c r="M119" i="6"/>
  <c r="M10" i="6"/>
  <c r="M58" i="6"/>
  <c r="M23" i="6"/>
  <c r="M70" i="6"/>
  <c r="M82" i="6"/>
  <c r="M94" i="6"/>
  <c r="M35" i="6"/>
  <c r="M47" i="6"/>
  <c r="M106" i="6"/>
  <c r="L82" i="6"/>
  <c r="L118" i="6"/>
  <c r="L35" i="6"/>
  <c r="L94" i="6"/>
  <c r="L119" i="6"/>
  <c r="L83" i="6"/>
  <c r="L10" i="6"/>
  <c r="L22" i="6"/>
  <c r="L47" i="6"/>
  <c r="L58" i="6"/>
  <c r="L95" i="6"/>
  <c r="L106" i="6"/>
  <c r="L59" i="6"/>
  <c r="L70" i="6"/>
  <c r="L23" i="6"/>
  <c r="L34" i="6"/>
  <c r="L107" i="6"/>
  <c r="K119" i="6"/>
  <c r="K34" i="6"/>
  <c r="K71" i="6"/>
  <c r="K95" i="6"/>
  <c r="K118" i="6"/>
  <c r="K10" i="6"/>
  <c r="K58" i="6"/>
  <c r="K82" i="6"/>
  <c r="K35" i="6"/>
  <c r="K59" i="6"/>
  <c r="K106" i="6"/>
  <c r="K22" i="6"/>
  <c r="K83" i="6"/>
  <c r="K107" i="6"/>
  <c r="K46" i="6"/>
  <c r="K23" i="6"/>
  <c r="K70" i="6"/>
  <c r="K94" i="6"/>
  <c r="K47" i="6"/>
  <c r="I23" i="6"/>
  <c r="I71" i="6"/>
  <c r="I119" i="6"/>
  <c r="I118" i="6"/>
  <c r="I70" i="6"/>
  <c r="I58" i="6"/>
  <c r="I106" i="6"/>
  <c r="I10" i="6"/>
  <c r="I46" i="6"/>
  <c r="I94" i="6"/>
  <c r="I47" i="6"/>
  <c r="I95" i="6"/>
  <c r="I34" i="6"/>
  <c r="I82" i="6"/>
  <c r="I35" i="6"/>
  <c r="I83" i="6"/>
  <c r="H83" i="6"/>
  <c r="H82" i="6"/>
  <c r="H95" i="6"/>
  <c r="H94" i="6"/>
  <c r="H107" i="6"/>
  <c r="H34" i="6"/>
  <c r="H47" i="6"/>
  <c r="H46" i="6"/>
  <c r="H59" i="6"/>
  <c r="H58" i="6"/>
  <c r="H23" i="6"/>
  <c r="H22" i="6"/>
  <c r="H118" i="6"/>
  <c r="H106" i="6"/>
  <c r="H10" i="6"/>
  <c r="H71" i="6"/>
  <c r="H35" i="6"/>
  <c r="H70" i="6"/>
  <c r="G70" i="6"/>
  <c r="G10" i="6"/>
  <c r="G23" i="6"/>
  <c r="G71" i="6"/>
  <c r="G119" i="6"/>
  <c r="G22" i="6"/>
  <c r="G9" i="6"/>
  <c r="G35" i="6"/>
  <c r="G83" i="6"/>
  <c r="G118" i="6"/>
  <c r="G34" i="6"/>
  <c r="G82" i="6"/>
  <c r="G47" i="6"/>
  <c r="G95" i="6"/>
  <c r="G46" i="6"/>
  <c r="G94" i="6"/>
  <c r="G59" i="6"/>
  <c r="G107" i="6"/>
  <c r="G58" i="6"/>
  <c r="G106" i="6"/>
  <c r="E59" i="6"/>
  <c r="D119" i="6"/>
  <c r="D22" i="6"/>
  <c r="D106" i="6"/>
  <c r="D118" i="6"/>
  <c r="D107" i="6"/>
  <c r="F10" i="6"/>
  <c r="F46" i="6"/>
  <c r="F23" i="6"/>
  <c r="F70" i="6"/>
  <c r="F94" i="6"/>
  <c r="F118" i="6"/>
  <c r="F35" i="6"/>
  <c r="F59" i="6"/>
  <c r="F22" i="6"/>
  <c r="F83" i="6"/>
  <c r="F107" i="6"/>
  <c r="F34" i="6"/>
  <c r="F58" i="6"/>
  <c r="F82" i="6"/>
  <c r="F106" i="6"/>
  <c r="F47" i="6"/>
  <c r="F71" i="6"/>
  <c r="F95" i="6"/>
  <c r="F119" i="6"/>
  <c r="E23" i="6"/>
  <c r="E70" i="6"/>
  <c r="E118" i="6"/>
  <c r="E47" i="6"/>
  <c r="E95" i="6"/>
  <c r="E107" i="6"/>
  <c r="E58" i="6"/>
  <c r="E106" i="6"/>
  <c r="E22" i="6"/>
  <c r="E35" i="6"/>
  <c r="E83" i="6"/>
  <c r="E46" i="6"/>
  <c r="E94" i="6"/>
  <c r="E71" i="6"/>
  <c r="E119" i="6"/>
  <c r="E10" i="6"/>
  <c r="E34" i="6"/>
  <c r="E82" i="6"/>
  <c r="D23" i="6"/>
  <c r="D34" i="6"/>
  <c r="D35" i="6"/>
  <c r="R28" i="2"/>
  <c r="C15" i="5"/>
  <c r="D10" i="7"/>
  <c r="F10" i="7" s="1"/>
  <c r="G10" i="7" s="1"/>
  <c r="D10" i="6"/>
  <c r="D46" i="6"/>
  <c r="D47" i="6"/>
  <c r="D58" i="6"/>
  <c r="D59" i="6"/>
  <c r="D70" i="6"/>
  <c r="D71" i="6"/>
  <c r="D82" i="6"/>
  <c r="D83" i="6"/>
  <c r="D94" i="6"/>
  <c r="D95" i="6"/>
  <c r="H9" i="6"/>
  <c r="F9" i="6"/>
  <c r="E21" i="6"/>
  <c r="D9" i="7"/>
  <c r="M9" i="6"/>
  <c r="E9" i="6"/>
  <c r="L9" i="6"/>
  <c r="K9" i="6"/>
  <c r="J9" i="6"/>
  <c r="I9" i="6"/>
  <c r="L61" i="6"/>
  <c r="L73" i="6" s="1"/>
  <c r="L85" i="6" s="1"/>
  <c r="L97" i="6" s="1"/>
  <c r="L109" i="6" s="1"/>
  <c r="L121" i="6" s="1"/>
  <c r="H38" i="6"/>
  <c r="N85" i="6"/>
  <c r="N97" i="6" s="1"/>
  <c r="N109" i="6" s="1"/>
  <c r="N121" i="6" s="1"/>
  <c r="J37" i="6"/>
  <c r="J49" i="6" s="1"/>
  <c r="J61" i="6" s="1"/>
  <c r="J73" i="6" s="1"/>
  <c r="J85" i="6" s="1"/>
  <c r="J97" i="6" s="1"/>
  <c r="J109" i="6" s="1"/>
  <c r="J121" i="6" s="1"/>
  <c r="N110" i="6"/>
  <c r="N122" i="6" s="1"/>
  <c r="I109" i="6"/>
  <c r="I121" i="6" s="1"/>
  <c r="H97" i="6"/>
  <c r="H109" i="6" s="1"/>
  <c r="H121" i="6" s="1"/>
  <c r="F85" i="6"/>
  <c r="F97" i="6" s="1"/>
  <c r="F109" i="6" s="1"/>
  <c r="F121" i="6" s="1"/>
  <c r="O37" i="6"/>
  <c r="O49" i="6" s="1"/>
  <c r="O61" i="6" s="1"/>
  <c r="O73" i="6" s="1"/>
  <c r="O85" i="6" s="1"/>
  <c r="O97" i="6" s="1"/>
  <c r="O109" i="6" s="1"/>
  <c r="O121" i="6" s="1"/>
  <c r="G37" i="6"/>
  <c r="G49" i="6" s="1"/>
  <c r="G61" i="6" s="1"/>
  <c r="G73" i="6" s="1"/>
  <c r="G85" i="6" s="1"/>
  <c r="G97" i="6" s="1"/>
  <c r="G109" i="6" s="1"/>
  <c r="G121" i="6" s="1"/>
  <c r="H11" i="4"/>
  <c r="H10" i="4"/>
  <c r="F19" i="4"/>
  <c r="G19" i="4" s="1"/>
  <c r="H19" i="4" s="1"/>
  <c r="F23" i="4"/>
  <c r="G23" i="4" s="1"/>
  <c r="H23" i="4" s="1"/>
  <c r="F18" i="4"/>
  <c r="G18" i="4" s="1"/>
  <c r="H18" i="4" s="1"/>
  <c r="F15" i="4"/>
  <c r="G15" i="4" s="1"/>
  <c r="H15" i="4" s="1"/>
  <c r="F27" i="3"/>
  <c r="F14" i="4"/>
  <c r="G14" i="4" s="1"/>
  <c r="H14" i="4"/>
  <c r="F16" i="4"/>
  <c r="G16" i="4" s="1"/>
  <c r="H16" i="4" s="1"/>
  <c r="F22" i="4"/>
  <c r="G22" i="4" s="1"/>
  <c r="H22" i="4" s="1"/>
  <c r="F17" i="4"/>
  <c r="G17" i="4" s="1"/>
  <c r="H17" i="4"/>
  <c r="F9" i="4"/>
  <c r="G9" i="4" s="1"/>
  <c r="H9" i="4" s="1"/>
  <c r="H21" i="4"/>
  <c r="H13" i="4"/>
  <c r="H20" i="4"/>
  <c r="H12" i="4"/>
  <c r="F8" i="4"/>
  <c r="G8" i="4" s="1"/>
  <c r="H8" i="4" s="1"/>
  <c r="C24" i="4"/>
  <c r="D59" i="2"/>
  <c r="G84" i="2"/>
  <c r="V84" i="2" s="1"/>
  <c r="O85" i="2"/>
  <c r="H84" i="2"/>
  <c r="W84" i="2" s="1"/>
  <c r="C84" i="2"/>
  <c r="R84" i="2" s="1"/>
  <c r="F84" i="2"/>
  <c r="U84" i="2" s="1"/>
  <c r="N84" i="2"/>
  <c r="AC84" i="2" s="1"/>
  <c r="J84" i="2"/>
  <c r="Y84" i="2" s="1"/>
  <c r="I84" i="2"/>
  <c r="X84" i="2" s="1"/>
  <c r="E98" i="2"/>
  <c r="E84" i="2"/>
  <c r="T84" i="2" s="1"/>
  <c r="L84" i="2"/>
  <c r="AA84" i="2" s="1"/>
  <c r="D84" i="2"/>
  <c r="S84" i="2" s="1"/>
  <c r="E74" i="2"/>
  <c r="N75" i="2"/>
  <c r="N14" i="2"/>
  <c r="O21" i="6" s="1"/>
  <c r="C14" i="2"/>
  <c r="D21" i="6" s="1"/>
  <c r="O15" i="2"/>
  <c r="F74" i="2" s="1"/>
  <c r="L14" i="2"/>
  <c r="M21" i="6" s="1"/>
  <c r="K14" i="2"/>
  <c r="L21" i="6" s="1"/>
  <c r="J14" i="2"/>
  <c r="K21" i="6" s="1"/>
  <c r="I14" i="2"/>
  <c r="J21" i="6" s="1"/>
  <c r="H14" i="2"/>
  <c r="I21" i="6" s="1"/>
  <c r="G14" i="2"/>
  <c r="H21" i="6" s="1"/>
  <c r="F14" i="2"/>
  <c r="G21" i="6" s="1"/>
  <c r="E14" i="2"/>
  <c r="F21" i="6" s="1"/>
  <c r="AC74" i="2" l="1"/>
  <c r="E41" i="11"/>
  <c r="D41" i="11" s="1"/>
  <c r="F41" i="11" s="1"/>
  <c r="H50" i="6"/>
  <c r="T98" i="2"/>
  <c r="M124" i="2" s="1"/>
  <c r="E59" i="2"/>
  <c r="C59" i="2"/>
  <c r="N59" i="2"/>
  <c r="I59" i="2"/>
  <c r="F59" i="2"/>
  <c r="J59" i="2"/>
  <c r="G59" i="2"/>
  <c r="H59" i="2"/>
  <c r="K59" i="2"/>
  <c r="L59" i="2"/>
  <c r="F85" i="2"/>
  <c r="U85" i="2" s="1"/>
  <c r="D85" i="2"/>
  <c r="S85" i="2" s="1"/>
  <c r="L85" i="2"/>
  <c r="AA85" i="2" s="1"/>
  <c r="F98" i="2"/>
  <c r="N85" i="2"/>
  <c r="AC85" i="2" s="1"/>
  <c r="G85" i="2"/>
  <c r="V85" i="2" s="1"/>
  <c r="J85" i="2"/>
  <c r="Y85" i="2" s="1"/>
  <c r="O86" i="2"/>
  <c r="G98" i="2" s="1"/>
  <c r="K85" i="2"/>
  <c r="Z85" i="2" s="1"/>
  <c r="H85" i="2"/>
  <c r="W85" i="2" s="1"/>
  <c r="C85" i="2"/>
  <c r="R85" i="2" s="1"/>
  <c r="I85" i="2"/>
  <c r="X85" i="2" s="1"/>
  <c r="E85" i="2"/>
  <c r="T85" i="2" s="1"/>
  <c r="O16" i="2"/>
  <c r="G74" i="2" s="1"/>
  <c r="H15" i="2"/>
  <c r="I33" i="6" s="1"/>
  <c r="I15" i="2"/>
  <c r="J33" i="6" s="1"/>
  <c r="J15" i="2"/>
  <c r="K33" i="6" s="1"/>
  <c r="K15" i="2"/>
  <c r="L33" i="6" s="1"/>
  <c r="C15" i="2"/>
  <c r="D33" i="6" s="1"/>
  <c r="D15" i="2"/>
  <c r="E33" i="6" s="1"/>
  <c r="L15" i="2"/>
  <c r="M33" i="6" s="1"/>
  <c r="E15" i="2"/>
  <c r="F33" i="6" s="1"/>
  <c r="F15" i="2"/>
  <c r="G33" i="6" s="1"/>
  <c r="N15" i="2"/>
  <c r="O33" i="6" s="1"/>
  <c r="G15" i="2"/>
  <c r="H33" i="6" s="1"/>
  <c r="E42" i="11" l="1"/>
  <c r="D42" i="11" s="1"/>
  <c r="F42" i="11" s="1"/>
  <c r="H62" i="6"/>
  <c r="U98" i="2"/>
  <c r="N124" i="2" s="1"/>
  <c r="V98" i="2"/>
  <c r="O124" i="2" s="1"/>
  <c r="G60" i="2"/>
  <c r="K60" i="2"/>
  <c r="H60" i="2"/>
  <c r="N60" i="2"/>
  <c r="J60" i="2"/>
  <c r="D60" i="2"/>
  <c r="F60" i="2"/>
  <c r="I60" i="2"/>
  <c r="E60" i="2"/>
  <c r="L60" i="2"/>
  <c r="C60" i="2"/>
  <c r="N86" i="2"/>
  <c r="AC86" i="2" s="1"/>
  <c r="K86" i="2"/>
  <c r="Z86" i="2" s="1"/>
  <c r="O87" i="2"/>
  <c r="H98" i="2" s="1"/>
  <c r="C86" i="2"/>
  <c r="R86" i="2" s="1"/>
  <c r="G86" i="2"/>
  <c r="V86" i="2" s="1"/>
  <c r="E86" i="2"/>
  <c r="T86" i="2" s="1"/>
  <c r="J86" i="2"/>
  <c r="Y86" i="2" s="1"/>
  <c r="H86" i="2"/>
  <c r="W86" i="2" s="1"/>
  <c r="L86" i="2"/>
  <c r="AA86" i="2" s="1"/>
  <c r="F86" i="2"/>
  <c r="U86" i="2" s="1"/>
  <c r="I86" i="2"/>
  <c r="X86" i="2" s="1"/>
  <c r="D86" i="2"/>
  <c r="S86" i="2" s="1"/>
  <c r="O17" i="2"/>
  <c r="H74" i="2" s="1"/>
  <c r="E16" i="2"/>
  <c r="F45" i="6" s="1"/>
  <c r="F16" i="2"/>
  <c r="G45" i="6" s="1"/>
  <c r="N16" i="2"/>
  <c r="O45" i="6" s="1"/>
  <c r="G16" i="2"/>
  <c r="H45" i="6" s="1"/>
  <c r="C16" i="2"/>
  <c r="D45" i="6" s="1"/>
  <c r="H16" i="2"/>
  <c r="I45" i="6" s="1"/>
  <c r="I16" i="2"/>
  <c r="J45" i="6" s="1"/>
  <c r="J16" i="2"/>
  <c r="K45" i="6" s="1"/>
  <c r="K16" i="2"/>
  <c r="L45" i="6" s="1"/>
  <c r="D16" i="2"/>
  <c r="E45" i="6" s="1"/>
  <c r="L16" i="2"/>
  <c r="M45" i="6" s="1"/>
  <c r="E43" i="11" l="1"/>
  <c r="D43" i="11" s="1"/>
  <c r="F43" i="11" s="1"/>
  <c r="J34" i="11"/>
  <c r="H74" i="6"/>
  <c r="W98" i="2"/>
  <c r="P124" i="2" s="1"/>
  <c r="I87" i="2"/>
  <c r="X87" i="2" s="1"/>
  <c r="C61" i="2"/>
  <c r="G61" i="2"/>
  <c r="L61" i="2"/>
  <c r="N61" i="2"/>
  <c r="J61" i="2"/>
  <c r="E61" i="2"/>
  <c r="D61" i="2"/>
  <c r="F61" i="2"/>
  <c r="K61" i="2"/>
  <c r="I61" i="2"/>
  <c r="H61" i="2"/>
  <c r="K87" i="2"/>
  <c r="Z87" i="2" s="1"/>
  <c r="G87" i="2"/>
  <c r="V87" i="2" s="1"/>
  <c r="N87" i="2"/>
  <c r="AC87" i="2" s="1"/>
  <c r="F87" i="2"/>
  <c r="U87" i="2" s="1"/>
  <c r="J87" i="2"/>
  <c r="Y87" i="2" s="1"/>
  <c r="E87" i="2"/>
  <c r="T87" i="2" s="1"/>
  <c r="L87" i="2"/>
  <c r="AA87" i="2" s="1"/>
  <c r="D87" i="2"/>
  <c r="S87" i="2" s="1"/>
  <c r="H87" i="2"/>
  <c r="W87" i="2" s="1"/>
  <c r="O88" i="2"/>
  <c r="C87" i="2"/>
  <c r="R87" i="2" s="1"/>
  <c r="O18" i="2"/>
  <c r="I74" i="2" s="1"/>
  <c r="J17" i="2"/>
  <c r="K57" i="6" s="1"/>
  <c r="K17" i="2"/>
  <c r="L57" i="6" s="1"/>
  <c r="C17" i="2"/>
  <c r="D57" i="6" s="1"/>
  <c r="D17" i="2"/>
  <c r="E57" i="6" s="1"/>
  <c r="L17" i="2"/>
  <c r="M57" i="6" s="1"/>
  <c r="E17" i="2"/>
  <c r="F57" i="6" s="1"/>
  <c r="F17" i="2"/>
  <c r="G57" i="6" s="1"/>
  <c r="N17" i="2"/>
  <c r="O57" i="6" s="1"/>
  <c r="G17" i="2"/>
  <c r="H57" i="6" s="1"/>
  <c r="H17" i="2"/>
  <c r="I57" i="6" s="1"/>
  <c r="I17" i="2"/>
  <c r="J57" i="6" s="1"/>
  <c r="E44" i="11" l="1"/>
  <c r="D44" i="11" s="1"/>
  <c r="F44" i="11" s="1"/>
  <c r="I34" i="11"/>
  <c r="H86" i="6"/>
  <c r="G62" i="2"/>
  <c r="K62" i="2"/>
  <c r="F62" i="2"/>
  <c r="E62" i="2"/>
  <c r="J62" i="2"/>
  <c r="N62" i="2"/>
  <c r="L62" i="2"/>
  <c r="I62" i="2"/>
  <c r="D62" i="2"/>
  <c r="H62" i="2"/>
  <c r="C62" i="2"/>
  <c r="I98" i="2"/>
  <c r="N88" i="2"/>
  <c r="AC88" i="2" s="1"/>
  <c r="H88" i="2"/>
  <c r="W88" i="2" s="1"/>
  <c r="C88" i="2"/>
  <c r="R88" i="2" s="1"/>
  <c r="G88" i="2"/>
  <c r="V88" i="2" s="1"/>
  <c r="F88" i="2"/>
  <c r="U88" i="2" s="1"/>
  <c r="D88" i="2"/>
  <c r="S88" i="2" s="1"/>
  <c r="I88" i="2"/>
  <c r="X88" i="2" s="1"/>
  <c r="L88" i="2"/>
  <c r="AA88" i="2" s="1"/>
  <c r="J88" i="2"/>
  <c r="Y88" i="2" s="1"/>
  <c r="E88" i="2"/>
  <c r="T88" i="2" s="1"/>
  <c r="K88" i="2"/>
  <c r="Z88" i="2" s="1"/>
  <c r="O89" i="2"/>
  <c r="J89" i="2" s="1"/>
  <c r="Y89" i="2" s="1"/>
  <c r="O19" i="2"/>
  <c r="J74" i="2" s="1"/>
  <c r="G18" i="2"/>
  <c r="H69" i="6" s="1"/>
  <c r="C18" i="2"/>
  <c r="D69" i="6" s="1"/>
  <c r="H18" i="2"/>
  <c r="I69" i="6" s="1"/>
  <c r="I18" i="2"/>
  <c r="J69" i="6" s="1"/>
  <c r="J18" i="2"/>
  <c r="K69" i="6" s="1"/>
  <c r="K18" i="2"/>
  <c r="L69" i="6" s="1"/>
  <c r="D18" i="2"/>
  <c r="E69" i="6" s="1"/>
  <c r="L18" i="2"/>
  <c r="M69" i="6" s="1"/>
  <c r="E18" i="2"/>
  <c r="F69" i="6" s="1"/>
  <c r="F18" i="2"/>
  <c r="G69" i="6" s="1"/>
  <c r="N18" i="2"/>
  <c r="O69" i="6" s="1"/>
  <c r="E137" i="11" l="1"/>
  <c r="E45" i="11"/>
  <c r="D45" i="11" s="1"/>
  <c r="F45" i="11" s="1"/>
  <c r="K34" i="11"/>
  <c r="H98" i="6"/>
  <c r="X98" i="2"/>
  <c r="Q124" i="2" s="1"/>
  <c r="I63" i="2"/>
  <c r="F63" i="2"/>
  <c r="D63" i="2"/>
  <c r="N63" i="2"/>
  <c r="C63" i="2"/>
  <c r="E63" i="2"/>
  <c r="G63" i="2"/>
  <c r="K63" i="2"/>
  <c r="J63" i="2"/>
  <c r="H63" i="2"/>
  <c r="L63" i="2"/>
  <c r="J98" i="2"/>
  <c r="I89" i="2"/>
  <c r="X89" i="2" s="1"/>
  <c r="N89" i="2"/>
  <c r="AC89" i="2" s="1"/>
  <c r="H89" i="2"/>
  <c r="W89" i="2" s="1"/>
  <c r="C89" i="2"/>
  <c r="R89" i="2" s="1"/>
  <c r="K89" i="2"/>
  <c r="Z89" i="2" s="1"/>
  <c r="G89" i="2"/>
  <c r="V89" i="2" s="1"/>
  <c r="O90" i="2"/>
  <c r="K90" i="2" s="1"/>
  <c r="Z90" i="2" s="1"/>
  <c r="F89" i="2"/>
  <c r="U89" i="2" s="1"/>
  <c r="D89" i="2"/>
  <c r="S89" i="2" s="1"/>
  <c r="E89" i="2"/>
  <c r="T89" i="2" s="1"/>
  <c r="L89" i="2"/>
  <c r="AA89" i="2" s="1"/>
  <c r="O20" i="2"/>
  <c r="K74" i="2" s="1"/>
  <c r="D19" i="2"/>
  <c r="E81" i="6" s="1"/>
  <c r="L19" i="2"/>
  <c r="M81" i="6" s="1"/>
  <c r="E19" i="2"/>
  <c r="F81" i="6" s="1"/>
  <c r="F19" i="2"/>
  <c r="G81" i="6" s="1"/>
  <c r="N19" i="2"/>
  <c r="O81" i="6" s="1"/>
  <c r="G19" i="2"/>
  <c r="H81" i="6" s="1"/>
  <c r="H19" i="2"/>
  <c r="I81" i="6" s="1"/>
  <c r="I19" i="2"/>
  <c r="J81" i="6" s="1"/>
  <c r="J19" i="2"/>
  <c r="K81" i="6" s="1"/>
  <c r="C19" i="2"/>
  <c r="D81" i="6" s="1"/>
  <c r="K19" i="2"/>
  <c r="L81" i="6" s="1"/>
  <c r="E138" i="11" l="1"/>
  <c r="E26" i="16"/>
  <c r="E139" i="11"/>
  <c r="E46" i="11"/>
  <c r="D46" i="11" s="1"/>
  <c r="F46" i="11" s="1"/>
  <c r="H110" i="6"/>
  <c r="Y98" i="2"/>
  <c r="R124" i="2" s="1"/>
  <c r="G64" i="2"/>
  <c r="N64" i="2"/>
  <c r="F64" i="2"/>
  <c r="H64" i="2"/>
  <c r="K64" i="2"/>
  <c r="C64" i="2"/>
  <c r="E64" i="2"/>
  <c r="L64" i="2"/>
  <c r="J64" i="2"/>
  <c r="I64" i="2"/>
  <c r="D64" i="2"/>
  <c r="C90" i="2"/>
  <c r="R90" i="2" s="1"/>
  <c r="J90" i="2"/>
  <c r="Y90" i="2" s="1"/>
  <c r="F90" i="2"/>
  <c r="U90" i="2" s="1"/>
  <c r="H90" i="2"/>
  <c r="W90" i="2" s="1"/>
  <c r="E90" i="2"/>
  <c r="T90" i="2" s="1"/>
  <c r="K98" i="2"/>
  <c r="L90" i="2"/>
  <c r="AA90" i="2" s="1"/>
  <c r="G90" i="2"/>
  <c r="V90" i="2" s="1"/>
  <c r="D90" i="2"/>
  <c r="S90" i="2" s="1"/>
  <c r="O91" i="2"/>
  <c r="F91" i="2" s="1"/>
  <c r="U91" i="2" s="1"/>
  <c r="N90" i="2"/>
  <c r="AC90" i="2" s="1"/>
  <c r="I90" i="2"/>
  <c r="X90" i="2" s="1"/>
  <c r="O21" i="2"/>
  <c r="L74" i="2" s="1"/>
  <c r="I20" i="2"/>
  <c r="J93" i="6" s="1"/>
  <c r="J20" i="2"/>
  <c r="K93" i="6" s="1"/>
  <c r="K20" i="2"/>
  <c r="L93" i="6" s="1"/>
  <c r="D20" i="2"/>
  <c r="E93" i="6" s="1"/>
  <c r="L20" i="2"/>
  <c r="M93" i="6" s="1"/>
  <c r="E20" i="2"/>
  <c r="F93" i="6" s="1"/>
  <c r="F20" i="2"/>
  <c r="G93" i="6" s="1"/>
  <c r="N20" i="2"/>
  <c r="O93" i="6" s="1"/>
  <c r="G20" i="2"/>
  <c r="H93" i="6" s="1"/>
  <c r="C20" i="2"/>
  <c r="D93" i="6" s="1"/>
  <c r="H20" i="2"/>
  <c r="I93" i="6" s="1"/>
  <c r="E18" i="12" l="1"/>
  <c r="E27" i="16"/>
  <c r="E47" i="11"/>
  <c r="D47" i="11" s="1"/>
  <c r="F47" i="11" s="1"/>
  <c r="H122" i="6"/>
  <c r="V122" i="2"/>
  <c r="Z98" i="2"/>
  <c r="S124" i="2" s="1"/>
  <c r="F65" i="2"/>
  <c r="E65" i="2"/>
  <c r="H65" i="2"/>
  <c r="K65" i="2"/>
  <c r="D65" i="2"/>
  <c r="C65" i="2"/>
  <c r="G65" i="2"/>
  <c r="J65" i="2"/>
  <c r="L65" i="2"/>
  <c r="N65" i="2"/>
  <c r="I65" i="2"/>
  <c r="N91" i="2"/>
  <c r="AC91" i="2" s="1"/>
  <c r="L98" i="2"/>
  <c r="E91" i="2"/>
  <c r="T91" i="2" s="1"/>
  <c r="I91" i="2"/>
  <c r="X91" i="2" s="1"/>
  <c r="C91" i="2"/>
  <c r="R91" i="2" s="1"/>
  <c r="K91" i="2"/>
  <c r="Z91" i="2" s="1"/>
  <c r="J91" i="2"/>
  <c r="Y91" i="2" s="1"/>
  <c r="O92" i="2"/>
  <c r="L91" i="2"/>
  <c r="AA91" i="2" s="1"/>
  <c r="H91" i="2"/>
  <c r="W91" i="2" s="1"/>
  <c r="D91" i="2"/>
  <c r="S91" i="2" s="1"/>
  <c r="G91" i="2"/>
  <c r="V91" i="2" s="1"/>
  <c r="O22" i="2"/>
  <c r="M74" i="2" s="1"/>
  <c r="F21" i="2"/>
  <c r="G105" i="6" s="1"/>
  <c r="N21" i="2"/>
  <c r="O105" i="6" s="1"/>
  <c r="G21" i="2"/>
  <c r="H105" i="6" s="1"/>
  <c r="H21" i="2"/>
  <c r="I105" i="6" s="1"/>
  <c r="I21" i="2"/>
  <c r="J105" i="6" s="1"/>
  <c r="J21" i="2"/>
  <c r="K105" i="6" s="1"/>
  <c r="K21" i="2"/>
  <c r="L105" i="6" s="1"/>
  <c r="C21" i="2"/>
  <c r="D105" i="6" s="1"/>
  <c r="D21" i="2"/>
  <c r="E105" i="6" s="1"/>
  <c r="E21" i="2"/>
  <c r="F105" i="6" s="1"/>
  <c r="L21" i="2"/>
  <c r="M105" i="6" s="1"/>
  <c r="E29" i="16" l="1"/>
  <c r="E48" i="11"/>
  <c r="D48" i="11" s="1"/>
  <c r="F48" i="11" s="1"/>
  <c r="AA98" i="2"/>
  <c r="T124" i="2" s="1"/>
  <c r="C66" i="2"/>
  <c r="K66" i="2"/>
  <c r="I66" i="2"/>
  <c r="L66" i="2"/>
  <c r="H66" i="2"/>
  <c r="E66" i="2"/>
  <c r="N66" i="2"/>
  <c r="J66" i="2"/>
  <c r="G66" i="2"/>
  <c r="D66" i="2"/>
  <c r="F66" i="2"/>
  <c r="M98" i="2"/>
  <c r="J92" i="2"/>
  <c r="Y92" i="2" s="1"/>
  <c r="C92" i="2"/>
  <c r="R92" i="2" s="1"/>
  <c r="F92" i="2"/>
  <c r="U92" i="2" s="1"/>
  <c r="N92" i="2"/>
  <c r="AC92" i="2" s="1"/>
  <c r="E92" i="2"/>
  <c r="T92" i="2" s="1"/>
  <c r="L92" i="2"/>
  <c r="AA92" i="2" s="1"/>
  <c r="I92" i="2"/>
  <c r="X92" i="2" s="1"/>
  <c r="H92" i="2"/>
  <c r="W92" i="2" s="1"/>
  <c r="D92" i="2"/>
  <c r="S92" i="2" s="1"/>
  <c r="G92" i="2"/>
  <c r="V92" i="2" s="1"/>
  <c r="K92" i="2"/>
  <c r="Z92" i="2" s="1"/>
  <c r="N74" i="2"/>
  <c r="K22" i="2"/>
  <c r="L117" i="6" s="1"/>
  <c r="D22" i="2"/>
  <c r="E117" i="6" s="1"/>
  <c r="L22" i="2"/>
  <c r="M117" i="6" s="1"/>
  <c r="E22" i="2"/>
  <c r="F117" i="6" s="1"/>
  <c r="F22" i="2"/>
  <c r="G117" i="6" s="1"/>
  <c r="N22" i="2"/>
  <c r="O117" i="6" s="1"/>
  <c r="G22" i="2"/>
  <c r="H117" i="6" s="1"/>
  <c r="C22" i="2"/>
  <c r="D117" i="6" s="1"/>
  <c r="H22" i="2"/>
  <c r="I117" i="6" s="1"/>
  <c r="I22" i="2"/>
  <c r="J117" i="6" s="1"/>
  <c r="J22" i="2"/>
  <c r="K117" i="6" s="1"/>
  <c r="E49" i="11" l="1"/>
  <c r="D49" i="11" s="1"/>
  <c r="F49" i="11" s="1"/>
  <c r="N67" i="2"/>
  <c r="F67" i="2"/>
  <c r="J67" i="2"/>
  <c r="G67" i="2"/>
  <c r="E67" i="2"/>
  <c r="I67" i="2"/>
  <c r="L67" i="2"/>
  <c r="H67" i="2"/>
  <c r="D67" i="2"/>
  <c r="C67" i="2"/>
  <c r="K67" i="2"/>
  <c r="N98" i="2"/>
  <c r="AB98" i="2"/>
  <c r="E50" i="11" l="1"/>
  <c r="D50" i="11" s="1"/>
  <c r="F50" i="11" s="1"/>
  <c r="AC98" i="2"/>
  <c r="U124" i="2"/>
  <c r="E51" i="11" l="1"/>
  <c r="D51" i="11" s="1"/>
  <c r="F51" i="11" s="1"/>
  <c r="V124" i="2"/>
  <c r="E52" i="11" l="1"/>
  <c r="D52" i="11" s="1"/>
  <c r="F52" i="11" s="1"/>
  <c r="E53" i="11" l="1"/>
  <c r="D53" i="11" s="1"/>
  <c r="F53" i="11" s="1"/>
  <c r="E54" i="11" l="1"/>
  <c r="D54" i="11" s="1"/>
  <c r="F54" i="11" s="1"/>
  <c r="D76" i="2"/>
  <c r="G43" i="2"/>
  <c r="H11" i="6" s="1"/>
  <c r="E43" i="2"/>
  <c r="F11" i="6" s="1"/>
  <c r="L43" i="2"/>
  <c r="M11" i="6" s="1"/>
  <c r="D43" i="2"/>
  <c r="E11" i="6" s="1"/>
  <c r="N43" i="2"/>
  <c r="O11" i="6" s="1"/>
  <c r="F43" i="2"/>
  <c r="G11" i="6" s="1"/>
  <c r="K43" i="2"/>
  <c r="L11" i="6" s="1"/>
  <c r="J43" i="2"/>
  <c r="K11" i="6" s="1"/>
  <c r="I43" i="2"/>
  <c r="J11" i="6" s="1"/>
  <c r="C43" i="2"/>
  <c r="H43" i="2"/>
  <c r="I11" i="6" s="1"/>
  <c r="E55" i="11" l="1"/>
  <c r="D55" i="11" s="1"/>
  <c r="F55" i="11" s="1"/>
  <c r="N76" i="2"/>
  <c r="C21" i="7"/>
  <c r="D11" i="7"/>
  <c r="F11" i="7" s="1"/>
  <c r="C16" i="5"/>
  <c r="D11" i="6"/>
  <c r="V43" i="2"/>
  <c r="G58" i="2"/>
  <c r="AC43" i="2"/>
  <c r="N58" i="2"/>
  <c r="S43" i="2"/>
  <c r="D58" i="2"/>
  <c r="Y43" i="2"/>
  <c r="J58" i="2"/>
  <c r="U43" i="2"/>
  <c r="F58" i="2"/>
  <c r="W43" i="2"/>
  <c r="H58" i="2"/>
  <c r="AA43" i="2"/>
  <c r="L58" i="2"/>
  <c r="Z43" i="2"/>
  <c r="K58" i="2"/>
  <c r="R43" i="2"/>
  <c r="C58" i="2"/>
  <c r="F5" i="5" s="1"/>
  <c r="F6" i="5" s="1"/>
  <c r="T43" i="2"/>
  <c r="E58" i="2"/>
  <c r="X43" i="2"/>
  <c r="I58" i="2"/>
  <c r="S75" i="2"/>
  <c r="L123" i="2" l="1"/>
  <c r="V123" i="2" s="1"/>
  <c r="F11" i="5"/>
  <c r="F12" i="5"/>
  <c r="E56" i="11"/>
  <c r="D56" i="11" s="1"/>
  <c r="F56" i="11" s="1"/>
  <c r="G11" i="7"/>
  <c r="AC75" i="2"/>
  <c r="E57" i="11" l="1"/>
  <c r="D57" i="11" s="1"/>
  <c r="F57" i="11" s="1"/>
  <c r="E58" i="11" l="1"/>
  <c r="D58" i="11" s="1"/>
  <c r="F58" i="11" s="1"/>
  <c r="M22" i="2"/>
  <c r="N117" i="6" s="1"/>
  <c r="M92" i="2"/>
  <c r="AB92" i="2" s="1"/>
  <c r="M91" i="2"/>
  <c r="AB91" i="2" s="1"/>
  <c r="M21" i="2"/>
  <c r="N105" i="6" s="1"/>
  <c r="M90" i="2"/>
  <c r="AB90" i="2" s="1"/>
  <c r="M20" i="2"/>
  <c r="N93" i="6" s="1"/>
  <c r="M89" i="2"/>
  <c r="AB89" i="2" s="1"/>
  <c r="AD89" i="2" s="1"/>
  <c r="M19" i="2"/>
  <c r="N81" i="6" s="1"/>
  <c r="M88" i="2"/>
  <c r="AB88" i="2" s="1"/>
  <c r="M18" i="2"/>
  <c r="M17" i="2"/>
  <c r="M87" i="2"/>
  <c r="AB87" i="2" s="1"/>
  <c r="M16" i="2"/>
  <c r="N45" i="6" s="1"/>
  <c r="M86" i="2"/>
  <c r="AB86" i="2" s="1"/>
  <c r="M85" i="2"/>
  <c r="AB85" i="2" s="1"/>
  <c r="M15" i="2"/>
  <c r="N33" i="6" s="1"/>
  <c r="M14" i="2"/>
  <c r="M84" i="2"/>
  <c r="AB84" i="2" s="1"/>
  <c r="M13" i="2"/>
  <c r="M83" i="2"/>
  <c r="AB83" i="2" s="1"/>
  <c r="M36" i="2"/>
  <c r="M30" i="2"/>
  <c r="N34" i="6" s="1"/>
  <c r="M37" i="2"/>
  <c r="AB37" i="2" s="1"/>
  <c r="AD37" i="2" s="1"/>
  <c r="M29" i="2"/>
  <c r="AB29" i="2" s="1"/>
  <c r="AD29" i="2" s="1"/>
  <c r="M43" i="2"/>
  <c r="AB43" i="2" s="1"/>
  <c r="AD43" i="2" s="1"/>
  <c r="M47" i="2"/>
  <c r="N59" i="6" s="1"/>
  <c r="M35" i="2"/>
  <c r="N94" i="6" s="1"/>
  <c r="M46" i="2"/>
  <c r="AB46" i="2" s="1"/>
  <c r="AD46" i="2" s="1"/>
  <c r="M48" i="2"/>
  <c r="AB48" i="2" s="1"/>
  <c r="AD48" i="2" s="1"/>
  <c r="M34" i="2"/>
  <c r="N82" i="6" s="1"/>
  <c r="M52" i="2"/>
  <c r="N119" i="6" s="1"/>
  <c r="M28" i="2"/>
  <c r="N10" i="6" s="1"/>
  <c r="M45" i="2"/>
  <c r="AB45" i="2" s="1"/>
  <c r="AD45" i="2" s="1"/>
  <c r="M51" i="2"/>
  <c r="AB51" i="2" s="1"/>
  <c r="AD51" i="2" s="1"/>
  <c r="M49" i="2"/>
  <c r="N83" i="6" s="1"/>
  <c r="M44" i="2"/>
  <c r="N23" i="6" s="1"/>
  <c r="M31" i="2"/>
  <c r="AB31" i="2" s="1"/>
  <c r="AD31" i="2" s="1"/>
  <c r="M32" i="2"/>
  <c r="N58" i="6" s="1"/>
  <c r="M33" i="2"/>
  <c r="N70" i="6" s="1"/>
  <c r="M50" i="2"/>
  <c r="AB50" i="2" s="1"/>
  <c r="AD50" i="2" s="1"/>
  <c r="E59" i="11" l="1"/>
  <c r="D59" i="11" s="1"/>
  <c r="F59" i="11" s="1"/>
  <c r="M66" i="2"/>
  <c r="O66" i="2" s="1"/>
  <c r="M63" i="2"/>
  <c r="O63" i="2" s="1"/>
  <c r="AB33" i="2"/>
  <c r="AD33" i="2" s="1"/>
  <c r="N95" i="6"/>
  <c r="AB35" i="2"/>
  <c r="AD35" i="2" s="1"/>
  <c r="M64" i="2"/>
  <c r="O64" i="2" s="1"/>
  <c r="M58" i="2"/>
  <c r="O58" i="2" s="1"/>
  <c r="N21" i="6"/>
  <c r="M62" i="2"/>
  <c r="O62" i="2" s="1"/>
  <c r="AD90" i="2"/>
  <c r="AD83" i="2"/>
  <c r="AD91" i="2"/>
  <c r="AD86" i="2"/>
  <c r="AD92" i="2"/>
  <c r="AD84" i="2"/>
  <c r="AD87" i="2"/>
  <c r="AB28" i="2"/>
  <c r="AD28" i="2" s="1"/>
  <c r="N46" i="6"/>
  <c r="N35" i="6"/>
  <c r="N71" i="6"/>
  <c r="N11" i="6"/>
  <c r="N106" i="6"/>
  <c r="AB30" i="2"/>
  <c r="AD30" i="2" s="1"/>
  <c r="AB52" i="2"/>
  <c r="AD52" i="2" s="1"/>
  <c r="AB44" i="2"/>
  <c r="AD44" i="2" s="1"/>
  <c r="AD85" i="2"/>
  <c r="AD88" i="2"/>
  <c r="M67" i="2"/>
  <c r="O67" i="2" s="1"/>
  <c r="M65" i="2"/>
  <c r="O65" i="2" s="1"/>
  <c r="N47" i="6"/>
  <c r="N22" i="6"/>
  <c r="AB36" i="2"/>
  <c r="AD36" i="2" s="1"/>
  <c r="AB49" i="2"/>
  <c r="AD49" i="2" s="1"/>
  <c r="N57" i="6"/>
  <c r="M61" i="2"/>
  <c r="O61" i="2" s="1"/>
  <c r="M60" i="2"/>
  <c r="O60" i="2" s="1"/>
  <c r="AB47" i="2"/>
  <c r="AD47" i="2" s="1"/>
  <c r="N9" i="6"/>
  <c r="M59" i="2"/>
  <c r="O59" i="2" s="1"/>
  <c r="N118" i="6"/>
  <c r="AB32" i="2"/>
  <c r="AD32" i="2" s="1"/>
  <c r="AB34" i="2"/>
  <c r="AD34" i="2" s="1"/>
  <c r="N69" i="6"/>
  <c r="N107" i="6"/>
  <c r="E60" i="11" l="1"/>
  <c r="D60" i="11" s="1"/>
  <c r="F60" i="11" s="1"/>
  <c r="E61" i="11" l="1"/>
  <c r="D61" i="11" s="1"/>
  <c r="F61" i="11" s="1"/>
  <c r="E62" i="11" l="1"/>
  <c r="D62" i="11" s="1"/>
  <c r="F62" i="11" s="1"/>
  <c r="E63" i="11" l="1"/>
  <c r="D63" i="11" s="1"/>
  <c r="F63" i="11" s="1"/>
  <c r="E64" i="11" l="1"/>
  <c r="D64" i="11" s="1"/>
  <c r="F64" i="11" s="1"/>
  <c r="J46" i="11"/>
  <c r="E65" i="11" l="1"/>
  <c r="D65" i="11" s="1"/>
  <c r="F65" i="11" s="1"/>
  <c r="I46" i="11"/>
  <c r="F137" i="11" l="1"/>
  <c r="F26" i="16" s="1"/>
  <c r="E66" i="11"/>
  <c r="D66" i="11" s="1"/>
  <c r="F66" i="11" s="1"/>
  <c r="K46" i="11"/>
  <c r="F139" i="11" l="1"/>
  <c r="F138" i="11"/>
  <c r="F18" i="12" s="1"/>
  <c r="E67" i="11"/>
  <c r="D67" i="11" s="1"/>
  <c r="F67" i="11" s="1"/>
  <c r="F27" i="16" l="1"/>
  <c r="E68" i="11"/>
  <c r="D68" i="11" s="1"/>
  <c r="F68" i="11" s="1"/>
  <c r="F29" i="16" l="1"/>
  <c r="E69" i="11"/>
  <c r="D69" i="11" s="1"/>
  <c r="F69" i="11" s="1"/>
  <c r="E70" i="11" l="1"/>
  <c r="D70" i="11" s="1"/>
  <c r="F70" i="11" s="1"/>
  <c r="J58" i="11"/>
  <c r="E71" i="11" l="1"/>
  <c r="D71" i="11" s="1"/>
  <c r="F71" i="11" s="1"/>
  <c r="I58" i="11"/>
  <c r="G137" i="11" l="1"/>
  <c r="G26" i="16" s="1"/>
  <c r="E72" i="11"/>
  <c r="D72" i="11" s="1"/>
  <c r="F72" i="11" s="1"/>
  <c r="K58" i="11"/>
  <c r="G138" i="11" l="1"/>
  <c r="G18" i="12" s="1"/>
  <c r="G139" i="11"/>
  <c r="E73" i="11"/>
  <c r="D73" i="11" s="1"/>
  <c r="F73" i="11" s="1"/>
  <c r="G27" i="16" l="1"/>
  <c r="E74" i="11"/>
  <c r="D74" i="11" s="1"/>
  <c r="F74" i="11" s="1"/>
  <c r="G29" i="16" l="1"/>
  <c r="E75" i="11"/>
  <c r="D75" i="11" s="1"/>
  <c r="F75" i="11" s="1"/>
  <c r="E76" i="11" l="1"/>
  <c r="D76" i="11" s="1"/>
  <c r="F76" i="11" s="1"/>
  <c r="J70" i="11"/>
  <c r="E77" i="11" l="1"/>
  <c r="D77" i="11" s="1"/>
  <c r="F77" i="11" s="1"/>
  <c r="I70" i="11"/>
  <c r="H137" i="11" l="1"/>
  <c r="H26" i="16" s="1"/>
  <c r="E78" i="11"/>
  <c r="D78" i="11" s="1"/>
  <c r="F78" i="11" s="1"/>
  <c r="K70" i="11"/>
  <c r="H138" i="11" l="1"/>
  <c r="H18" i="12" s="1"/>
  <c r="H139" i="11"/>
  <c r="E79" i="11"/>
  <c r="D79" i="11" s="1"/>
  <c r="F79" i="11" s="1"/>
  <c r="H27" i="16" l="1"/>
  <c r="E80" i="11"/>
  <c r="D80" i="11" s="1"/>
  <c r="F80" i="11" s="1"/>
  <c r="H29" i="16" l="1"/>
  <c r="E81" i="11"/>
  <c r="D81" i="11" s="1"/>
  <c r="F81" i="11" s="1"/>
  <c r="E82" i="11" l="1"/>
  <c r="D82" i="11" s="1"/>
  <c r="F82" i="11" s="1"/>
  <c r="I82" i="11" l="1"/>
  <c r="I137" i="11" s="1"/>
  <c r="J82" i="11"/>
  <c r="E83" i="11"/>
  <c r="D83" i="11" s="1"/>
  <c r="F83" i="11" s="1"/>
  <c r="K82" i="11"/>
  <c r="I139" i="11" l="1"/>
  <c r="I26" i="16"/>
  <c r="I138" i="11"/>
  <c r="E84" i="11"/>
  <c r="D84" i="11" s="1"/>
  <c r="F84" i="11" s="1"/>
  <c r="I18" i="12" l="1"/>
  <c r="I27" i="16"/>
  <c r="E85" i="11"/>
  <c r="D85" i="11" s="1"/>
  <c r="F85" i="11" s="1"/>
  <c r="I29" i="16" l="1"/>
  <c r="E86" i="11"/>
  <c r="D86" i="11" s="1"/>
  <c r="F86" i="11" s="1"/>
  <c r="E87" i="11" l="1"/>
  <c r="D87" i="11" s="1"/>
  <c r="F87" i="11" s="1"/>
  <c r="E88" i="11" l="1"/>
  <c r="D88" i="11" l="1"/>
  <c r="F88" i="11" l="1"/>
  <c r="E89" i="11" l="1"/>
  <c r="D89" i="11" l="1"/>
  <c r="F89" i="11" l="1"/>
  <c r="E90" i="11" l="1"/>
  <c r="D90" i="11" l="1"/>
  <c r="F90" i="11" l="1"/>
  <c r="E91" i="11" l="1"/>
  <c r="D91" i="11" l="1"/>
  <c r="F91" i="11" l="1"/>
  <c r="E92" i="11" l="1"/>
  <c r="D92" i="11" l="1"/>
  <c r="F92" i="11" l="1"/>
  <c r="E93" i="11" l="1"/>
  <c r="D93" i="11" s="1"/>
  <c r="F93" i="11" s="1"/>
  <c r="E94" i="11" l="1"/>
  <c r="D94" i="11" l="1"/>
  <c r="J94" i="11"/>
  <c r="I94" i="11" l="1"/>
  <c r="J137" i="11" s="1"/>
  <c r="J26" i="16" s="1"/>
  <c r="F94" i="11"/>
  <c r="E95" i="11" l="1"/>
  <c r="K94" i="11"/>
  <c r="J138" i="11"/>
  <c r="J139" i="11"/>
  <c r="J18" i="12" l="1"/>
  <c r="J27" i="16"/>
  <c r="D95" i="11"/>
  <c r="J29" i="16" l="1"/>
  <c r="F95" i="11"/>
  <c r="E96" i="11" l="1"/>
  <c r="D96" i="11" l="1"/>
  <c r="F96" i="11" l="1"/>
  <c r="E97" i="11" l="1"/>
  <c r="D97" i="11" l="1"/>
  <c r="F97" i="11" l="1"/>
  <c r="E98" i="11" l="1"/>
  <c r="D98" i="11" l="1"/>
  <c r="F98" i="11" l="1"/>
  <c r="E99" i="11" l="1"/>
  <c r="D99" i="11" l="1"/>
  <c r="F99" i="11" l="1"/>
  <c r="E100" i="11" l="1"/>
  <c r="D100" i="11" s="1"/>
  <c r="F100" i="11" s="1"/>
  <c r="E101" i="11" l="1"/>
  <c r="D101" i="11" s="1"/>
  <c r="F101" i="11" s="1"/>
  <c r="E102" i="11" l="1"/>
  <c r="D102" i="11" s="1"/>
  <c r="F102" i="11" s="1"/>
  <c r="E103" i="11" l="1"/>
  <c r="D103" i="11" s="1"/>
  <c r="F103" i="11" s="1"/>
  <c r="E104" i="11" l="1"/>
  <c r="D104" i="11" s="1"/>
  <c r="F104" i="11" s="1"/>
  <c r="E105" i="11" l="1"/>
  <c r="D105" i="11" s="1"/>
  <c r="F105" i="11" s="1"/>
  <c r="E106" i="11" l="1"/>
  <c r="D106" i="11" l="1"/>
  <c r="J106" i="11"/>
  <c r="I106" i="11" l="1"/>
  <c r="K137" i="11" s="1"/>
  <c r="K26" i="16" s="1"/>
  <c r="F106" i="11"/>
  <c r="K138" i="11" l="1"/>
  <c r="K139" i="11"/>
  <c r="E107" i="11"/>
  <c r="K106" i="11"/>
  <c r="K18" i="12" l="1"/>
  <c r="K27" i="16"/>
  <c r="D107" i="11"/>
  <c r="K29" i="16" l="1"/>
  <c r="F107" i="11"/>
  <c r="E108" i="11" l="1"/>
  <c r="D108" i="11" l="1"/>
  <c r="F108" i="11" l="1"/>
  <c r="E109" i="11" l="1"/>
  <c r="D109" i="11" l="1"/>
  <c r="F109" i="11" l="1"/>
  <c r="E110" i="11" l="1"/>
  <c r="D110" i="11" l="1"/>
  <c r="F110" i="11" l="1"/>
  <c r="E111" i="11" l="1"/>
  <c r="D111" i="11" l="1"/>
  <c r="F111" i="11" l="1"/>
  <c r="E112" i="11" l="1"/>
  <c r="D112" i="11" s="1"/>
  <c r="F112" i="11" s="1"/>
  <c r="E113" i="11" l="1"/>
  <c r="D113" i="11" s="1"/>
  <c r="F113" i="11" s="1"/>
  <c r="E114" i="11" l="1"/>
  <c r="D114" i="11" s="1"/>
  <c r="F114" i="11" s="1"/>
  <c r="E115" i="11" l="1"/>
  <c r="D115" i="11" s="1"/>
  <c r="F115" i="11" s="1"/>
  <c r="E116" i="11" l="1"/>
  <c r="D116" i="11" s="1"/>
  <c r="F116" i="11" s="1"/>
  <c r="E117" i="11" l="1"/>
  <c r="D117" i="11" s="1"/>
  <c r="F117" i="11" s="1"/>
  <c r="E118" i="11" l="1"/>
  <c r="D118" i="11" l="1"/>
  <c r="J118" i="11"/>
  <c r="I118" i="11" l="1"/>
  <c r="L137" i="11" s="1"/>
  <c r="L26" i="16" s="1"/>
  <c r="F118" i="11"/>
  <c r="E119" i="11" l="1"/>
  <c r="K118" i="11"/>
  <c r="L138" i="11"/>
  <c r="L139" i="11"/>
  <c r="L18" i="12" l="1"/>
  <c r="L27" i="16"/>
  <c r="D119" i="11"/>
  <c r="L29" i="16" l="1"/>
  <c r="F119" i="11"/>
  <c r="E120" i="11" l="1"/>
  <c r="D120" i="11" l="1"/>
  <c r="F120" i="11" l="1"/>
  <c r="E121" i="11" l="1"/>
  <c r="D121" i="11" l="1"/>
  <c r="F121" i="11" l="1"/>
  <c r="E122" i="11" l="1"/>
  <c r="D122" i="11" l="1"/>
  <c r="F122" i="11" l="1"/>
  <c r="E123" i="11" l="1"/>
  <c r="D123" i="11" l="1"/>
  <c r="F123" i="11" l="1"/>
  <c r="E124" i="11" l="1"/>
  <c r="D124" i="11" s="1"/>
  <c r="F124" i="11" s="1"/>
  <c r="E125" i="11" l="1"/>
  <c r="D125" i="11" s="1"/>
  <c r="F125" i="11" s="1"/>
  <c r="E126" i="11" l="1"/>
  <c r="D126" i="11" s="1"/>
  <c r="F126" i="11" s="1"/>
  <c r="E127" i="11" l="1"/>
  <c r="D127" i="11" s="1"/>
  <c r="F127" i="11" s="1"/>
  <c r="E128" i="11" l="1"/>
  <c r="D128" i="11" s="1"/>
  <c r="F128" i="11" s="1"/>
  <c r="E129" i="11" l="1"/>
  <c r="D129" i="11" s="1"/>
  <c r="F129" i="11" s="1"/>
  <c r="E130" i="11" l="1"/>
  <c r="D130" i="11" l="1"/>
  <c r="E131" i="11"/>
  <c r="J130" i="11"/>
  <c r="J131" i="11" s="1"/>
  <c r="D131" i="11" l="1"/>
  <c r="I130" i="11"/>
  <c r="F130" i="11"/>
  <c r="K130" i="11" s="1"/>
  <c r="M137" i="11" l="1"/>
  <c r="M26" i="16" s="1"/>
  <c r="I131" i="11"/>
  <c r="M139" i="11" l="1"/>
  <c r="M138" i="11"/>
  <c r="M27" i="16" s="1"/>
  <c r="C21" i="17" l="1"/>
  <c r="G21" i="17"/>
  <c r="M29" i="16"/>
  <c r="M18" i="12"/>
  <c r="C7" i="13" l="1"/>
  <c r="I22" i="13" s="1"/>
  <c r="D7" i="13"/>
  <c r="H19" i="7"/>
  <c r="H22" i="7" s="1"/>
  <c r="H4" i="16" s="1"/>
  <c r="I9" i="12" l="1"/>
  <c r="I19" i="16"/>
  <c r="D19" i="7"/>
  <c r="D22" i="7" s="1"/>
  <c r="D4" i="16" s="1"/>
  <c r="C9" i="7"/>
  <c r="F9" i="7" s="1"/>
  <c r="L12" i="6"/>
  <c r="F12" i="6"/>
  <c r="F19" i="7"/>
  <c r="F22" i="7" s="1"/>
  <c r="F4" i="16" s="1"/>
  <c r="C14" i="5"/>
  <c r="C18" i="5" s="1"/>
  <c r="C19" i="7"/>
  <c r="C22" i="7" s="1"/>
  <c r="C4" i="16" s="1"/>
  <c r="K19" i="7"/>
  <c r="K22" i="7" s="1"/>
  <c r="K4" i="16" s="1"/>
  <c r="F7" i="5"/>
  <c r="F10" i="5" s="1"/>
  <c r="J19" i="7"/>
  <c r="J22" i="7" s="1"/>
  <c r="J4" i="16" s="1"/>
  <c r="L19" i="7"/>
  <c r="L22" i="7" s="1"/>
  <c r="L4" i="16" s="1"/>
  <c r="J12" i="6"/>
  <c r="M12" i="6"/>
  <c r="G19" i="7"/>
  <c r="G22" i="7" s="1"/>
  <c r="G4" i="16" s="1"/>
  <c r="G12" i="6"/>
  <c r="K12" i="6"/>
  <c r="O12" i="6"/>
  <c r="E19" i="7"/>
  <c r="E22" i="7" s="1"/>
  <c r="E4" i="16" s="1"/>
  <c r="I19" i="7"/>
  <c r="I22" i="7" s="1"/>
  <c r="I4" i="16" s="1"/>
  <c r="N12" i="6"/>
  <c r="I12" i="6"/>
  <c r="E12" i="6"/>
  <c r="D12" i="6"/>
  <c r="D15" i="6" s="1"/>
  <c r="H12" i="6"/>
  <c r="E7" i="13"/>
  <c r="J7" i="13" s="1"/>
  <c r="K9" i="12" l="1"/>
  <c r="K19" i="16"/>
  <c r="J15" i="6"/>
  <c r="J24" i="6"/>
  <c r="L15" i="6"/>
  <c r="L24" i="6"/>
  <c r="H15" i="6"/>
  <c r="H24" i="6"/>
  <c r="O15" i="6"/>
  <c r="O24" i="6"/>
  <c r="L9" i="12"/>
  <c r="L19" i="16"/>
  <c r="J9" i="12"/>
  <c r="J19" i="16"/>
  <c r="M9" i="12"/>
  <c r="M19" i="16"/>
  <c r="F12" i="7"/>
  <c r="G9" i="7"/>
  <c r="G12" i="7" s="1"/>
  <c r="D19" i="16"/>
  <c r="D9" i="12"/>
  <c r="F15" i="6"/>
  <c r="F24" i="6"/>
  <c r="D24" i="6"/>
  <c r="K15" i="6"/>
  <c r="K24" i="6"/>
  <c r="H19" i="16"/>
  <c r="H9" i="12"/>
  <c r="G9" i="12"/>
  <c r="G19" i="16"/>
  <c r="F9" i="12"/>
  <c r="F19" i="16"/>
  <c r="E19" i="16"/>
  <c r="E9" i="12"/>
  <c r="E15" i="6"/>
  <c r="D16" i="6" s="1"/>
  <c r="D17" i="6" s="1"/>
  <c r="E24" i="6"/>
  <c r="G15" i="6"/>
  <c r="G24" i="6"/>
  <c r="I15" i="6"/>
  <c r="I24" i="6"/>
  <c r="N15" i="6"/>
  <c r="N24" i="6"/>
  <c r="M24" i="6"/>
  <c r="M15" i="6"/>
  <c r="AB17" i="2"/>
  <c r="AB62" i="2" s="1"/>
  <c r="U109" i="2" s="1"/>
  <c r="AB18" i="2"/>
  <c r="AB63" i="2" s="1"/>
  <c r="U110" i="2" s="1"/>
  <c r="R18" i="2"/>
  <c r="V13" i="2"/>
  <c r="V58" i="2" s="1"/>
  <c r="O105" i="2" s="1"/>
  <c r="Y13" i="2"/>
  <c r="Y58" i="2" s="1"/>
  <c r="R105" i="2" s="1"/>
  <c r="W13" i="2"/>
  <c r="W58" i="2" s="1"/>
  <c r="P105" i="2" s="1"/>
  <c r="X13" i="2"/>
  <c r="X58" i="2" s="1"/>
  <c r="Q105" i="2" s="1"/>
  <c r="R20" i="2"/>
  <c r="AB21" i="2"/>
  <c r="AB66" i="2" s="1"/>
  <c r="U113" i="2" s="1"/>
  <c r="AB14" i="2"/>
  <c r="AB59" i="2" s="1"/>
  <c r="U106" i="2" s="1"/>
  <c r="AB15" i="2"/>
  <c r="AB60" i="2" s="1"/>
  <c r="U107" i="2" s="1"/>
  <c r="AB22" i="2"/>
  <c r="AB67" i="2" s="1"/>
  <c r="U114" i="2" s="1"/>
  <c r="R22" i="2"/>
  <c r="U13" i="2"/>
  <c r="U58" i="2" s="1"/>
  <c r="N105" i="2" s="1"/>
  <c r="Z13" i="2"/>
  <c r="Z58" i="2" s="1"/>
  <c r="S105" i="2" s="1"/>
  <c r="AB19" i="2"/>
  <c r="AB64" i="2" s="1"/>
  <c r="U111" i="2" s="1"/>
  <c r="R14" i="2"/>
  <c r="S73" i="2"/>
  <c r="Z73" i="2"/>
  <c r="AB20" i="2"/>
  <c r="AB65" i="2" s="1"/>
  <c r="U112" i="2" s="1"/>
  <c r="R16" i="2"/>
  <c r="R19" i="2"/>
  <c r="AB16" i="2"/>
  <c r="AB61" i="2" s="1"/>
  <c r="U108" i="2" s="1"/>
  <c r="S13" i="2"/>
  <c r="S58" i="2" s="1"/>
  <c r="L105" i="2" s="1"/>
  <c r="T73" i="2"/>
  <c r="AA13" i="2"/>
  <c r="AA58" i="2" s="1"/>
  <c r="T105" i="2" s="1"/>
  <c r="S16" i="2"/>
  <c r="S61" i="2" s="1"/>
  <c r="L108" i="2" s="1"/>
  <c r="V73" i="2"/>
  <c r="AA22" i="2"/>
  <c r="AA67" i="2" s="1"/>
  <c r="T114" i="2" s="1"/>
  <c r="X21" i="2"/>
  <c r="X66" i="2" s="1"/>
  <c r="Q113" i="2" s="1"/>
  <c r="Z20" i="2"/>
  <c r="Z65" i="2" s="1"/>
  <c r="S112" i="2" s="1"/>
  <c r="U73" i="2"/>
  <c r="T13" i="2"/>
  <c r="T58" i="2" s="1"/>
  <c r="M105" i="2" s="1"/>
  <c r="AC22" i="2"/>
  <c r="AC67" i="2" s="1"/>
  <c r="V114" i="2" s="1"/>
  <c r="T21" i="2"/>
  <c r="T66" i="2" s="1"/>
  <c r="M113" i="2" s="1"/>
  <c r="T20" i="2"/>
  <c r="T65" i="2" s="1"/>
  <c r="M112" i="2" s="1"/>
  <c r="W20" i="2"/>
  <c r="W65" i="2" s="1"/>
  <c r="P112" i="2" s="1"/>
  <c r="S19" i="2"/>
  <c r="S64" i="2" s="1"/>
  <c r="L111" i="2" s="1"/>
  <c r="AA73" i="2"/>
  <c r="R15" i="2"/>
  <c r="S14" i="2"/>
  <c r="S59" i="2" s="1"/>
  <c r="L106" i="2" s="1"/>
  <c r="T22" i="2"/>
  <c r="T67" i="2" s="1"/>
  <c r="M114" i="2" s="1"/>
  <c r="X22" i="2"/>
  <c r="X67" i="2" s="1"/>
  <c r="Q114" i="2" s="1"/>
  <c r="S21" i="2"/>
  <c r="S66" i="2" s="1"/>
  <c r="L113" i="2" s="1"/>
  <c r="AC20" i="2"/>
  <c r="AC65" i="2" s="1"/>
  <c r="V112" i="2" s="1"/>
  <c r="Z19" i="2"/>
  <c r="Z64" i="2" s="1"/>
  <c r="S111" i="2" s="1"/>
  <c r="R17" i="2"/>
  <c r="AB73" i="2"/>
  <c r="X73" i="2"/>
  <c r="W73" i="2"/>
  <c r="Y22" i="2"/>
  <c r="Y67" i="2" s="1"/>
  <c r="R114" i="2" s="1"/>
  <c r="R13" i="2"/>
  <c r="Z22" i="2"/>
  <c r="Z67" i="2" s="1"/>
  <c r="S114" i="2" s="1"/>
  <c r="Y21" i="2"/>
  <c r="Y66" i="2" s="1"/>
  <c r="R113" i="2" s="1"/>
  <c r="AA20" i="2"/>
  <c r="AA65" i="2" s="1"/>
  <c r="T112" i="2" s="1"/>
  <c r="X19" i="2"/>
  <c r="X64" i="2" s="1"/>
  <c r="Q111" i="2" s="1"/>
  <c r="T19" i="2"/>
  <c r="T64" i="2" s="1"/>
  <c r="M111" i="2" s="1"/>
  <c r="U21" i="2"/>
  <c r="U66" i="2" s="1"/>
  <c r="N113" i="2" s="1"/>
  <c r="AC18" i="2"/>
  <c r="AC63" i="2" s="1"/>
  <c r="V110" i="2" s="1"/>
  <c r="T18" i="2"/>
  <c r="T63" i="2" s="1"/>
  <c r="M110" i="2" s="1"/>
  <c r="AC17" i="2"/>
  <c r="AC62" i="2" s="1"/>
  <c r="V109" i="2" s="1"/>
  <c r="T16" i="2"/>
  <c r="T61" i="2" s="1"/>
  <c r="M108" i="2" s="1"/>
  <c r="V15" i="2"/>
  <c r="V60" i="2" s="1"/>
  <c r="O107" i="2" s="1"/>
  <c r="U14" i="2"/>
  <c r="U59" i="2" s="1"/>
  <c r="N106" i="2" s="1"/>
  <c r="Z15" i="2"/>
  <c r="Z60" i="2" s="1"/>
  <c r="S107" i="2" s="1"/>
  <c r="S18" i="2"/>
  <c r="S63" i="2" s="1"/>
  <c r="L110" i="2" s="1"/>
  <c r="W22" i="2"/>
  <c r="W67" i="2" s="1"/>
  <c r="P114" i="2" s="1"/>
  <c r="AC21" i="2"/>
  <c r="AC66" i="2" s="1"/>
  <c r="V113" i="2" s="1"/>
  <c r="X17" i="2"/>
  <c r="X62" i="2" s="1"/>
  <c r="Q109" i="2" s="1"/>
  <c r="Y17" i="2"/>
  <c r="Y62" i="2" s="1"/>
  <c r="R109" i="2" s="1"/>
  <c r="Y16" i="2"/>
  <c r="Y61" i="2" s="1"/>
  <c r="R108" i="2" s="1"/>
  <c r="U15" i="2"/>
  <c r="U60" i="2" s="1"/>
  <c r="N107" i="2" s="1"/>
  <c r="Z14" i="2"/>
  <c r="Z59" i="2" s="1"/>
  <c r="S106" i="2" s="1"/>
  <c r="AA16" i="2"/>
  <c r="AA61" i="2" s="1"/>
  <c r="T108" i="2" s="1"/>
  <c r="AC15" i="2"/>
  <c r="AC60" i="2" s="1"/>
  <c r="V107" i="2" s="1"/>
  <c r="X16" i="2"/>
  <c r="X61" i="2" s="1"/>
  <c r="Q108" i="2" s="1"/>
  <c r="V14" i="2"/>
  <c r="V59" i="2" s="1"/>
  <c r="O106" i="2" s="1"/>
  <c r="U22" i="2"/>
  <c r="U67" i="2" s="1"/>
  <c r="N114" i="2" s="1"/>
  <c r="S20" i="2"/>
  <c r="S65" i="2" s="1"/>
  <c r="L112" i="2" s="1"/>
  <c r="Y19" i="2"/>
  <c r="Y64" i="2" s="1"/>
  <c r="R111" i="2" s="1"/>
  <c r="AA18" i="2"/>
  <c r="AA63" i="2" s="1"/>
  <c r="T110" i="2" s="1"/>
  <c r="T17" i="2"/>
  <c r="T62" i="2" s="1"/>
  <c r="M109" i="2" s="1"/>
  <c r="V16" i="2"/>
  <c r="V61" i="2" s="1"/>
  <c r="O108" i="2" s="1"/>
  <c r="W15" i="2"/>
  <c r="W60" i="2" s="1"/>
  <c r="P107" i="2" s="1"/>
  <c r="X15" i="2"/>
  <c r="X60" i="2" s="1"/>
  <c r="Q107" i="2" s="1"/>
  <c r="W14" i="2"/>
  <c r="W59" i="2" s="1"/>
  <c r="P106" i="2" s="1"/>
  <c r="Y14" i="2"/>
  <c r="Y59" i="2" s="1"/>
  <c r="R106" i="2" s="1"/>
  <c r="U16" i="2"/>
  <c r="U61" i="2" s="1"/>
  <c r="N108" i="2" s="1"/>
  <c r="V22" i="2"/>
  <c r="V67" i="2" s="1"/>
  <c r="O114" i="2" s="1"/>
  <c r="U20" i="2"/>
  <c r="U65" i="2" s="1"/>
  <c r="N112" i="2" s="1"/>
  <c r="V19" i="2"/>
  <c r="V64" i="2" s="1"/>
  <c r="O111" i="2" s="1"/>
  <c r="V18" i="2"/>
  <c r="V63" i="2" s="1"/>
  <c r="O110" i="2" s="1"/>
  <c r="U18" i="2"/>
  <c r="U63" i="2" s="1"/>
  <c r="N110" i="2" s="1"/>
  <c r="W17" i="2"/>
  <c r="W62" i="2" s="1"/>
  <c r="P109" i="2" s="1"/>
  <c r="Z16" i="2"/>
  <c r="Z61" i="2" s="1"/>
  <c r="S108" i="2" s="1"/>
  <c r="AA15" i="2"/>
  <c r="AA60" i="2" s="1"/>
  <c r="T107" i="2" s="1"/>
  <c r="X14" i="2"/>
  <c r="X59" i="2" s="1"/>
  <c r="Q106" i="2" s="1"/>
  <c r="S15" i="2"/>
  <c r="S60" i="2" s="1"/>
  <c r="L107" i="2" s="1"/>
  <c r="AA14" i="2"/>
  <c r="AA59" i="2" s="1"/>
  <c r="T106" i="2" s="1"/>
  <c r="AC13" i="2"/>
  <c r="AC58" i="2" s="1"/>
  <c r="V105" i="2" s="1"/>
  <c r="Z21" i="2"/>
  <c r="Z66" i="2" s="1"/>
  <c r="S113" i="2" s="1"/>
  <c r="Y20" i="2"/>
  <c r="Y65" i="2" s="1"/>
  <c r="R112" i="2" s="1"/>
  <c r="AC19" i="2"/>
  <c r="AC64" i="2" s="1"/>
  <c r="V111" i="2" s="1"/>
  <c r="U19" i="2"/>
  <c r="U64" i="2" s="1"/>
  <c r="N111" i="2" s="1"/>
  <c r="AA17" i="2"/>
  <c r="AA62" i="2" s="1"/>
  <c r="T109" i="2" s="1"/>
  <c r="V17" i="2"/>
  <c r="V62" i="2" s="1"/>
  <c r="O109" i="2" s="1"/>
  <c r="AC14" i="2"/>
  <c r="AC59" i="2" s="1"/>
  <c r="V106" i="2" s="1"/>
  <c r="Y18" i="2"/>
  <c r="Y63" i="2" s="1"/>
  <c r="R110" i="2" s="1"/>
  <c r="Y73" i="2"/>
  <c r="S22" i="2"/>
  <c r="S67" i="2" s="1"/>
  <c r="L114" i="2" s="1"/>
  <c r="V21" i="2"/>
  <c r="V66" i="2" s="1"/>
  <c r="O113" i="2" s="1"/>
  <c r="X20" i="2"/>
  <c r="X65" i="2" s="1"/>
  <c r="Q112" i="2" s="1"/>
  <c r="W19" i="2"/>
  <c r="W64" i="2" s="1"/>
  <c r="P111" i="2" s="1"/>
  <c r="X18" i="2"/>
  <c r="X63" i="2" s="1"/>
  <c r="Q110" i="2" s="1"/>
  <c r="W18" i="2"/>
  <c r="W63" i="2" s="1"/>
  <c r="P110" i="2" s="1"/>
  <c r="U17" i="2"/>
  <c r="U62" i="2" s="1"/>
  <c r="N109" i="2" s="1"/>
  <c r="AA21" i="2"/>
  <c r="AA66" i="2" s="1"/>
  <c r="T113" i="2" s="1"/>
  <c r="R21" i="2"/>
  <c r="W21" i="2"/>
  <c r="W66" i="2" s="1"/>
  <c r="P113" i="2" s="1"/>
  <c r="V20" i="2"/>
  <c r="V65" i="2" s="1"/>
  <c r="O112" i="2" s="1"/>
  <c r="AA19" i="2"/>
  <c r="AA64" i="2" s="1"/>
  <c r="T111" i="2" s="1"/>
  <c r="Z18" i="2"/>
  <c r="Z63" i="2" s="1"/>
  <c r="S110" i="2" s="1"/>
  <c r="Z17" i="2"/>
  <c r="Z62" i="2" s="1"/>
  <c r="S109" i="2" s="1"/>
  <c r="W16" i="2"/>
  <c r="W61" i="2" s="1"/>
  <c r="P108" i="2" s="1"/>
  <c r="AC16" i="2"/>
  <c r="AC61" i="2" s="1"/>
  <c r="V108" i="2" s="1"/>
  <c r="Y15" i="2"/>
  <c r="Y60" i="2" s="1"/>
  <c r="R107" i="2" s="1"/>
  <c r="T14" i="2"/>
  <c r="T59" i="2" s="1"/>
  <c r="M106" i="2" s="1"/>
  <c r="AB13" i="2"/>
  <c r="AB58" i="2" s="1"/>
  <c r="U105" i="2" s="1"/>
  <c r="S17" i="2"/>
  <c r="S62" i="2" s="1"/>
  <c r="L109" i="2" s="1"/>
  <c r="T15" i="2"/>
  <c r="T60" i="2" s="1"/>
  <c r="M107" i="2" s="1"/>
  <c r="F16" i="6" l="1"/>
  <c r="F17" i="6" s="1"/>
  <c r="J16" i="6"/>
  <c r="J17" i="6" s="1"/>
  <c r="H16" i="6"/>
  <c r="H17" i="6" s="1"/>
  <c r="L16" i="6"/>
  <c r="L17" i="6" s="1"/>
  <c r="N16" i="6"/>
  <c r="N17" i="6" s="1"/>
  <c r="G16" i="6"/>
  <c r="G17" i="6" s="1"/>
  <c r="K16" i="6"/>
  <c r="K17" i="6" s="1"/>
  <c r="I16" i="6"/>
  <c r="I17" i="6" s="1"/>
  <c r="M16" i="6"/>
  <c r="M17" i="6" s="1"/>
  <c r="E16" i="6"/>
  <c r="E17" i="6" s="1"/>
  <c r="AB76" i="2"/>
  <c r="L3" i="16" s="1"/>
  <c r="L6" i="16" s="1"/>
  <c r="M21" i="16" s="1"/>
  <c r="U121" i="2"/>
  <c r="U125" i="2" s="1"/>
  <c r="AD15" i="2"/>
  <c r="R60" i="2"/>
  <c r="U76" i="2"/>
  <c r="E3" i="16" s="1"/>
  <c r="N121" i="2"/>
  <c r="N125" i="2" s="1"/>
  <c r="R65" i="2"/>
  <c r="AD20" i="2"/>
  <c r="E36" i="6"/>
  <c r="E27" i="6"/>
  <c r="D36" i="6"/>
  <c r="D27" i="6"/>
  <c r="S76" i="2"/>
  <c r="F7" i="13" s="1"/>
  <c r="AC73" i="2"/>
  <c r="AC76" i="2" s="1"/>
  <c r="L121" i="2"/>
  <c r="AD21" i="2"/>
  <c r="R66" i="2"/>
  <c r="AD17" i="2"/>
  <c r="R62" i="2"/>
  <c r="T121" i="2"/>
  <c r="T125" i="2" s="1"/>
  <c r="AA76" i="2"/>
  <c r="K3" i="16" s="1"/>
  <c r="K6" i="16" s="1"/>
  <c r="L21" i="16" s="1"/>
  <c r="M27" i="6"/>
  <c r="M36" i="6"/>
  <c r="C16" i="6"/>
  <c r="L36" i="6"/>
  <c r="L27" i="6"/>
  <c r="AD19" i="2"/>
  <c r="R64" i="2"/>
  <c r="N27" i="6"/>
  <c r="N36" i="6"/>
  <c r="F36" i="6"/>
  <c r="F27" i="6"/>
  <c r="R61" i="2"/>
  <c r="AD16" i="2"/>
  <c r="AD22" i="2"/>
  <c r="R67" i="2"/>
  <c r="J27" i="6"/>
  <c r="J36" i="6"/>
  <c r="R121" i="2"/>
  <c r="R125" i="2" s="1"/>
  <c r="Y76" i="2"/>
  <c r="I3" i="16" s="1"/>
  <c r="I6" i="16" s="1"/>
  <c r="J21" i="16" s="1"/>
  <c r="AD13" i="2"/>
  <c r="R58" i="2"/>
  <c r="O121" i="2"/>
  <c r="O125" i="2" s="1"/>
  <c r="V76" i="2"/>
  <c r="F3" i="16" s="1"/>
  <c r="F6" i="16" s="1"/>
  <c r="G21" i="16" s="1"/>
  <c r="I27" i="6"/>
  <c r="I36" i="6"/>
  <c r="S121" i="2"/>
  <c r="S125" i="2" s="1"/>
  <c r="Z76" i="2"/>
  <c r="J3" i="16" s="1"/>
  <c r="J6" i="16" s="1"/>
  <c r="K21" i="16" s="1"/>
  <c r="AD18" i="2"/>
  <c r="R63" i="2"/>
  <c r="O27" i="6"/>
  <c r="O36" i="6"/>
  <c r="O39" i="6" s="1"/>
  <c r="P121" i="2"/>
  <c r="P125" i="2" s="1"/>
  <c r="W76" i="2"/>
  <c r="G3" i="16" s="1"/>
  <c r="G6" i="16" s="1"/>
  <c r="H21" i="16" s="1"/>
  <c r="G36" i="6"/>
  <c r="G27" i="6"/>
  <c r="K27" i="6"/>
  <c r="K36" i="6"/>
  <c r="O17" i="6"/>
  <c r="Q121" i="2"/>
  <c r="Q125" i="2" s="1"/>
  <c r="X76" i="2"/>
  <c r="H3" i="16" s="1"/>
  <c r="H6" i="16" s="1"/>
  <c r="I21" i="16" s="1"/>
  <c r="T76" i="2"/>
  <c r="D3" i="16" s="1"/>
  <c r="M121" i="2"/>
  <c r="M125" i="2" s="1"/>
  <c r="R59" i="2"/>
  <c r="AD14" i="2"/>
  <c r="H27" i="6"/>
  <c r="H36" i="6"/>
  <c r="G28" i="6" l="1"/>
  <c r="G29" i="6" s="1"/>
  <c r="C28" i="6"/>
  <c r="D28" i="6"/>
  <c r="D29" i="6" s="1"/>
  <c r="P16" i="6"/>
  <c r="C132" i="6" s="1"/>
  <c r="AD58" i="2"/>
  <c r="K105" i="2"/>
  <c r="W105" i="2" s="1"/>
  <c r="E28" i="6"/>
  <c r="E29" i="6" s="1"/>
  <c r="K109" i="2"/>
  <c r="W109" i="2" s="1"/>
  <c r="AD62" i="2"/>
  <c r="F39" i="6"/>
  <c r="F48" i="6"/>
  <c r="K112" i="2"/>
  <c r="W112" i="2" s="1"/>
  <c r="AD65" i="2"/>
  <c r="AD67" i="2"/>
  <c r="K114" i="2"/>
  <c r="W114" i="2" s="1"/>
  <c r="N39" i="6"/>
  <c r="N40" i="6" s="1"/>
  <c r="N48" i="6"/>
  <c r="AD66" i="2"/>
  <c r="K113" i="2"/>
  <c r="W113" i="2" s="1"/>
  <c r="F18" i="16"/>
  <c r="F8" i="12"/>
  <c r="F12" i="12" s="1"/>
  <c r="F17" i="12" s="1"/>
  <c r="F19" i="12" s="1"/>
  <c r="F20" i="12" s="1"/>
  <c r="J28" i="6"/>
  <c r="J29" i="6" s="1"/>
  <c r="J18" i="16"/>
  <c r="J8" i="12"/>
  <c r="J12" i="12" s="1"/>
  <c r="J17" i="12" s="1"/>
  <c r="J19" i="12" s="1"/>
  <c r="J20" i="12" s="1"/>
  <c r="M28" i="6"/>
  <c r="M29" i="6" s="1"/>
  <c r="D48" i="6"/>
  <c r="D39" i="6"/>
  <c r="C40" i="6" s="1"/>
  <c r="O48" i="6"/>
  <c r="AD59" i="2"/>
  <c r="K106" i="2"/>
  <c r="W106" i="2" s="1"/>
  <c r="H39" i="6"/>
  <c r="H48" i="6"/>
  <c r="E18" i="16"/>
  <c r="E8" i="12"/>
  <c r="E12" i="12" s="1"/>
  <c r="E17" i="12" s="1"/>
  <c r="E19" i="12" s="1"/>
  <c r="E20" i="12" s="1"/>
  <c r="F28" i="6"/>
  <c r="F29" i="6" s="1"/>
  <c r="AD63" i="2"/>
  <c r="K110" i="2"/>
  <c r="W110" i="2" s="1"/>
  <c r="I39" i="6"/>
  <c r="I48" i="6"/>
  <c r="J48" i="6"/>
  <c r="J39" i="6"/>
  <c r="K111" i="2"/>
  <c r="W111" i="2" s="1"/>
  <c r="AD64" i="2"/>
  <c r="M48" i="6"/>
  <c r="M39" i="6"/>
  <c r="K7" i="13"/>
  <c r="L7" i="13" s="1"/>
  <c r="K107" i="2"/>
  <c r="W107" i="2" s="1"/>
  <c r="AD60" i="2"/>
  <c r="N28" i="6"/>
  <c r="N29" i="6" s="1"/>
  <c r="O29" i="6"/>
  <c r="K48" i="6"/>
  <c r="K39" i="6"/>
  <c r="G39" i="6"/>
  <c r="G48" i="6"/>
  <c r="H28" i="6"/>
  <c r="H29" i="6" s="1"/>
  <c r="I28" i="6"/>
  <c r="I29" i="6" s="1"/>
  <c r="K108" i="2"/>
  <c r="W108" i="2" s="1"/>
  <c r="AD61" i="2"/>
  <c r="L28" i="6"/>
  <c r="L29" i="6" s="1"/>
  <c r="L125" i="2"/>
  <c r="V121" i="2"/>
  <c r="V125" i="2" s="1"/>
  <c r="E48" i="6"/>
  <c r="E39" i="6"/>
  <c r="K28" i="6"/>
  <c r="K29" i="6" s="1"/>
  <c r="M18" i="16"/>
  <c r="M8" i="12"/>
  <c r="M12" i="12" s="1"/>
  <c r="M17" i="12" s="1"/>
  <c r="M19" i="12" s="1"/>
  <c r="M20" i="12" s="1"/>
  <c r="I18" i="16"/>
  <c r="I8" i="12"/>
  <c r="I12" i="12" s="1"/>
  <c r="I17" i="12" s="1"/>
  <c r="I19" i="12" s="1"/>
  <c r="I20" i="12" s="1"/>
  <c r="H8" i="12"/>
  <c r="H12" i="12" s="1"/>
  <c r="H17" i="12" s="1"/>
  <c r="H19" i="12" s="1"/>
  <c r="H20" i="12" s="1"/>
  <c r="H18" i="16"/>
  <c r="K8" i="12"/>
  <c r="K12" i="12" s="1"/>
  <c r="K17" i="12" s="1"/>
  <c r="K19" i="12" s="1"/>
  <c r="K20" i="12" s="1"/>
  <c r="K18" i="16"/>
  <c r="G8" i="12"/>
  <c r="G12" i="12" s="1"/>
  <c r="G17" i="12" s="1"/>
  <c r="G19" i="12" s="1"/>
  <c r="G20" i="12" s="1"/>
  <c r="G18" i="16"/>
  <c r="L39" i="6"/>
  <c r="L48" i="6"/>
  <c r="L8" i="12"/>
  <c r="L12" i="12" s="1"/>
  <c r="L17" i="12" s="1"/>
  <c r="L19" i="12" s="1"/>
  <c r="L20" i="12" s="1"/>
  <c r="L18" i="16"/>
  <c r="F8" i="13"/>
  <c r="K8" i="13" s="1"/>
  <c r="L8" i="13" s="1"/>
  <c r="C3" i="16"/>
  <c r="F9" i="13"/>
  <c r="K9" i="13" s="1"/>
  <c r="L9" i="13" s="1"/>
  <c r="D40" i="6" l="1"/>
  <c r="D41" i="6" s="1"/>
  <c r="C6" i="16"/>
  <c r="P28" i="6"/>
  <c r="D132" i="6" s="1"/>
  <c r="C14" i="16"/>
  <c r="E36" i="3"/>
  <c r="F36" i="3" s="1"/>
  <c r="F35" i="3" s="1"/>
  <c r="M51" i="6"/>
  <c r="M60" i="6"/>
  <c r="O51" i="6"/>
  <c r="O60" i="6"/>
  <c r="N60" i="6"/>
  <c r="N51" i="6"/>
  <c r="I40" i="6"/>
  <c r="I41" i="6" s="1"/>
  <c r="E22" i="16"/>
  <c r="M40" i="6"/>
  <c r="M41" i="6" s="1"/>
  <c r="F22" i="16"/>
  <c r="G60" i="6"/>
  <c r="G51" i="6"/>
  <c r="J60" i="6"/>
  <c r="J51" i="6"/>
  <c r="H22" i="16"/>
  <c r="H23" i="16" s="1"/>
  <c r="E51" i="6"/>
  <c r="E60" i="6"/>
  <c r="J40" i="6"/>
  <c r="J41" i="6" s="1"/>
  <c r="F10" i="13"/>
  <c r="I51" i="6"/>
  <c r="I60" i="6"/>
  <c r="H60" i="6"/>
  <c r="H51" i="6"/>
  <c r="D60" i="6"/>
  <c r="D51" i="6"/>
  <c r="C52" i="6" s="1"/>
  <c r="I22" i="16"/>
  <c r="I23" i="16" s="1"/>
  <c r="K51" i="6"/>
  <c r="K60" i="6"/>
  <c r="L10" i="13"/>
  <c r="C15" i="13" s="1"/>
  <c r="C17" i="13" s="1"/>
  <c r="H40" i="6"/>
  <c r="H41" i="6" s="1"/>
  <c r="G40" i="6"/>
  <c r="G41" i="6" s="1"/>
  <c r="K22" i="16"/>
  <c r="K23" i="16" s="1"/>
  <c r="L22" i="16"/>
  <c r="L23" i="16" s="1"/>
  <c r="L51" i="6"/>
  <c r="L60" i="6"/>
  <c r="K40" i="6"/>
  <c r="K41" i="6" s="1"/>
  <c r="D8" i="12"/>
  <c r="D12" i="12" s="1"/>
  <c r="D17" i="12" s="1"/>
  <c r="D19" i="12" s="1"/>
  <c r="D20" i="12" s="1"/>
  <c r="D18" i="16"/>
  <c r="L40" i="6"/>
  <c r="L41" i="6" s="1"/>
  <c r="M22" i="16"/>
  <c r="M23" i="16" s="1"/>
  <c r="J22" i="16"/>
  <c r="J23" i="16" s="1"/>
  <c r="F60" i="6"/>
  <c r="F51" i="6"/>
  <c r="G22" i="16"/>
  <c r="G23" i="16" s="1"/>
  <c r="F40" i="6"/>
  <c r="F41" i="6" s="1"/>
  <c r="N41" i="6"/>
  <c r="O41" i="6"/>
  <c r="E40" i="6"/>
  <c r="E41" i="6" s="1"/>
  <c r="D5" i="16" l="1"/>
  <c r="D8" i="16" s="1"/>
  <c r="P40" i="6"/>
  <c r="D22" i="16"/>
  <c r="D23" i="16" s="1"/>
  <c r="D14" i="16"/>
  <c r="D17" i="16" s="1"/>
  <c r="G36" i="3"/>
  <c r="H36" i="3" s="1"/>
  <c r="H42" i="3" s="1"/>
  <c r="H43" i="3" s="1"/>
  <c r="I21" i="12"/>
  <c r="K21" i="12"/>
  <c r="G21" i="12"/>
  <c r="M21" i="12"/>
  <c r="H21" i="12"/>
  <c r="F21" i="12"/>
  <c r="K63" i="6"/>
  <c r="K72" i="6"/>
  <c r="J52" i="6"/>
  <c r="J53" i="6" s="1"/>
  <c r="D72" i="6"/>
  <c r="D63" i="6"/>
  <c r="C64" i="6" s="1"/>
  <c r="E72" i="6"/>
  <c r="E63" i="6"/>
  <c r="F52" i="6"/>
  <c r="F53" i="6" s="1"/>
  <c r="M52" i="6"/>
  <c r="M53" i="6" s="1"/>
  <c r="G52" i="6"/>
  <c r="G53" i="6" s="1"/>
  <c r="D52" i="6"/>
  <c r="D53" i="6" s="1"/>
  <c r="G63" i="6"/>
  <c r="G72" i="6"/>
  <c r="N63" i="6"/>
  <c r="N72" i="6"/>
  <c r="L72" i="6"/>
  <c r="L63" i="6"/>
  <c r="H72" i="6"/>
  <c r="H63" i="6"/>
  <c r="O72" i="6"/>
  <c r="O63" i="6"/>
  <c r="K52" i="6"/>
  <c r="K53" i="6" s="1"/>
  <c r="I72" i="6"/>
  <c r="I63" i="6"/>
  <c r="O53" i="6"/>
  <c r="N52" i="6"/>
  <c r="N53" i="6" s="1"/>
  <c r="C17" i="16"/>
  <c r="C24" i="16" s="1"/>
  <c r="H52" i="6"/>
  <c r="H53" i="6" s="1"/>
  <c r="I52" i="6"/>
  <c r="I53" i="6" s="1"/>
  <c r="E21" i="12"/>
  <c r="J21" i="12"/>
  <c r="M63" i="6"/>
  <c r="M72" i="6"/>
  <c r="E52" i="6"/>
  <c r="E53" i="6" s="1"/>
  <c r="L21" i="12"/>
  <c r="J63" i="6"/>
  <c r="J72" i="6"/>
  <c r="F72" i="6"/>
  <c r="F63" i="6"/>
  <c r="E22" i="13"/>
  <c r="E23" i="13"/>
  <c r="E24" i="13"/>
  <c r="L52" i="6"/>
  <c r="L53" i="6" s="1"/>
  <c r="C30" i="17" l="1"/>
  <c r="D30" i="17" s="1"/>
  <c r="D6" i="16"/>
  <c r="E132" i="6"/>
  <c r="D24" i="16"/>
  <c r="G35" i="3"/>
  <c r="G42" i="3" s="1"/>
  <c r="H4" i="3" s="1"/>
  <c r="D75" i="6"/>
  <c r="C76" i="6" s="1"/>
  <c r="D84" i="6"/>
  <c r="D23" i="13"/>
  <c r="J23" i="13" s="1"/>
  <c r="F23" i="13"/>
  <c r="L23" i="13" s="1"/>
  <c r="K23" i="13"/>
  <c r="I64" i="6"/>
  <c r="I65" i="6" s="1"/>
  <c r="N84" i="6"/>
  <c r="N75" i="6"/>
  <c r="G64" i="6"/>
  <c r="G65" i="6" s="1"/>
  <c r="F64" i="6"/>
  <c r="F65" i="6" s="1"/>
  <c r="D24" i="13"/>
  <c r="J24" i="13" s="1"/>
  <c r="F24" i="13"/>
  <c r="L24" i="13" s="1"/>
  <c r="K24" i="13"/>
  <c r="M64" i="6"/>
  <c r="M65" i="6" s="1"/>
  <c r="H84" i="6"/>
  <c r="H75" i="6"/>
  <c r="D21" i="12"/>
  <c r="K64" i="6"/>
  <c r="K65" i="6" s="1"/>
  <c r="E64" i="6"/>
  <c r="E65" i="6" s="1"/>
  <c r="M84" i="6"/>
  <c r="M75" i="6"/>
  <c r="L84" i="6"/>
  <c r="L75" i="6"/>
  <c r="D64" i="6"/>
  <c r="D65" i="6" s="1"/>
  <c r="P52" i="6"/>
  <c r="F132" i="6" s="1"/>
  <c r="E75" i="6"/>
  <c r="E84" i="6"/>
  <c r="K84" i="6"/>
  <c r="K75" i="6"/>
  <c r="F22" i="13"/>
  <c r="E25" i="13"/>
  <c r="D22" i="13"/>
  <c r="K22" i="13"/>
  <c r="H64" i="6"/>
  <c r="H65" i="6" s="1"/>
  <c r="G84" i="6"/>
  <c r="G75" i="6"/>
  <c r="I84" i="6"/>
  <c r="I75" i="6"/>
  <c r="F75" i="6"/>
  <c r="F84" i="6"/>
  <c r="L64" i="6"/>
  <c r="L65" i="6" s="1"/>
  <c r="O65" i="6"/>
  <c r="N64" i="6"/>
  <c r="N65" i="6" s="1"/>
  <c r="J75" i="6"/>
  <c r="J84" i="6"/>
  <c r="C32" i="16"/>
  <c r="C30" i="16"/>
  <c r="O75" i="6"/>
  <c r="O84" i="6"/>
  <c r="J64" i="6"/>
  <c r="J65" i="6" s="1"/>
  <c r="E5" i="16" l="1"/>
  <c r="E21" i="16"/>
  <c r="E23" i="16" s="1"/>
  <c r="E14" i="16"/>
  <c r="E17" i="16" s="1"/>
  <c r="D30" i="16"/>
  <c r="C31" i="17"/>
  <c r="D31" i="17" s="1"/>
  <c r="J31" i="17" s="1"/>
  <c r="D32" i="16"/>
  <c r="I4" i="3"/>
  <c r="J8" i="15" s="1"/>
  <c r="J6" i="15"/>
  <c r="M96" i="6"/>
  <c r="M87" i="6"/>
  <c r="I76" i="6"/>
  <c r="I77" i="6" s="1"/>
  <c r="F25" i="13"/>
  <c r="L22" i="13"/>
  <c r="L25" i="13" s="1"/>
  <c r="D87" i="6"/>
  <c r="C88" i="6" s="1"/>
  <c r="D96" i="6"/>
  <c r="D25" i="13"/>
  <c r="J22" i="13"/>
  <c r="J25" i="13" s="1"/>
  <c r="J87" i="6"/>
  <c r="J96" i="6"/>
  <c r="I96" i="6"/>
  <c r="I87" i="6"/>
  <c r="F14" i="16"/>
  <c r="P64" i="6"/>
  <c r="F76" i="6"/>
  <c r="F77" i="6" s="1"/>
  <c r="M76" i="6"/>
  <c r="M77" i="6" s="1"/>
  <c r="O87" i="6"/>
  <c r="O96" i="6"/>
  <c r="G96" i="6"/>
  <c r="G87" i="6"/>
  <c r="J76" i="6"/>
  <c r="J77" i="6" s="1"/>
  <c r="N96" i="6"/>
  <c r="N87" i="6"/>
  <c r="E76" i="6"/>
  <c r="E77" i="6" s="1"/>
  <c r="H76" i="6"/>
  <c r="H77" i="6" s="1"/>
  <c r="N76" i="6"/>
  <c r="N77" i="6" s="1"/>
  <c r="O77" i="6"/>
  <c r="K87" i="6"/>
  <c r="K96" i="6"/>
  <c r="K76" i="6"/>
  <c r="K77" i="6" s="1"/>
  <c r="E96" i="6"/>
  <c r="E87" i="6"/>
  <c r="G76" i="6"/>
  <c r="G77" i="6" s="1"/>
  <c r="L96" i="6"/>
  <c r="L87" i="6"/>
  <c r="F96" i="6"/>
  <c r="F87" i="6"/>
  <c r="K25" i="13"/>
  <c r="D76" i="6"/>
  <c r="D77" i="6" s="1"/>
  <c r="L76" i="6"/>
  <c r="L77" i="6" s="1"/>
  <c r="H87" i="6"/>
  <c r="H96" i="6"/>
  <c r="E24" i="16" l="1"/>
  <c r="E6" i="16"/>
  <c r="F21" i="16" s="1"/>
  <c r="F23" i="16" s="1"/>
  <c r="G132" i="6"/>
  <c r="G14" i="16" s="1"/>
  <c r="G17" i="16" s="1"/>
  <c r="G24" i="16" s="1"/>
  <c r="D18" i="15"/>
  <c r="D21" i="15" s="1"/>
  <c r="D7" i="15" s="1"/>
  <c r="D11" i="15" s="1"/>
  <c r="M5" i="17" s="1"/>
  <c r="M6" i="17" s="1"/>
  <c r="M9" i="17" s="1"/>
  <c r="H88" i="6"/>
  <c r="H89" i="6" s="1"/>
  <c r="I108" i="6"/>
  <c r="I99" i="6"/>
  <c r="K99" i="6"/>
  <c r="K108" i="6"/>
  <c r="E108" i="6"/>
  <c r="E99" i="6"/>
  <c r="G108" i="6"/>
  <c r="G99" i="6"/>
  <c r="I88" i="6"/>
  <c r="I89" i="6" s="1"/>
  <c r="M88" i="6"/>
  <c r="M89" i="6" s="1"/>
  <c r="P76" i="6"/>
  <c r="H132" i="6" s="1"/>
  <c r="D88" i="6"/>
  <c r="D89" i="6" s="1"/>
  <c r="F88" i="6"/>
  <c r="F89" i="6" s="1"/>
  <c r="J99" i="6"/>
  <c r="J108" i="6"/>
  <c r="E88" i="6"/>
  <c r="E89" i="6" s="1"/>
  <c r="O99" i="6"/>
  <c r="O108" i="6"/>
  <c r="L88" i="6"/>
  <c r="L89" i="6" s="1"/>
  <c r="K88" i="6"/>
  <c r="K89" i="6" s="1"/>
  <c r="H99" i="6"/>
  <c r="H108" i="6"/>
  <c r="F108" i="6"/>
  <c r="F99" i="6"/>
  <c r="N88" i="6"/>
  <c r="N89" i="6" s="1"/>
  <c r="O89" i="6"/>
  <c r="M108" i="6"/>
  <c r="M99" i="6"/>
  <c r="G88" i="6"/>
  <c r="G89" i="6" s="1"/>
  <c r="D108" i="6"/>
  <c r="D99" i="6"/>
  <c r="C100" i="6" s="1"/>
  <c r="L108" i="6"/>
  <c r="L99" i="6"/>
  <c r="J88" i="6"/>
  <c r="J89" i="6" s="1"/>
  <c r="N99" i="6"/>
  <c r="N108" i="6"/>
  <c r="F17" i="16"/>
  <c r="C32" i="17" l="1"/>
  <c r="D32" i="17" s="1"/>
  <c r="J32" i="17" s="1"/>
  <c r="E32" i="16"/>
  <c r="E30" i="16"/>
  <c r="F24" i="16"/>
  <c r="C33" i="17" s="1"/>
  <c r="D33" i="17" s="1"/>
  <c r="C34" i="17"/>
  <c r="D34" i="17" s="1"/>
  <c r="G32" i="16"/>
  <c r="G30" i="16"/>
  <c r="J7" i="15"/>
  <c r="J12" i="15" s="1"/>
  <c r="M12" i="17" s="1"/>
  <c r="M13" i="17" s="1"/>
  <c r="M17" i="17" s="1"/>
  <c r="D100" i="6"/>
  <c r="D101" i="6" s="1"/>
  <c r="E111" i="6"/>
  <c r="E120" i="6"/>
  <c r="E123" i="6" s="1"/>
  <c r="O101" i="6"/>
  <c r="N100" i="6"/>
  <c r="N101" i="6" s="1"/>
  <c r="M111" i="6"/>
  <c r="M120" i="6"/>
  <c r="M123" i="6" s="1"/>
  <c r="K100" i="6"/>
  <c r="K101" i="6" s="1"/>
  <c r="J111" i="6"/>
  <c r="J120" i="6"/>
  <c r="J123" i="6" s="1"/>
  <c r="J100" i="6"/>
  <c r="J101" i="6" s="1"/>
  <c r="F120" i="6"/>
  <c r="F123" i="6" s="1"/>
  <c r="F111" i="6"/>
  <c r="H111" i="6"/>
  <c r="H120" i="6"/>
  <c r="H123" i="6" s="1"/>
  <c r="G100" i="6"/>
  <c r="G101" i="6" s="1"/>
  <c r="P88" i="6"/>
  <c r="L120" i="6"/>
  <c r="L123" i="6" s="1"/>
  <c r="L111" i="6"/>
  <c r="I100" i="6"/>
  <c r="I101" i="6" s="1"/>
  <c r="H100" i="6"/>
  <c r="H101" i="6" s="1"/>
  <c r="H14" i="16"/>
  <c r="K111" i="6"/>
  <c r="K120" i="6"/>
  <c r="K123" i="6" s="1"/>
  <c r="I120" i="6"/>
  <c r="I123" i="6" s="1"/>
  <c r="I111" i="6"/>
  <c r="M100" i="6"/>
  <c r="M101" i="6" s="1"/>
  <c r="L100" i="6"/>
  <c r="L101" i="6" s="1"/>
  <c r="D120" i="6"/>
  <c r="D123" i="6" s="1"/>
  <c r="D111" i="6"/>
  <c r="C112" i="6" s="1"/>
  <c r="F100" i="6"/>
  <c r="F101" i="6" s="1"/>
  <c r="N120" i="6"/>
  <c r="N123" i="6" s="1"/>
  <c r="N111" i="6"/>
  <c r="E100" i="6"/>
  <c r="E101" i="6" s="1"/>
  <c r="O111" i="6"/>
  <c r="O120" i="6"/>
  <c r="O123" i="6" s="1"/>
  <c r="G120" i="6"/>
  <c r="G123" i="6" s="1"/>
  <c r="G111" i="6"/>
  <c r="J33" i="17" l="1"/>
  <c r="J34" i="17" s="1"/>
  <c r="F32" i="16"/>
  <c r="F30" i="16"/>
  <c r="I132" i="6"/>
  <c r="I14" i="16" s="1"/>
  <c r="I17" i="16" s="1"/>
  <c r="I24" i="16" s="1"/>
  <c r="C124" i="6"/>
  <c r="P100" i="6"/>
  <c r="E112" i="6"/>
  <c r="E113" i="6" s="1"/>
  <c r="L124" i="6"/>
  <c r="L125" i="6" s="1"/>
  <c r="J124" i="6"/>
  <c r="J125" i="6" s="1"/>
  <c r="K112" i="6"/>
  <c r="K113" i="6" s="1"/>
  <c r="E124" i="6"/>
  <c r="E125" i="6" s="1"/>
  <c r="L112" i="6"/>
  <c r="L113" i="6" s="1"/>
  <c r="J112" i="6"/>
  <c r="J113" i="6" s="1"/>
  <c r="H17" i="16"/>
  <c r="H24" i="16" s="1"/>
  <c r="I124" i="6"/>
  <c r="I125" i="6" s="1"/>
  <c r="D124" i="6"/>
  <c r="D125" i="6" s="1"/>
  <c r="K124" i="6"/>
  <c r="K125" i="6" s="1"/>
  <c r="N112" i="6"/>
  <c r="N113" i="6" s="1"/>
  <c r="O113" i="6"/>
  <c r="H112" i="6"/>
  <c r="H113" i="6" s="1"/>
  <c r="I112" i="6"/>
  <c r="I113" i="6" s="1"/>
  <c r="D112" i="6"/>
  <c r="D113" i="6" s="1"/>
  <c r="F112" i="6"/>
  <c r="F113" i="6" s="1"/>
  <c r="N124" i="6"/>
  <c r="N125" i="6" s="1"/>
  <c r="O125" i="6"/>
  <c r="F124" i="6"/>
  <c r="F125" i="6" s="1"/>
  <c r="M112" i="6"/>
  <c r="M113" i="6" s="1"/>
  <c r="H124" i="6"/>
  <c r="H125" i="6" s="1"/>
  <c r="G124" i="6"/>
  <c r="G125" i="6" s="1"/>
  <c r="M124" i="6"/>
  <c r="M125" i="6" s="1"/>
  <c r="G112" i="6"/>
  <c r="G113" i="6" s="1"/>
  <c r="J132" i="6" l="1"/>
  <c r="J14" i="16" s="1"/>
  <c r="J17" i="16" s="1"/>
  <c r="J24" i="16" s="1"/>
  <c r="C36" i="17"/>
  <c r="D36" i="17" s="1"/>
  <c r="I32" i="16"/>
  <c r="I30" i="16"/>
  <c r="C35" i="17"/>
  <c r="D35" i="17" s="1"/>
  <c r="J35" i="17" s="1"/>
  <c r="H30" i="16"/>
  <c r="H32" i="16"/>
  <c r="P112" i="6"/>
  <c r="P124" i="6"/>
  <c r="L132" i="6" s="1"/>
  <c r="J36" i="17" l="1"/>
  <c r="K132" i="6"/>
  <c r="K14" i="16" s="1"/>
  <c r="K17" i="16" s="1"/>
  <c r="K24" i="16" s="1"/>
  <c r="C38" i="17" s="1"/>
  <c r="D38" i="17" s="1"/>
  <c r="J32" i="16"/>
  <c r="J30" i="16"/>
  <c r="C37" i="17"/>
  <c r="D37" i="17" s="1"/>
  <c r="L14" i="16"/>
  <c r="L17" i="16" s="1"/>
  <c r="L24" i="16" s="1"/>
  <c r="C39" i="17" s="1"/>
  <c r="D39" i="17" s="1"/>
  <c r="C43" i="17" l="1"/>
  <c r="C44" i="17" s="1"/>
  <c r="C45" i="17" s="1"/>
  <c r="N133" i="6"/>
  <c r="M15" i="16" s="1"/>
  <c r="M17" i="16" s="1"/>
  <c r="M24" i="16" s="1"/>
  <c r="J37" i="17"/>
  <c r="J38" i="17" s="1"/>
  <c r="J39" i="17" s="1"/>
  <c r="L30" i="16"/>
  <c r="L32" i="16"/>
  <c r="K32" i="16"/>
  <c r="K30" i="16"/>
  <c r="G11" i="17" l="1"/>
  <c r="G23" i="17" s="1"/>
  <c r="G13" i="17"/>
  <c r="C11" i="17"/>
  <c r="C40" i="17"/>
  <c r="D40" i="17" s="1"/>
  <c r="J40" i="17" s="1"/>
  <c r="M30" i="16"/>
  <c r="M32" i="16"/>
  <c r="C13" i="17"/>
  <c r="C25" i="17" l="1"/>
  <c r="O6" i="18" s="1"/>
  <c r="G25" i="17"/>
  <c r="M6" i="18"/>
  <c r="L6" i="18"/>
  <c r="AI69" i="18"/>
  <c r="D69" i="18"/>
  <c r="T69" i="18"/>
  <c r="W36" i="18"/>
  <c r="G51" i="18"/>
  <c r="V36" i="18"/>
  <c r="F51" i="18"/>
  <c r="N20" i="18"/>
  <c r="C18" i="1"/>
  <c r="N36" i="18"/>
  <c r="G20" i="18"/>
  <c r="W20" i="18"/>
  <c r="G36" i="18"/>
  <c r="M20" i="18"/>
  <c r="C23" i="17"/>
  <c r="N6" i="18" s="1"/>
  <c r="V20" i="18"/>
  <c r="B18" i="1"/>
  <c r="F36" i="18"/>
  <c r="M36" i="18"/>
  <c r="F20" i="18"/>
  <c r="Y36" i="18" l="1"/>
  <c r="I20" i="18"/>
  <c r="I51" i="18"/>
  <c r="E18" i="1"/>
  <c r="Y20" i="18"/>
  <c r="P20" i="18"/>
  <c r="P36" i="18"/>
  <c r="I36" i="18"/>
  <c r="X36" i="18"/>
  <c r="H51" i="18"/>
  <c r="H20" i="18"/>
  <c r="X20" i="18"/>
  <c r="O20" i="18"/>
  <c r="D18" i="1"/>
  <c r="O36" i="18"/>
  <c r="H36" i="18"/>
  <c r="E68" i="18" l="1"/>
  <c r="E84" i="18" l="1"/>
  <c r="E89" i="18"/>
  <c r="E85" i="18"/>
  <c r="E92" i="18"/>
  <c r="E91" i="18"/>
  <c r="E88" i="18"/>
  <c r="E93" i="18"/>
  <c r="E90" i="18"/>
  <c r="E87" i="18"/>
  <c r="E86" i="18"/>
  <c r="E94" i="18"/>
</calcChain>
</file>

<file path=xl/sharedStrings.xml><?xml version="1.0" encoding="utf-8"?>
<sst xmlns="http://schemas.openxmlformats.org/spreadsheetml/2006/main" count="1203" uniqueCount="467">
  <si>
    <t>DIESEL B5</t>
  </si>
  <si>
    <t>GASOHOL 95</t>
  </si>
  <si>
    <t>Diesel B5</t>
  </si>
  <si>
    <t>Gasohol 90</t>
  </si>
  <si>
    <t>Gasohol 95</t>
  </si>
  <si>
    <t>Precio de venta</t>
  </si>
  <si>
    <t>sin igv</t>
  </si>
  <si>
    <t>con igv</t>
  </si>
  <si>
    <t>Sin igv</t>
  </si>
  <si>
    <t>Con igv</t>
  </si>
  <si>
    <t>Precio compra</t>
  </si>
  <si>
    <t>Año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</si>
  <si>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</si>
  <si>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</si>
  <si>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</si>
  <si>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</si>
  <si>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</si>
  <si>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</si>
  <si>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</si>
  <si>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</si>
  <si>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</si>
  <si>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</si>
  <si>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</si>
  <si>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</si>
  <si>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</si>
  <si>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</si>
  <si>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</si>
  <si>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</si>
  <si>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</si>
  <si>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</si>
  <si>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</si>
  <si>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</si>
  <si>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</si>
  <si>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</si>
  <si>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</si>
  <si>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</si>
  <si>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</si>
  <si>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% ventas/mes</t>
  </si>
  <si>
    <t>anual</t>
  </si>
  <si>
    <t>tasa de crecimiento</t>
  </si>
  <si>
    <t>Proyeccion de ventas en galones DIESEL B5 S50</t>
  </si>
  <si>
    <t>Proyeccion de ventas en galones GASOHOL 90 PLUS</t>
  </si>
  <si>
    <t>Proyeccion de ventas en galones 95 PLUS</t>
  </si>
  <si>
    <t>DB5</t>
  </si>
  <si>
    <t>G90</t>
  </si>
  <si>
    <t>G95</t>
  </si>
  <si>
    <t>Producto</t>
  </si>
  <si>
    <t>total</t>
  </si>
  <si>
    <t>SERVICIO DE VULCANIZADO DE LLANTAS  EN UNIDADES</t>
  </si>
  <si>
    <t>Vulcanizado</t>
  </si>
  <si>
    <t>Total</t>
  </si>
  <si>
    <t>VENTAS TOTALES ANUALES EN SOLES</t>
  </si>
  <si>
    <t>TOTALES</t>
  </si>
  <si>
    <t>VENTAS ANUALES (INGRESOS) DE SERVICIO DE VULCANIZADO</t>
  </si>
  <si>
    <t>Proyeccion de ventas en soles DIESEL B5 S50</t>
  </si>
  <si>
    <t>Proyeccion de ventas en soles GASOHOL 90 PLUS</t>
  </si>
  <si>
    <t>Proyeccion de ventas en soles 95 PLUS</t>
  </si>
  <si>
    <t>CONSOLIDADO DE VENTAS ANUALES EN GALONES DE COMBUSTIBLES</t>
  </si>
  <si>
    <t>VENTAS TOTALES ANUALES EN SOLES DE COMBUSTIBLES</t>
  </si>
  <si>
    <t>CONSOLIDAD DE VENTAS MENSUALES EN SOLES DE COMBUSTIBLES</t>
  </si>
  <si>
    <t>CONSOLIDAD DE VENTAS MENSUALES EN GALONES DE COMBUSTIBLES</t>
  </si>
  <si>
    <t>SERVICIO DE VULCANIZADO DE LLANTAS  EN UNIDADES/ ANUALES</t>
  </si>
  <si>
    <t>INGRESOS MENSUALES (SOLES) DE VULCANIZADO DE LLANTAS</t>
  </si>
  <si>
    <t>VENTAS TOTALES MENSUALES EN SOLES</t>
  </si>
  <si>
    <t>CUADRO N°03</t>
  </si>
  <si>
    <t>PRESUPUESTO DE INVERSIÓN Y FINANCIAMIENTO</t>
  </si>
  <si>
    <t>RUBRO</t>
  </si>
  <si>
    <t>INVERSIÓN INICIAL</t>
  </si>
  <si>
    <t>FINANCIAMIENTO</t>
  </si>
  <si>
    <t>Unidad de Medida</t>
  </si>
  <si>
    <t>Unidad Requerida</t>
  </si>
  <si>
    <t>Valor Unitario</t>
  </si>
  <si>
    <t>Total sin igv</t>
  </si>
  <si>
    <t>Total con igv</t>
  </si>
  <si>
    <t>Capital Propio</t>
  </si>
  <si>
    <t>Préstamo</t>
  </si>
  <si>
    <t>ACTIVO FIJO</t>
  </si>
  <si>
    <t>A. TANGIBLES</t>
  </si>
  <si>
    <t>Terreno</t>
  </si>
  <si>
    <t>m2</t>
  </si>
  <si>
    <t>Obras civiles</t>
  </si>
  <si>
    <t>Obras Mecánicas de CL</t>
  </si>
  <si>
    <t>Metal mecánico</t>
  </si>
  <si>
    <t>Obras eléctricas de CL</t>
  </si>
  <si>
    <t>Muebles</t>
  </si>
  <si>
    <t>Tanque de almacenamiento</t>
  </si>
  <si>
    <t>Accesorios mecánicos</t>
  </si>
  <si>
    <t>Dispensador de CL</t>
  </si>
  <si>
    <t>Bomba CL</t>
  </si>
  <si>
    <t>Equipos de seguridad</t>
  </si>
  <si>
    <t>Consola</t>
  </si>
  <si>
    <t>Gata lagarto</t>
  </si>
  <si>
    <t>Máquina desllantadora</t>
  </si>
  <si>
    <t>Compresora</t>
  </si>
  <si>
    <t>Juego de llaves</t>
  </si>
  <si>
    <t>Equipos informáticos</t>
  </si>
  <si>
    <t>B. INTANGIBLES</t>
  </si>
  <si>
    <t>Constitución y formalizacion</t>
  </si>
  <si>
    <t>Global</t>
  </si>
  <si>
    <t>Licencias</t>
  </si>
  <si>
    <t>Certificaciones</t>
  </si>
  <si>
    <t>Capacitaciones</t>
  </si>
  <si>
    <t>Promocion</t>
  </si>
  <si>
    <t>Implementación y puesta en marcha</t>
  </si>
  <si>
    <t>TOTAL DE ACTIVO FIJO</t>
  </si>
  <si>
    <t xml:space="preserve">CAPITAL DE TRABAJO </t>
  </si>
  <si>
    <t>mano de obra</t>
  </si>
  <si>
    <t>Costos Indirectos de Produccion</t>
  </si>
  <si>
    <t>Gastos de Administracion</t>
  </si>
  <si>
    <t>Gastos de Ventas</t>
  </si>
  <si>
    <t>TOTAL DE CAPITAL DE TRABAJO</t>
  </si>
  <si>
    <t>TOTAL DE INVERSIÓN</t>
  </si>
  <si>
    <t>Unidad</t>
  </si>
  <si>
    <t>CUADRO N° 04</t>
  </si>
  <si>
    <t>TABLA DE DEPRECIACIONES Y VALOR DE RECUPERO</t>
  </si>
  <si>
    <t>Valor de compra</t>
  </si>
  <si>
    <t>Vida útil (años)</t>
  </si>
  <si>
    <t>Tasa de Depreciacion</t>
  </si>
  <si>
    <t>Depreciación anual</t>
  </si>
  <si>
    <t>Depreciación Acumulada</t>
  </si>
  <si>
    <t>Valor de Recupero</t>
  </si>
  <si>
    <t>Vida proyecto</t>
  </si>
  <si>
    <t>RECUPERO</t>
  </si>
  <si>
    <t>VARIACIÓN KW</t>
  </si>
  <si>
    <t>KW</t>
  </si>
  <si>
    <t>LIQ</t>
  </si>
  <si>
    <t>Variacion KW</t>
  </si>
  <si>
    <t>Capital de Trabajo</t>
  </si>
  <si>
    <t>valor de compra G95</t>
  </si>
  <si>
    <t>valor de compra G90</t>
  </si>
  <si>
    <t>valor de compra DB5</t>
  </si>
  <si>
    <t>GASOGHOL 90</t>
  </si>
  <si>
    <t>CUADRO N° 05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</si>
  <si>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</si>
  <si>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</si>
  <si>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</si>
  <si>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</si>
  <si>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</si>
  <si>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</si>
  <si>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</si>
  <si>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</si>
  <si>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</si>
  <si>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</si>
  <si>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CAPITAL DE TRABAJO ANUAL</t>
  </si>
  <si>
    <t>VARIABLE</t>
  </si>
  <si>
    <t>FIJO</t>
  </si>
  <si>
    <t xml:space="preserve">COSTO </t>
  </si>
  <si>
    <t>UNIDADES REQUERIDAS</t>
  </si>
  <si>
    <t>COSTO UNITARIO</t>
  </si>
  <si>
    <t>TOTAL AÑO</t>
  </si>
  <si>
    <t>esalud</t>
  </si>
  <si>
    <t>comision</t>
  </si>
  <si>
    <t>prima</t>
  </si>
  <si>
    <t>aporte</t>
  </si>
  <si>
    <t>ONP</t>
  </si>
  <si>
    <t>Base imponible</t>
  </si>
  <si>
    <t>CTS</t>
  </si>
  <si>
    <t>Gratificación</t>
  </si>
  <si>
    <t>Asignac. Fam.</t>
  </si>
  <si>
    <t>Remunerac.</t>
  </si>
  <si>
    <t>TRABAJADOR 3</t>
  </si>
  <si>
    <t>TRABAJADOR 2</t>
  </si>
  <si>
    <t>TRABAJADOR 1</t>
  </si>
  <si>
    <t xml:space="preserve">GERENTE GENERAL </t>
  </si>
  <si>
    <t>ANUAL</t>
  </si>
  <si>
    <t>Sistema de pensiones</t>
  </si>
  <si>
    <t>Indemnizac.</t>
  </si>
  <si>
    <t>cussp</t>
  </si>
  <si>
    <t>dni</t>
  </si>
  <si>
    <t>Feha de Nac</t>
  </si>
  <si>
    <t>Nombre</t>
  </si>
  <si>
    <t>Nro</t>
  </si>
  <si>
    <t>Perido</t>
  </si>
  <si>
    <t>saldo</t>
  </si>
  <si>
    <t>pago</t>
  </si>
  <si>
    <t>CST</t>
  </si>
  <si>
    <t>PLANILLA DE REMUNERACIONES</t>
  </si>
  <si>
    <t>• tripticos</t>
  </si>
  <si>
    <t>• mantenimiento de la pagina Web.</t>
  </si>
  <si>
    <t>• Tarjetas personales</t>
  </si>
  <si>
    <t>Anuncio</t>
  </si>
  <si>
    <t>. Redes sociales</t>
  </si>
  <si>
    <t>• Bolsas</t>
  </si>
  <si>
    <t>• Polos</t>
  </si>
  <si>
    <t>• Mandiles</t>
  </si>
  <si>
    <t>• Gigantografias</t>
  </si>
  <si>
    <t>. Spots en television</t>
  </si>
  <si>
    <t>. Spots en radio</t>
  </si>
  <si>
    <t xml:space="preserve">COSTO
 ANUAL </t>
  </si>
  <si>
    <t>N° veces</t>
  </si>
  <si>
    <t>Costo unitario</t>
  </si>
  <si>
    <t>Unidad Medida</t>
  </si>
  <si>
    <t>RUBROS</t>
  </si>
  <si>
    <t>PRESUPUESTO ANUAL DE PROMOCION</t>
  </si>
  <si>
    <t>TOTAL GASTOS OPERATIVOS</t>
  </si>
  <si>
    <t>TOTAL GASTOS DE VENTAS</t>
  </si>
  <si>
    <t>Promoción</t>
  </si>
  <si>
    <t>Costos de delivery</t>
  </si>
  <si>
    <t>Alquiler de local para venta</t>
  </si>
  <si>
    <t>Comisión de ventas</t>
  </si>
  <si>
    <t>Sueldos del personal</t>
  </si>
  <si>
    <t>GASTOS DE VENTAS</t>
  </si>
  <si>
    <t>TOTAL GASTOS DE ADMINISTRACION</t>
  </si>
  <si>
    <t>Amortizacion de Intangibles</t>
  </si>
  <si>
    <t>Póliza</t>
  </si>
  <si>
    <t>Revisión eléctrica</t>
  </si>
  <si>
    <t>DJ Osinergmin</t>
  </si>
  <si>
    <t>Monitoreo ambiental</t>
  </si>
  <si>
    <t>Calibración</t>
  </si>
  <si>
    <t>Mantenimiento y reparaciones.</t>
  </si>
  <si>
    <t>Servicios: Agua, luz, telefono e internet</t>
  </si>
  <si>
    <t>GASTOS DE ADMINISTRACION</t>
  </si>
  <si>
    <t>GASTOS OPERATIVOS PRIMER MES</t>
  </si>
  <si>
    <t>Compra de mercadería</t>
  </si>
  <si>
    <t>Rubro</t>
  </si>
  <si>
    <t>Unidades requeridas</t>
  </si>
  <si>
    <t>Costo</t>
  </si>
  <si>
    <t>Fijo</t>
  </si>
  <si>
    <t>Variable</t>
  </si>
  <si>
    <t>Costo de ventas</t>
  </si>
  <si>
    <t>Total costos de producción</t>
  </si>
  <si>
    <t>Costo de ventas para primer mes</t>
  </si>
  <si>
    <t>PROYECCION ANUAL DE COSTO DE VENTAS</t>
  </si>
  <si>
    <t>Total costos de produccion</t>
  </si>
  <si>
    <t>Costo fijo mes</t>
  </si>
  <si>
    <t>soles</t>
  </si>
  <si>
    <t>Gastos administrativos fijos</t>
  </si>
  <si>
    <t>Depreciación activo fijo</t>
  </si>
  <si>
    <t>Amortización de intangibles</t>
  </si>
  <si>
    <t>CIF fijos</t>
  </si>
  <si>
    <t>Total Costo Fijo</t>
  </si>
  <si>
    <t>Costo variable mes</t>
  </si>
  <si>
    <t>Gastos operativos variables</t>
  </si>
  <si>
    <t>Total Costo Variable</t>
  </si>
  <si>
    <t>COSTOS VARIABLES PRIMER MES</t>
  </si>
  <si>
    <t>COSTOS FIJOS PRIMER MES</t>
  </si>
  <si>
    <t>Costos Unitarios</t>
  </si>
  <si>
    <t>Nº de Unidades</t>
  </si>
  <si>
    <t>Costo fijo unitario,CFU</t>
  </si>
  <si>
    <t>COSTOS UNITARIOS</t>
  </si>
  <si>
    <t>CVu DB5</t>
  </si>
  <si>
    <t>CVu G90</t>
  </si>
  <si>
    <t>CVu G95</t>
  </si>
  <si>
    <t>CTu DB5</t>
  </si>
  <si>
    <t>CTu G90</t>
  </si>
  <si>
    <t>CTu G95</t>
  </si>
  <si>
    <t>interés</t>
  </si>
  <si>
    <t>capital</t>
  </si>
  <si>
    <t>cuota</t>
  </si>
  <si>
    <t>n</t>
  </si>
  <si>
    <t xml:space="preserve">cuota </t>
  </si>
  <si>
    <t>CUOTA</t>
  </si>
  <si>
    <t>P</t>
  </si>
  <si>
    <t>inflación mensual</t>
  </si>
  <si>
    <t>años</t>
  </si>
  <si>
    <t>TEM real</t>
  </si>
  <si>
    <t>inflación anual</t>
  </si>
  <si>
    <t>TEM</t>
  </si>
  <si>
    <t>Resumen anual</t>
  </si>
  <si>
    <t>ESTADO DE RESULTADOS ECONÓMICO</t>
  </si>
  <si>
    <t>REGIMEN TRIBUTARIO MYPE TRIBUTARIO Y GENERAL</t>
  </si>
  <si>
    <t>Ventas netas</t>
  </si>
  <si>
    <t>(-) Costo de ventas</t>
  </si>
  <si>
    <t>Costos de produccion</t>
  </si>
  <si>
    <t>Depreciacion Activo Fijo</t>
  </si>
  <si>
    <t>Utilidad Bruta</t>
  </si>
  <si>
    <t>(-) Gastos operativos</t>
  </si>
  <si>
    <t>Gastos administrativos</t>
  </si>
  <si>
    <t>Gastos de ventas</t>
  </si>
  <si>
    <t>Amortizacion de intangibles</t>
  </si>
  <si>
    <t>Utilidad Operativa</t>
  </si>
  <si>
    <t>Intereses</t>
  </si>
  <si>
    <t>Utilidad Imponible</t>
  </si>
  <si>
    <t>Impuesto a la renta (*)</t>
  </si>
  <si>
    <t>Utilidad Neta</t>
  </si>
  <si>
    <t>Impuesto</t>
  </si>
  <si>
    <t>PUNTO DE EQULIBRIO PARA VARIOS PRODUCTOS</t>
  </si>
  <si>
    <t>MARGEN DE CONTRIBUCIÓN PROMEDIO PONDERADO</t>
  </si>
  <si>
    <t>MgCU PONDERADO</t>
  </si>
  <si>
    <t>PUNTO DE EQUILIBRIO TOTAL COMBINADO</t>
  </si>
  <si>
    <t xml:space="preserve">   PE =</t>
  </si>
  <si>
    <t>PE =</t>
  </si>
  <si>
    <t>Unidades  combinadas</t>
  </si>
  <si>
    <t>PUNTO DE EQUILIBRIO EN UNIDADES POR PRODUCTO</t>
  </si>
  <si>
    <t>PUNTO DE EQUILIBRIO EN SOLES  POR PRODUCTO</t>
  </si>
  <si>
    <t>Productos</t>
  </si>
  <si>
    <t>Unidad
de medida</t>
  </si>
  <si>
    <t>Cantidad anual</t>
  </si>
  <si>
    <t>Cantidad mensual</t>
  </si>
  <si>
    <t>Cantidad diaria</t>
  </si>
  <si>
    <t>% del total
ventas</t>
  </si>
  <si>
    <t>Precio</t>
  </si>
  <si>
    <t>Cvu</t>
  </si>
  <si>
    <t>Mgcu</t>
  </si>
  <si>
    <t>Peso</t>
  </si>
  <si>
    <t>Galón</t>
  </si>
  <si>
    <t>Soles por año</t>
  </si>
  <si>
    <t>Soles por mes</t>
  </si>
  <si>
    <t>Soles por dia</t>
  </si>
  <si>
    <t>Mgcu
ponderado</t>
  </si>
  <si>
    <t>http://www.damodaran.com</t>
  </si>
  <si>
    <t>Distribución de petróleo / gas</t>
  </si>
  <si>
    <t>Industria</t>
  </si>
  <si>
    <t>Beta total sin apalancamiento</t>
  </si>
  <si>
    <t>Betas totales para mercados emergentes</t>
  </si>
  <si>
    <t>Rf USA</t>
  </si>
  <si>
    <t>Bu total ME</t>
  </si>
  <si>
    <t>(Rm-Rf)USA</t>
  </si>
  <si>
    <t>RpPERÚ</t>
  </si>
  <si>
    <t>Kurt</t>
  </si>
  <si>
    <t>Ku con riesgo total</t>
  </si>
  <si>
    <t>Rf</t>
  </si>
  <si>
    <t>Rm</t>
  </si>
  <si>
    <t>=</t>
  </si>
  <si>
    <t>COK Apalancado con riesgo total</t>
  </si>
  <si>
    <t>Costo Promedio Ponderado de Capital con riesgo total</t>
  </si>
  <si>
    <t>Rfusa</t>
  </si>
  <si>
    <t>Kwacc</t>
  </si>
  <si>
    <t>Beta reapalancado para el proyecto</t>
  </si>
  <si>
    <t>bu total ME</t>
  </si>
  <si>
    <t>D/E*PERU</t>
  </si>
  <si>
    <t>t*</t>
  </si>
  <si>
    <t xml:space="preserve">βrl total perú </t>
  </si>
  <si>
    <t>brl total PERU</t>
  </si>
  <si>
    <t>(Rm – Rf)usa</t>
  </si>
  <si>
    <t>Rp</t>
  </si>
  <si>
    <t>Kert</t>
  </si>
  <si>
    <t>Kd</t>
  </si>
  <si>
    <t>E/V</t>
  </si>
  <si>
    <t>D/V</t>
  </si>
  <si>
    <t>t</t>
  </si>
  <si>
    <t>ingresos sin igv</t>
  </si>
  <si>
    <t>egresos sin igv</t>
  </si>
  <si>
    <t>pagos igv</t>
  </si>
  <si>
    <t>Flujo de caja</t>
  </si>
  <si>
    <t/>
  </si>
  <si>
    <t>Ingreso por ventas</t>
  </si>
  <si>
    <t>Escudo fiscal de intereses</t>
  </si>
  <si>
    <t>Capital</t>
  </si>
  <si>
    <t>Kert nominal en dolares</t>
  </si>
  <si>
    <t>Kert nominal en soles</t>
  </si>
  <si>
    <t>Inflacion en Perú</t>
  </si>
  <si>
    <t>Inflacion USA</t>
  </si>
  <si>
    <t>Kert  real</t>
  </si>
  <si>
    <t>VANE =</t>
  </si>
  <si>
    <t>wacc nominal en dolares</t>
  </si>
  <si>
    <t>TIRE =</t>
  </si>
  <si>
    <t>wacc nominal en soles</t>
  </si>
  <si>
    <t>Wacc  real</t>
  </si>
  <si>
    <t>TEA nominal</t>
  </si>
  <si>
    <t>TEA real</t>
  </si>
  <si>
    <t>VAEFI =</t>
  </si>
  <si>
    <t>TIRF Ajustado =</t>
  </si>
  <si>
    <t>VANE</t>
  </si>
  <si>
    <t>TIRE</t>
  </si>
  <si>
    <t>VANF</t>
  </si>
  <si>
    <t>TIRF</t>
  </si>
  <si>
    <t>Valor de compra DB5</t>
  </si>
  <si>
    <t>Valor de venta DB5</t>
  </si>
  <si>
    <t>Valor de venta G90</t>
  </si>
  <si>
    <t>Valor de venta G95</t>
  </si>
  <si>
    <t>Valor de compra G90</t>
  </si>
  <si>
    <t>Valor de compra G95</t>
  </si>
  <si>
    <t>TEA</t>
  </si>
  <si>
    <t>Identificación de variables sensibles</t>
  </si>
  <si>
    <t>Inversión Activo tangible</t>
  </si>
  <si>
    <t>Tasa crec.</t>
  </si>
  <si>
    <t>Tasa de crecimiento</t>
  </si>
  <si>
    <t>Valores con cambio</t>
  </si>
  <si>
    <t>Variación porcentual</t>
  </si>
  <si>
    <t>Valores actuales</t>
  </si>
  <si>
    <t>Variación absoluta</t>
  </si>
  <si>
    <t>Variables</t>
  </si>
  <si>
    <t>Descripción</t>
  </si>
  <si>
    <t xml:space="preserve">VANE </t>
  </si>
  <si>
    <t>V. Venta</t>
  </si>
  <si>
    <t>Var. porc.</t>
  </si>
  <si>
    <t>Sensibilidad del valor de venta de Diesel B5</t>
  </si>
  <si>
    <t>Sensibilidad del valor de venta de Gasohol 90</t>
  </si>
  <si>
    <t>Sensibilidad del valor de venta de Gasohol 95</t>
  </si>
  <si>
    <t>Sensibilidad del valor de compra de Diesel B5</t>
  </si>
  <si>
    <t>Sensibilidad del valor de compra de Gasohol 90</t>
  </si>
  <si>
    <t>Sensibilidad del valor de compra de Gasohol 95</t>
  </si>
  <si>
    <t>valor de venta diesel B5</t>
  </si>
  <si>
    <t>Valoe de compra diesel B5</t>
  </si>
  <si>
    <t>Análisis de punto muerto o punto crítico</t>
  </si>
  <si>
    <t>Análisis de sensibilidad unidimesnional</t>
  </si>
  <si>
    <t>Análisis de sensibilidad bidimensional</t>
  </si>
  <si>
    <t>Valor de compra Gasohol 90</t>
  </si>
  <si>
    <t>Valor de venta gasohol 90</t>
  </si>
  <si>
    <t>Pesimista</t>
  </si>
  <si>
    <t>Optimista</t>
  </si>
  <si>
    <t>Probable</t>
  </si>
  <si>
    <t>Resumen del escenario</t>
  </si>
  <si>
    <t>Celdas cambiantes: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</si>
  <si>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</si>
  <si>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</si>
  <si>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</si>
  <si>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</si>
  <si>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Creado por ASUS el 23/02/2021
Modificado por ASUS el 23/02/2021
Modificado por ASUS el 25/02/2021</t>
  </si>
  <si>
    <t>Creado por ASUS el 23/02/2021
Modificado por ASUS el 25/02/2021</t>
  </si>
  <si>
    <t>Valor de compra Gasohol 95</t>
  </si>
  <si>
    <t>Valor de venta gasohol 95</t>
  </si>
  <si>
    <t>Materia prima (Combustible)</t>
  </si>
  <si>
    <t>PERIODO DE RECUPERO DE LA INVERSIÓN( A VALOR PRESENTE)</t>
  </si>
  <si>
    <t>FCE</t>
  </si>
  <si>
    <t>FCE Descontado</t>
  </si>
  <si>
    <t>FCED acumulado</t>
  </si>
  <si>
    <t>meses</t>
  </si>
  <si>
    <t>dias</t>
  </si>
  <si>
    <t>Pri</t>
  </si>
  <si>
    <t>7 años con 9 meses y 13 días.</t>
  </si>
  <si>
    <t>Gasto de ventas fijos</t>
  </si>
  <si>
    <t>SIN IGV</t>
  </si>
  <si>
    <t>CON IGV</t>
  </si>
  <si>
    <t>IGV</t>
  </si>
  <si>
    <t>Igv de activos fijos</t>
  </si>
  <si>
    <t>Flujo operativo</t>
  </si>
  <si>
    <t>Pago de IGV</t>
  </si>
  <si>
    <t>GASTOS OPERATIVOS (SUJETO A IGV)</t>
  </si>
  <si>
    <t>Año 0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</si>
  <si>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</si>
  <si>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</si>
  <si>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</si>
  <si>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</si>
  <si>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</si>
  <si>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</si>
  <si>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</si>
  <si>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</si>
  <si>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</si>
  <si>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</si>
  <si>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EVALUACIÓN ECONÓMICA EN EMPRESA NO DIVERSIFICADA</t>
  </si>
  <si>
    <t>EVALUACIÓN FINANCIERA                            EN EMPRESA NO DIVERSIFICADA</t>
  </si>
  <si>
    <t>EVALUACIÓN FINANCIERA                            EN EMPRESA DIVERSIFICADA</t>
  </si>
  <si>
    <t>Kurs nominal en soles</t>
  </si>
  <si>
    <t>Inflacion Perú</t>
  </si>
  <si>
    <t>Kurt  real</t>
  </si>
  <si>
    <t>Kurt nominal en soles</t>
  </si>
  <si>
    <t>EVALUACIÓN ECONÓMICA EN EMPRESA DIVERSIFICADA</t>
  </si>
  <si>
    <t xml:space="preserve"> anual</t>
  </si>
  <si>
    <t>Kurs  real</t>
  </si>
  <si>
    <t>FINANCIERA</t>
  </si>
  <si>
    <t>Activo fijo tangible</t>
  </si>
  <si>
    <t>Activo fijo intangible</t>
  </si>
  <si>
    <t>Cpital de trabajo</t>
  </si>
  <si>
    <t>Recupero de capital de trabajo</t>
  </si>
  <si>
    <t>Recupero de activo fijo tangible</t>
  </si>
  <si>
    <t>Flujo de Inversión y Liquidación</t>
  </si>
  <si>
    <t>Costos de producción (*)</t>
  </si>
  <si>
    <t>Gastos operativos (*)</t>
  </si>
  <si>
    <t>Impuestos (**)</t>
  </si>
  <si>
    <t>Flujo de Caja Económico, FCE</t>
  </si>
  <si>
    <t xml:space="preserve">Interés </t>
  </si>
  <si>
    <t>Flujo de Caja de Deuda, FCD</t>
  </si>
  <si>
    <t>Flujo de Caja Financiero, FCF</t>
  </si>
  <si>
    <t>FCF Ajustado</t>
  </si>
  <si>
    <t>(*) Régimen lobaral de Pequeña Empresa</t>
  </si>
  <si>
    <t>Tasas y Criterios</t>
  </si>
  <si>
    <t>Valor</t>
  </si>
  <si>
    <t xml:space="preserve">  </t>
  </si>
  <si>
    <t>VPN Ajustado = VANF =</t>
  </si>
  <si>
    <t>Inflación en Perú</t>
  </si>
  <si>
    <t>Inflación USA</t>
  </si>
  <si>
    <t>Kurt nominal en dólares</t>
  </si>
  <si>
    <t>Kurs nominal en dólares</t>
  </si>
  <si>
    <t>RG</t>
  </si>
  <si>
    <t>(**) Regimen tributario 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</si>
</sst>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S/&quot;\ #,##0.00;[Red]\-&quot;S/&quot;\ #,##0.00"/>
    <numFmt numFmtId="165" formatCode="0.0000"/>
    <numFmt numFmtId="166" formatCode="0.0%"/>
    <numFmt numFmtId="167" formatCode="0.0"/>
    <numFmt numFmtId="168" formatCode="_ * #,##0.00_ ;_ * \-#,##0.00_ ;_ * &quot;-&quot;??_ ;_ @_ "/>
    <numFmt numFmtId="169" formatCode="[$S/.-280A]\ #,##0.00"/>
    <numFmt numFmtId="170" formatCode="0.0000000000000000%"/>
    <numFmt numFmtId="171" formatCode="0.000"/>
    <numFmt numFmtId="172" formatCode="&quot;S/&quot;\ #,##0.0;[Red]\-&quot;S/&quot;\ #,##0.0"/>
    <numFmt numFmtId="173" formatCode="#,##0.0"/>
    <numFmt numFmtId="174" formatCode="0.0000000000%"/>
    <numFmt numFmtId="175" formatCode="0.00000000000000"/>
    <numFmt numFmtId="176" formatCode="&quot;S/&quot;\ #,##0;[Red]\-&quot;S/&quot;\ #,##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D8D8D8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9" fillId="0" borderId="0"/>
    <xf numFmtId="0" fontId="7" fillId="0" borderId="0"/>
    <xf numFmtId="9" fontId="9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39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2" fontId="3" fillId="0" borderId="1" xfId="0" applyNumberFormat="1" applyFont="1" applyBorder="1"/>
    <xf numFmtId="2" fontId="3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6" fontId="5" fillId="0" borderId="1" xfId="1" applyNumberFormat="1" applyFont="1" applyBorder="1" applyAlignment="1">
      <alignment horizontal="center"/>
    </xf>
    <xf numFmtId="166" fontId="5" fillId="0" borderId="1" xfId="0" applyNumberFormat="1" applyFont="1" applyBorder="1"/>
    <xf numFmtId="9" fontId="5" fillId="2" borderId="0" xfId="0" applyNumberFormat="1" applyFont="1" applyFill="1"/>
    <xf numFmtId="0" fontId="5" fillId="7" borderId="1" xfId="0" applyFont="1" applyFill="1" applyBorder="1" applyAlignment="1">
      <alignment horizontal="center"/>
    </xf>
    <xf numFmtId="1" fontId="5" fillId="0" borderId="1" xfId="0" applyNumberFormat="1" applyFont="1" applyBorder="1" applyAlignment="1"/>
    <xf numFmtId="1" fontId="5" fillId="7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7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1" fontId="5" fillId="3" borderId="1" xfId="0" applyNumberFormat="1" applyFont="1" applyFill="1" applyBorder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4" fontId="3" fillId="0" borderId="1" xfId="0" applyNumberFormat="1" applyFont="1" applyBorder="1"/>
    <xf numFmtId="4" fontId="3" fillId="0" borderId="1" xfId="0" applyNumberFormat="1" applyFont="1" applyFill="1" applyBorder="1"/>
    <xf numFmtId="4" fontId="4" fillId="0" borderId="1" xfId="0" applyNumberFormat="1" applyFont="1" applyBorder="1"/>
    <xf numFmtId="2" fontId="3" fillId="0" borderId="0" xfId="0" applyNumberFormat="1" applyFont="1" applyAlignment="1">
      <alignment horizontal="center"/>
    </xf>
    <xf numFmtId="9" fontId="3" fillId="0" borderId="1" xfId="1" applyFont="1" applyBorder="1" applyAlignment="1">
      <alignment horizontal="center"/>
    </xf>
    <xf numFmtId="0" fontId="3" fillId="6" borderId="0" xfId="0" applyFont="1" applyFill="1"/>
    <xf numFmtId="0" fontId="3" fillId="0" borderId="0" xfId="3" applyFont="1" applyBorder="1"/>
    <xf numFmtId="0" fontId="3" fillId="10" borderId="0" xfId="3" applyFont="1" applyFill="1" applyBorder="1" applyAlignment="1">
      <alignment vertical="center"/>
    </xf>
    <xf numFmtId="0" fontId="3" fillId="0" borderId="0" xfId="3" applyFont="1" applyBorder="1" applyAlignment="1">
      <alignment vertical="center"/>
    </xf>
    <xf numFmtId="0" fontId="4" fillId="5" borderId="1" xfId="3" applyFont="1" applyFill="1" applyBorder="1" applyAlignment="1">
      <alignment horizontal="center" vertical="center"/>
    </xf>
    <xf numFmtId="0" fontId="4" fillId="10" borderId="1" xfId="3" applyFont="1" applyFill="1" applyBorder="1" applyAlignment="1">
      <alignment horizontal="left" vertical="center"/>
    </xf>
    <xf numFmtId="4" fontId="3" fillId="10" borderId="1" xfId="3" applyNumberFormat="1" applyFont="1" applyFill="1" applyBorder="1" applyAlignment="1">
      <alignment horizontal="center" vertical="center"/>
    </xf>
    <xf numFmtId="4" fontId="3" fillId="10" borderId="1" xfId="3" applyNumberFormat="1" applyFont="1" applyFill="1" applyBorder="1" applyAlignment="1">
      <alignment vertical="center"/>
    </xf>
    <xf numFmtId="3" fontId="3" fillId="10" borderId="1" xfId="3" applyNumberFormat="1" applyFont="1" applyFill="1" applyBorder="1" applyAlignment="1">
      <alignment vertical="center"/>
    </xf>
    <xf numFmtId="4" fontId="4" fillId="10" borderId="1" xfId="3" applyNumberFormat="1" applyFont="1" applyFill="1" applyBorder="1" applyAlignment="1">
      <alignment vertical="center"/>
    </xf>
    <xf numFmtId="3" fontId="4" fillId="10" borderId="1" xfId="3" applyNumberFormat="1" applyFont="1" applyFill="1" applyBorder="1" applyAlignment="1">
      <alignment vertical="center"/>
    </xf>
    <xf numFmtId="3" fontId="3" fillId="10" borderId="0" xfId="3" applyNumberFormat="1" applyFont="1" applyFill="1" applyBorder="1" applyAlignment="1">
      <alignment vertical="center"/>
    </xf>
    <xf numFmtId="0" fontId="4" fillId="10" borderId="0" xfId="3" applyFont="1" applyFill="1" applyBorder="1" applyAlignment="1">
      <alignment horizontal="center" vertical="center"/>
    </xf>
    <xf numFmtId="0" fontId="4" fillId="13" borderId="1" xfId="3" applyFont="1" applyFill="1" applyBorder="1" applyAlignment="1">
      <alignment horizontal="center" vertical="center"/>
    </xf>
    <xf numFmtId="0" fontId="4" fillId="12" borderId="1" xfId="3" applyFont="1" applyFill="1" applyBorder="1" applyAlignment="1">
      <alignment horizontal="center" vertical="center"/>
    </xf>
    <xf numFmtId="0" fontId="4" fillId="11" borderId="1" xfId="3" applyFont="1" applyFill="1" applyBorder="1" applyAlignment="1">
      <alignment horizontal="center" vertical="center"/>
    </xf>
    <xf numFmtId="4" fontId="3" fillId="0" borderId="1" xfId="3" applyNumberFormat="1" applyFont="1" applyBorder="1" applyAlignment="1">
      <alignment vertical="center"/>
    </xf>
    <xf numFmtId="4" fontId="3" fillId="9" borderId="1" xfId="3" applyNumberFormat="1" applyFont="1" applyFill="1" applyBorder="1" applyAlignment="1">
      <alignment vertical="center"/>
    </xf>
    <xf numFmtId="3" fontId="3" fillId="9" borderId="0" xfId="3" applyNumberFormat="1" applyFont="1" applyFill="1" applyBorder="1" applyAlignment="1">
      <alignment vertical="center"/>
    </xf>
    <xf numFmtId="0" fontId="3" fillId="10" borderId="1" xfId="3" applyFont="1" applyFill="1" applyBorder="1" applyAlignment="1">
      <alignment horizontal="left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left" vertical="center" wrapText="1"/>
    </xf>
    <xf numFmtId="0" fontId="3" fillId="10" borderId="0" xfId="3" applyFont="1" applyFill="1" applyBorder="1"/>
    <xf numFmtId="0" fontId="4" fillId="5" borderId="1" xfId="3" applyFont="1" applyFill="1" applyBorder="1" applyAlignment="1">
      <alignment horizontal="center" wrapText="1"/>
    </xf>
    <xf numFmtId="3" fontId="4" fillId="10" borderId="1" xfId="3" applyNumberFormat="1" applyFont="1" applyFill="1" applyBorder="1" applyAlignment="1">
      <alignment horizontal="left"/>
    </xf>
    <xf numFmtId="4" fontId="3" fillId="10" borderId="1" xfId="3" applyNumberFormat="1" applyFont="1" applyFill="1" applyBorder="1"/>
    <xf numFmtId="3" fontId="3" fillId="10" borderId="1" xfId="3" applyNumberFormat="1" applyFont="1" applyFill="1" applyBorder="1" applyAlignment="1">
      <alignment horizontal="left"/>
    </xf>
    <xf numFmtId="3" fontId="4" fillId="10" borderId="1" xfId="3" applyNumberFormat="1" applyFont="1" applyFill="1" applyBorder="1"/>
    <xf numFmtId="4" fontId="4" fillId="10" borderId="1" xfId="3" applyNumberFormat="1" applyFont="1" applyFill="1" applyBorder="1"/>
    <xf numFmtId="3" fontId="3" fillId="10" borderId="1" xfId="3" applyNumberFormat="1" applyFont="1" applyFill="1" applyBorder="1"/>
    <xf numFmtId="3" fontId="4" fillId="5" borderId="1" xfId="3" applyNumberFormat="1" applyFont="1" applyFill="1" applyBorder="1"/>
    <xf numFmtId="4" fontId="4" fillId="5" borderId="1" xfId="3" applyNumberFormat="1" applyFont="1" applyFill="1" applyBorder="1"/>
    <xf numFmtId="3" fontId="3" fillId="10" borderId="0" xfId="3" applyNumberFormat="1" applyFont="1" applyFill="1" applyBorder="1"/>
    <xf numFmtId="0" fontId="4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169" fontId="3" fillId="0" borderId="1" xfId="3" applyNumberFormat="1" applyFont="1" applyBorder="1" applyAlignment="1">
      <alignment horizontal="center" vertical="center" wrapText="1"/>
    </xf>
    <xf numFmtId="169" fontId="4" fillId="0" borderId="1" xfId="3" applyNumberFormat="1" applyFont="1" applyBorder="1" applyAlignment="1">
      <alignment horizontal="center" vertical="center" wrapText="1"/>
    </xf>
    <xf numFmtId="169" fontId="3" fillId="0" borderId="1" xfId="3" applyNumberFormat="1" applyFont="1" applyBorder="1" applyAlignment="1">
      <alignment horizontal="right" vertical="center"/>
    </xf>
    <xf numFmtId="1" fontId="3" fillId="0" borderId="1" xfId="3" applyNumberFormat="1" applyFont="1" applyBorder="1" applyAlignment="1">
      <alignment horizontal="center" vertical="center"/>
    </xf>
    <xf numFmtId="0" fontId="4" fillId="16" borderId="1" xfId="3" applyFont="1" applyFill="1" applyBorder="1" applyAlignment="1">
      <alignment horizontal="center" vertical="center"/>
    </xf>
    <xf numFmtId="0" fontId="4" fillId="16" borderId="1" xfId="3" applyFont="1" applyFill="1" applyBorder="1" applyAlignment="1">
      <alignment vertical="center"/>
    </xf>
    <xf numFmtId="169" fontId="4" fillId="16" borderId="1" xfId="3" applyNumberFormat="1" applyFont="1" applyFill="1" applyBorder="1" applyAlignment="1">
      <alignment horizontal="center" vertical="center"/>
    </xf>
    <xf numFmtId="168" fontId="3" fillId="10" borderId="0" xfId="3" applyNumberFormat="1" applyFont="1" applyFill="1" applyBorder="1"/>
    <xf numFmtId="0" fontId="14" fillId="0" borderId="0" xfId="4" applyFont="1"/>
    <xf numFmtId="0" fontId="11" fillId="0" borderId="0" xfId="4" applyFont="1"/>
    <xf numFmtId="0" fontId="14" fillId="14" borderId="1" xfId="4" applyFont="1" applyFill="1" applyBorder="1" applyAlignment="1">
      <alignment wrapText="1"/>
    </xf>
    <xf numFmtId="1" fontId="11" fillId="0" borderId="0" xfId="4" applyNumberFormat="1" applyFont="1"/>
    <xf numFmtId="9" fontId="14" fillId="14" borderId="1" xfId="4" applyNumberFormat="1" applyFont="1" applyFill="1" applyBorder="1" applyAlignment="1">
      <alignment wrapText="1"/>
    </xf>
    <xf numFmtId="10" fontId="14" fillId="6" borderId="1" xfId="4" applyNumberFormat="1" applyFont="1" applyFill="1" applyBorder="1" applyAlignment="1">
      <alignment wrapText="1"/>
    </xf>
    <xf numFmtId="0" fontId="11" fillId="0" borderId="1" xfId="4" applyFont="1" applyBorder="1"/>
    <xf numFmtId="14" fontId="11" fillId="0" borderId="1" xfId="4" applyNumberFormat="1" applyFont="1" applyBorder="1"/>
    <xf numFmtId="0" fontId="11" fillId="0" borderId="1" xfId="4" quotePrefix="1" applyFont="1" applyBorder="1"/>
    <xf numFmtId="4" fontId="11" fillId="0" borderId="1" xfId="4" applyNumberFormat="1" applyFont="1" applyBorder="1"/>
    <xf numFmtId="10" fontId="11" fillId="0" borderId="0" xfId="4" applyNumberFormat="1" applyFont="1"/>
    <xf numFmtId="14" fontId="3" fillId="0" borderId="0" xfId="4" applyNumberFormat="1" applyFont="1"/>
    <xf numFmtId="2" fontId="3" fillId="0" borderId="0" xfId="4" applyNumberFormat="1" applyFont="1"/>
    <xf numFmtId="4" fontId="14" fillId="0" borderId="1" xfId="4" applyNumberFormat="1" applyFont="1" applyBorder="1"/>
    <xf numFmtId="2" fontId="11" fillId="0" borderId="0" xfId="4" applyNumberFormat="1" applyFont="1"/>
    <xf numFmtId="0" fontId="11" fillId="15" borderId="0" xfId="4" applyFont="1" applyFill="1"/>
    <xf numFmtId="2" fontId="11" fillId="15" borderId="0" xfId="4" applyNumberFormat="1" applyFont="1" applyFill="1"/>
    <xf numFmtId="0" fontId="3" fillId="0" borderId="0" xfId="4" applyFont="1"/>
    <xf numFmtId="4" fontId="11" fillId="0" borderId="0" xfId="4" applyNumberFormat="1" applyFont="1"/>
    <xf numFmtId="0" fontId="15" fillId="0" borderId="0" xfId="2" applyFont="1" applyBorder="1"/>
    <xf numFmtId="0" fontId="10" fillId="9" borderId="0" xfId="2" applyFont="1" applyFill="1" applyBorder="1"/>
    <xf numFmtId="0" fontId="12" fillId="5" borderId="1" xfId="2" applyFont="1" applyFill="1" applyBorder="1" applyAlignment="1">
      <alignment horizontal="center"/>
    </xf>
    <xf numFmtId="0" fontId="10" fillId="0" borderId="1" xfId="2" applyFont="1" applyBorder="1"/>
    <xf numFmtId="3" fontId="10" fillId="0" borderId="1" xfId="2" applyNumberFormat="1" applyFont="1" applyBorder="1"/>
    <xf numFmtId="4" fontId="10" fillId="0" borderId="1" xfId="2" applyNumberFormat="1" applyFont="1" applyBorder="1"/>
    <xf numFmtId="1" fontId="10" fillId="0" borderId="1" xfId="2" applyNumberFormat="1" applyFont="1" applyBorder="1"/>
    <xf numFmtId="0" fontId="10" fillId="0" borderId="1" xfId="2" applyFont="1" applyBorder="1" applyAlignment="1">
      <alignment horizontal="center"/>
    </xf>
    <xf numFmtId="0" fontId="15" fillId="0" borderId="0" xfId="2" applyFont="1" applyBorder="1" applyAlignment="1">
      <alignment horizontal="center"/>
    </xf>
    <xf numFmtId="0" fontId="4" fillId="0" borderId="0" xfId="0" applyFont="1" applyBorder="1"/>
    <xf numFmtId="4" fontId="4" fillId="0" borderId="0" xfId="0" applyNumberFormat="1" applyFont="1" applyBorder="1"/>
    <xf numFmtId="9" fontId="5" fillId="0" borderId="1" xfId="1" applyNumberFormat="1" applyFont="1" applyBorder="1" applyAlignment="1">
      <alignment horizontal="center"/>
    </xf>
    <xf numFmtId="170" fontId="5" fillId="0" borderId="0" xfId="0" applyNumberFormat="1" applyFont="1"/>
    <xf numFmtId="0" fontId="3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4" fontId="4" fillId="4" borderId="1" xfId="0" applyNumberFormat="1" applyFont="1" applyFill="1" applyBorder="1"/>
    <xf numFmtId="2" fontId="3" fillId="17" borderId="1" xfId="0" applyNumberFormat="1" applyFont="1" applyFill="1" applyBorder="1"/>
    <xf numFmtId="2" fontId="3" fillId="0" borderId="1" xfId="0" applyNumberFormat="1" applyFont="1" applyFill="1" applyBorder="1"/>
    <xf numFmtId="0" fontId="3" fillId="0" borderId="0" xfId="3" applyFont="1" applyFill="1" applyBorder="1"/>
    <xf numFmtId="0" fontId="10" fillId="0" borderId="0" xfId="3" applyFont="1" applyFill="1" applyBorder="1"/>
    <xf numFmtId="0" fontId="12" fillId="0" borderId="0" xfId="3" applyFont="1" applyFill="1" applyBorder="1"/>
    <xf numFmtId="164" fontId="3" fillId="0" borderId="0" xfId="3" applyNumberFormat="1" applyFont="1" applyFill="1" applyBorder="1"/>
    <xf numFmtId="9" fontId="3" fillId="0" borderId="1" xfId="0" applyNumberFormat="1" applyFont="1" applyBorder="1"/>
    <xf numFmtId="10" fontId="3" fillId="0" borderId="1" xfId="0" applyNumberFormat="1" applyFont="1" applyBorder="1"/>
    <xf numFmtId="3" fontId="3" fillId="0" borderId="0" xfId="3" applyNumberFormat="1" applyFont="1" applyFill="1" applyBorder="1"/>
    <xf numFmtId="0" fontId="12" fillId="0" borderId="1" xfId="3" applyFont="1" applyFill="1" applyBorder="1" applyAlignment="1">
      <alignment horizontal="center"/>
    </xf>
    <xf numFmtId="0" fontId="10" fillId="0" borderId="1" xfId="3" applyFont="1" applyFill="1" applyBorder="1" applyAlignment="1">
      <alignment horizontal="left"/>
    </xf>
    <xf numFmtId="0" fontId="10" fillId="0" borderId="1" xfId="3" applyFont="1" applyFill="1" applyBorder="1"/>
    <xf numFmtId="0" fontId="12" fillId="0" borderId="1" xfId="3" applyFont="1" applyFill="1" applyBorder="1"/>
    <xf numFmtId="3" fontId="10" fillId="0" borderId="1" xfId="3" applyNumberFormat="1" applyFont="1" applyFill="1" applyBorder="1" applyAlignment="1">
      <alignment horizontal="center" vertical="center"/>
    </xf>
    <xf numFmtId="3" fontId="12" fillId="0" borderId="1" xfId="3" applyNumberFormat="1" applyFont="1" applyFill="1" applyBorder="1" applyAlignment="1">
      <alignment horizontal="center" vertical="center"/>
    </xf>
    <xf numFmtId="167" fontId="10" fillId="0" borderId="1" xfId="3" applyNumberFormat="1" applyFont="1" applyFill="1" applyBorder="1"/>
    <xf numFmtId="2" fontId="10" fillId="0" borderId="1" xfId="3" applyNumberFormat="1" applyFont="1" applyFill="1" applyBorder="1"/>
    <xf numFmtId="166" fontId="10" fillId="0" borderId="1" xfId="3" applyNumberFormat="1" applyFont="1" applyFill="1" applyBorder="1"/>
    <xf numFmtId="166" fontId="12" fillId="0" borderId="1" xfId="3" applyNumberFormat="1" applyFont="1" applyFill="1" applyBorder="1"/>
    <xf numFmtId="165" fontId="10" fillId="0" borderId="1" xfId="3" applyNumberFormat="1" applyFont="1" applyFill="1" applyBorder="1"/>
    <xf numFmtId="165" fontId="12" fillId="0" borderId="1" xfId="3" applyNumberFormat="1" applyFont="1" applyFill="1" applyBorder="1"/>
    <xf numFmtId="2" fontId="10" fillId="0" borderId="3" xfId="3" applyNumberFormat="1" applyFont="1" applyFill="1" applyBorder="1" applyAlignment="1">
      <alignment horizontal="center"/>
    </xf>
    <xf numFmtId="2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/>
    <xf numFmtId="1" fontId="12" fillId="0" borderId="1" xfId="3" applyNumberFormat="1" applyFont="1" applyFill="1" applyBorder="1" applyAlignment="1">
      <alignment horizontal="center"/>
    </xf>
    <xf numFmtId="1" fontId="12" fillId="0" borderId="1" xfId="3" applyNumberFormat="1" applyFont="1" applyFill="1" applyBorder="1"/>
    <xf numFmtId="0" fontId="10" fillId="0" borderId="0" xfId="3" applyFont="1" applyFill="1" applyBorder="1" applyAlignment="1">
      <alignment horizontal="right"/>
    </xf>
    <xf numFmtId="165" fontId="10" fillId="0" borderId="0" xfId="3" applyNumberFormat="1" applyFont="1" applyFill="1" applyBorder="1" applyAlignment="1">
      <alignment horizontal="center"/>
    </xf>
    <xf numFmtId="0" fontId="12" fillId="18" borderId="1" xfId="3" applyFont="1" applyFill="1" applyBorder="1" applyAlignment="1">
      <alignment horizontal="center" vertical="center"/>
    </xf>
    <xf numFmtId="0" fontId="12" fillId="18" borderId="1" xfId="3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10" fillId="6" borderId="0" xfId="3" applyNumberFormat="1" applyFont="1" applyFill="1" applyBorder="1" applyAlignment="1">
      <alignment horizontal="center"/>
    </xf>
    <xf numFmtId="0" fontId="15" fillId="4" borderId="1" xfId="2" applyFont="1" applyFill="1" applyBorder="1" applyAlignment="1">
      <alignment horizontal="center"/>
    </xf>
    <xf numFmtId="0" fontId="15" fillId="0" borderId="1" xfId="2" applyFont="1" applyBorder="1"/>
    <xf numFmtId="1" fontId="15" fillId="0" borderId="1" xfId="2" applyNumberFormat="1" applyFont="1" applyBorder="1"/>
    <xf numFmtId="1" fontId="15" fillId="4" borderId="1" xfId="2" applyNumberFormat="1" applyFont="1" applyFill="1" applyBorder="1"/>
    <xf numFmtId="1" fontId="10" fillId="6" borderId="1" xfId="2" applyNumberFormat="1" applyFont="1" applyFill="1" applyBorder="1"/>
    <xf numFmtId="0" fontId="12" fillId="5" borderId="1" xfId="2" applyFont="1" applyFill="1" applyBorder="1" applyAlignment="1">
      <alignment horizontal="center" vertical="center"/>
    </xf>
    <xf numFmtId="0" fontId="15" fillId="19" borderId="1" xfId="2" applyFont="1" applyFill="1" applyBorder="1" applyAlignment="1">
      <alignment horizontal="center" vertical="center"/>
    </xf>
    <xf numFmtId="0" fontId="15" fillId="19" borderId="1" xfId="2" applyFont="1" applyFill="1" applyBorder="1"/>
    <xf numFmtId="0" fontId="15" fillId="19" borderId="1" xfId="2" applyFont="1" applyFill="1" applyBorder="1" applyAlignment="1">
      <alignment vertical="center"/>
    </xf>
    <xf numFmtId="0" fontId="15" fillId="0" borderId="0" xfId="3" applyFont="1"/>
    <xf numFmtId="10" fontId="3" fillId="0" borderId="0" xfId="5" applyNumberFormat="1" applyFont="1" applyFill="1" applyAlignment="1"/>
    <xf numFmtId="9" fontId="15" fillId="0" borderId="0" xfId="3" applyNumberFormat="1" applyFont="1"/>
    <xf numFmtId="0" fontId="15" fillId="0" borderId="0" xfId="3" applyFont="1" applyBorder="1"/>
    <xf numFmtId="166" fontId="3" fillId="0" borderId="0" xfId="5" applyNumberFormat="1" applyFont="1" applyAlignment="1"/>
    <xf numFmtId="4" fontId="15" fillId="0" borderId="0" xfId="3" applyNumberFormat="1" applyFont="1"/>
    <xf numFmtId="0" fontId="15" fillId="2" borderId="1" xfId="3" applyFont="1" applyFill="1" applyBorder="1" applyAlignment="1">
      <alignment horizontal="center"/>
    </xf>
    <xf numFmtId="4" fontId="15" fillId="2" borderId="1" xfId="3" applyNumberFormat="1" applyFont="1" applyFill="1" applyBorder="1" applyAlignment="1">
      <alignment horizontal="center"/>
    </xf>
    <xf numFmtId="0" fontId="15" fillId="0" borderId="1" xfId="3" applyFont="1" applyBorder="1" applyAlignment="1">
      <alignment horizontal="center"/>
    </xf>
    <xf numFmtId="4" fontId="15" fillId="0" borderId="1" xfId="3" applyNumberFormat="1" applyFont="1" applyBorder="1" applyAlignment="1">
      <alignment horizontal="center"/>
    </xf>
    <xf numFmtId="2" fontId="15" fillId="0" borderId="1" xfId="3" applyNumberFormat="1" applyFont="1" applyBorder="1" applyAlignment="1">
      <alignment horizontal="center"/>
    </xf>
    <xf numFmtId="2" fontId="15" fillId="0" borderId="1" xfId="3" applyNumberFormat="1" applyFont="1" applyFill="1" applyBorder="1" applyAlignment="1">
      <alignment horizontal="center"/>
    </xf>
    <xf numFmtId="0" fontId="15" fillId="2" borderId="4" xfId="3" applyFont="1" applyFill="1" applyBorder="1" applyAlignment="1">
      <alignment horizontal="center"/>
    </xf>
    <xf numFmtId="0" fontId="15" fillId="2" borderId="5" xfId="3" applyFont="1" applyFill="1" applyBorder="1" applyAlignment="1">
      <alignment horizontal="center"/>
    </xf>
    <xf numFmtId="0" fontId="15" fillId="0" borderId="1" xfId="3" applyFont="1" applyBorder="1" applyAlignment="1">
      <alignment horizontal="left"/>
    </xf>
    <xf numFmtId="2" fontId="15" fillId="0" borderId="4" xfId="3" applyNumberFormat="1" applyFont="1" applyBorder="1" applyAlignment="1">
      <alignment horizontal="center"/>
    </xf>
    <xf numFmtId="2" fontId="15" fillId="0" borderId="5" xfId="3" applyNumberFormat="1" applyFont="1" applyBorder="1" applyAlignment="1">
      <alignment horizontal="center"/>
    </xf>
    <xf numFmtId="0" fontId="18" fillId="0" borderId="0" xfId="6" applyFont="1"/>
    <xf numFmtId="0" fontId="4" fillId="0" borderId="0" xfId="0" applyFont="1"/>
    <xf numFmtId="9" fontId="3" fillId="0" borderId="0" xfId="1" applyFont="1"/>
    <xf numFmtId="166" fontId="3" fillId="0" borderId="0" xfId="1" applyNumberFormat="1" applyFont="1"/>
    <xf numFmtId="166" fontId="3" fillId="0" borderId="0" xfId="0" applyNumberFormat="1" applyFont="1"/>
    <xf numFmtId="0" fontId="3" fillId="0" borderId="0" xfId="0" applyNumberFormat="1" applyFont="1" applyAlignment="1">
      <alignment horizontal="center"/>
    </xf>
    <xf numFmtId="10" fontId="3" fillId="0" borderId="0" xfId="1" applyNumberFormat="1" applyFont="1"/>
    <xf numFmtId="171" fontId="3" fillId="0" borderId="0" xfId="0" applyNumberFormat="1" applyFont="1"/>
    <xf numFmtId="0" fontId="3" fillId="6" borderId="0" xfId="0" applyNumberFormat="1" applyFont="1" applyFill="1" applyAlignment="1">
      <alignment horizontal="center"/>
    </xf>
    <xf numFmtId="10" fontId="3" fillId="6" borderId="0" xfId="1" applyNumberFormat="1" applyFont="1" applyFill="1"/>
    <xf numFmtId="171" fontId="3" fillId="0" borderId="0" xfId="1" applyNumberFormat="1" applyFont="1"/>
    <xf numFmtId="0" fontId="3" fillId="6" borderId="0" xfId="0" applyFont="1" applyFill="1" applyAlignment="1">
      <alignment horizontal="center"/>
    </xf>
    <xf numFmtId="2" fontId="3" fillId="6" borderId="0" xfId="0" applyNumberFormat="1" applyFont="1" applyFill="1"/>
    <xf numFmtId="4" fontId="3" fillId="0" borderId="0" xfId="0" applyNumberFormat="1" applyFont="1"/>
    <xf numFmtId="10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3" fillId="8" borderId="0" xfId="0" applyFont="1" applyFill="1"/>
    <xf numFmtId="10" fontId="3" fillId="8" borderId="0" xfId="1" applyNumberFormat="1" applyFont="1" applyFill="1"/>
    <xf numFmtId="1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/>
    </xf>
    <xf numFmtId="10" fontId="3" fillId="8" borderId="1" xfId="0" applyNumberFormat="1" applyFont="1" applyFill="1" applyBorder="1" applyAlignment="1">
      <alignment horizontal="center"/>
    </xf>
    <xf numFmtId="9" fontId="3" fillId="0" borderId="1" xfId="1" applyFont="1" applyBorder="1"/>
    <xf numFmtId="165" fontId="3" fillId="0" borderId="1" xfId="0" applyNumberFormat="1" applyFont="1" applyBorder="1"/>
    <xf numFmtId="0" fontId="3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5" fillId="0" borderId="1" xfId="0" applyNumberFormat="1" applyFont="1" applyBorder="1" applyAlignment="1"/>
    <xf numFmtId="3" fontId="5" fillId="7" borderId="1" xfId="0" applyNumberFormat="1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3" fillId="0" borderId="1" xfId="3" applyFont="1" applyFill="1" applyBorder="1"/>
    <xf numFmtId="165" fontId="3" fillId="0" borderId="0" xfId="1" applyNumberFormat="1" applyFont="1"/>
    <xf numFmtId="0" fontId="3" fillId="0" borderId="1" xfId="0" applyFont="1" applyBorder="1" applyAlignment="1">
      <alignment horizontal="center"/>
    </xf>
    <xf numFmtId="10" fontId="3" fillId="0" borderId="1" xfId="1" applyNumberFormat="1" applyFont="1" applyBorder="1"/>
    <xf numFmtId="0" fontId="3" fillId="8" borderId="1" xfId="0" applyFont="1" applyFill="1" applyBorder="1"/>
    <xf numFmtId="10" fontId="3" fillId="8" borderId="1" xfId="1" applyNumberFormat="1" applyFont="1" applyFill="1" applyBorder="1"/>
    <xf numFmtId="10" fontId="3" fillId="2" borderId="1" xfId="0" applyNumberFormat="1" applyFont="1" applyFill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10" fontId="3" fillId="2" borderId="1" xfId="1" applyNumberFormat="1" applyFont="1" applyFill="1" applyBorder="1"/>
    <xf numFmtId="172" fontId="3" fillId="2" borderId="1" xfId="0" applyNumberFormat="1" applyFont="1" applyFill="1" applyBorder="1"/>
    <xf numFmtId="172" fontId="3" fillId="0" borderId="1" xfId="0" applyNumberFormat="1" applyFont="1" applyBorder="1"/>
    <xf numFmtId="172" fontId="3" fillId="8" borderId="1" xfId="0" applyNumberFormat="1" applyFont="1" applyFill="1" applyBorder="1"/>
    <xf numFmtId="173" fontId="3" fillId="2" borderId="1" xfId="0" applyNumberFormat="1" applyFont="1" applyFill="1" applyBorder="1"/>
    <xf numFmtId="173" fontId="3" fillId="0" borderId="1" xfId="0" applyNumberFormat="1" applyFont="1" applyBorder="1"/>
    <xf numFmtId="173" fontId="3" fillId="8" borderId="1" xfId="0" applyNumberFormat="1" applyFont="1" applyFill="1" applyBorder="1"/>
    <xf numFmtId="167" fontId="3" fillId="2" borderId="1" xfId="0" applyNumberFormat="1" applyFont="1" applyFill="1" applyBorder="1"/>
    <xf numFmtId="167" fontId="3" fillId="0" borderId="1" xfId="0" applyNumberFormat="1" applyFont="1" applyBorder="1"/>
    <xf numFmtId="167" fontId="3" fillId="8" borderId="1" xfId="0" applyNumberFormat="1" applyFont="1" applyFill="1" applyBorder="1"/>
    <xf numFmtId="2" fontId="3" fillId="8" borderId="1" xfId="0" applyNumberFormat="1" applyFont="1" applyFill="1" applyBorder="1"/>
    <xf numFmtId="0" fontId="3" fillId="2" borderId="1" xfId="0" applyFont="1" applyFill="1" applyBorder="1" applyAlignment="1">
      <alignment horizontal="center" wrapText="1"/>
    </xf>
    <xf numFmtId="9" fontId="3" fillId="2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7" fontId="3" fillId="8" borderId="1" xfId="0" applyNumberFormat="1" applyFont="1" applyFill="1" applyBorder="1" applyAlignment="1">
      <alignment horizontal="center"/>
    </xf>
    <xf numFmtId="166" fontId="3" fillId="8" borderId="1" xfId="0" applyNumberFormat="1" applyFont="1" applyFill="1" applyBorder="1" applyAlignment="1">
      <alignment horizontal="center"/>
    </xf>
    <xf numFmtId="0" fontId="12" fillId="4" borderId="1" xfId="3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7" fontId="3" fillId="0" borderId="0" xfId="0" applyNumberFormat="1" applyFont="1"/>
    <xf numFmtId="0" fontId="3" fillId="8" borderId="4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9" fontId="3" fillId="4" borderId="1" xfId="0" applyNumberFormat="1" applyFont="1" applyFill="1" applyBorder="1" applyAlignment="1">
      <alignment horizontal="center"/>
    </xf>
    <xf numFmtId="167" fontId="3" fillId="20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8" borderId="1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0" fontId="3" fillId="0" borderId="0" xfId="1" applyNumberFormat="1" applyFont="1" applyBorder="1"/>
    <xf numFmtId="10" fontId="3" fillId="0" borderId="0" xfId="1" applyNumberFormat="1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166" fontId="0" fillId="0" borderId="0" xfId="0" applyNumberFormat="1"/>
    <xf numFmtId="3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 applyFill="1" applyBorder="1" applyAlignment="1"/>
    <xf numFmtId="10" fontId="0" fillId="0" borderId="10" xfId="0" applyNumberFormat="1" applyFill="1" applyBorder="1" applyAlignment="1"/>
    <xf numFmtId="0" fontId="0" fillId="0" borderId="8" xfId="0" applyFill="1" applyBorder="1" applyAlignment="1"/>
    <xf numFmtId="0" fontId="19" fillId="21" borderId="9" xfId="0" applyFont="1" applyFill="1" applyBorder="1" applyAlignment="1">
      <alignment horizontal="right"/>
    </xf>
    <xf numFmtId="0" fontId="19" fillId="21" borderId="3" xfId="0" applyFont="1" applyFill="1" applyBorder="1" applyAlignment="1">
      <alignment horizontal="right"/>
    </xf>
    <xf numFmtId="0" fontId="20" fillId="0" borderId="0" xfId="0" applyFont="1" applyFill="1" applyBorder="1" applyAlignment="1">
      <alignment vertical="top" wrapText="1"/>
    </xf>
    <xf numFmtId="0" fontId="3" fillId="24" borderId="1" xfId="0" applyFont="1" applyFill="1" applyBorder="1" applyAlignment="1">
      <alignment vertical="center" wrapText="1"/>
    </xf>
    <xf numFmtId="0" fontId="3" fillId="24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/>
    </xf>
    <xf numFmtId="4" fontId="4" fillId="24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/>
    <xf numFmtId="0" fontId="21" fillId="21" borderId="3" xfId="0" applyFont="1" applyFill="1" applyBorder="1" applyAlignment="1">
      <alignment horizontal="left"/>
    </xf>
    <xf numFmtId="0" fontId="21" fillId="21" borderId="9" xfId="0" applyFont="1" applyFill="1" applyBorder="1" applyAlignment="1">
      <alignment horizontal="left"/>
    </xf>
    <xf numFmtId="0" fontId="22" fillId="22" borderId="0" xfId="0" applyFont="1" applyFill="1" applyBorder="1" applyAlignment="1">
      <alignment horizontal="left"/>
    </xf>
    <xf numFmtId="0" fontId="23" fillId="22" borderId="8" xfId="0" applyFont="1" applyFill="1" applyBorder="1" applyAlignment="1">
      <alignment horizontal="left"/>
    </xf>
    <xf numFmtId="0" fontId="22" fillId="22" borderId="10" xfId="0" applyFont="1" applyFill="1" applyBorder="1" applyAlignment="1">
      <alignment horizontal="left"/>
    </xf>
    <xf numFmtId="9" fontId="0" fillId="23" borderId="0" xfId="0" applyNumberFormat="1" applyFill="1" applyBorder="1" applyAlignment="1"/>
    <xf numFmtId="170" fontId="3" fillId="0" borderId="0" xfId="0" applyNumberFormat="1" applyFont="1"/>
    <xf numFmtId="174" fontId="3" fillId="0" borderId="0" xfId="1" applyNumberFormat="1" applyFont="1" applyBorder="1"/>
    <xf numFmtId="174" fontId="3" fillId="0" borderId="0" xfId="0" applyNumberFormat="1" applyFont="1" applyBorder="1"/>
    <xf numFmtId="170" fontId="3" fillId="0" borderId="0" xfId="1" applyNumberFormat="1" applyFont="1" applyBorder="1"/>
    <xf numFmtId="10" fontId="3" fillId="6" borderId="1" xfId="1" applyNumberFormat="1" applyFont="1" applyFill="1" applyBorder="1"/>
    <xf numFmtId="3" fontId="3" fillId="0" borderId="1" xfId="0" applyNumberFormat="1" applyFont="1" applyFill="1" applyBorder="1" applyAlignment="1">
      <alignment horizontal="center"/>
    </xf>
    <xf numFmtId="175" fontId="3" fillId="0" borderId="0" xfId="0" applyNumberFormat="1" applyFont="1"/>
    <xf numFmtId="3" fontId="3" fillId="0" borderId="0" xfId="0" applyNumberFormat="1" applyFont="1" applyFill="1"/>
    <xf numFmtId="2" fontId="3" fillId="0" borderId="0" xfId="0" applyNumberFormat="1" applyFont="1" applyFill="1"/>
    <xf numFmtId="4" fontId="3" fillId="0" borderId="1" xfId="0" applyNumberFormat="1" applyFont="1" applyBorder="1" applyAlignment="1">
      <alignment horizontal="center"/>
    </xf>
    <xf numFmtId="0" fontId="24" fillId="6" borderId="1" xfId="3" applyFont="1" applyFill="1" applyBorder="1" applyAlignment="1">
      <alignment horizontal="center"/>
    </xf>
    <xf numFmtId="1" fontId="24" fillId="6" borderId="1" xfId="2" applyNumberFormat="1" applyFont="1" applyFill="1" applyBorder="1"/>
    <xf numFmtId="0" fontId="25" fillId="0" borderId="0" xfId="2" applyFont="1" applyBorder="1"/>
    <xf numFmtId="167" fontId="10" fillId="0" borderId="1" xfId="2" applyNumberFormat="1" applyFont="1" applyBorder="1"/>
    <xf numFmtId="167" fontId="24" fillId="6" borderId="1" xfId="2" applyNumberFormat="1" applyFont="1" applyFill="1" applyBorder="1"/>
    <xf numFmtId="4" fontId="3" fillId="6" borderId="1" xfId="0" applyNumberFormat="1" applyFont="1" applyFill="1" applyBorder="1"/>
    <xf numFmtId="1" fontId="3" fillId="0" borderId="0" xfId="0" applyNumberFormat="1" applyFont="1"/>
    <xf numFmtId="1" fontId="3" fillId="10" borderId="0" xfId="3" applyNumberFormat="1" applyFont="1" applyFill="1" applyBorder="1"/>
    <xf numFmtId="171" fontId="5" fillId="0" borderId="0" xfId="0" applyNumberFormat="1" applyFont="1"/>
    <xf numFmtId="0" fontId="3" fillId="25" borderId="0" xfId="0" applyFont="1" applyFill="1" applyBorder="1"/>
    <xf numFmtId="0" fontId="3" fillId="25" borderId="0" xfId="0" applyFont="1" applyFill="1" applyBorder="1" applyAlignment="1">
      <alignment horizontal="center"/>
    </xf>
    <xf numFmtId="0" fontId="4" fillId="25" borderId="0" xfId="0" applyFont="1" applyFill="1" applyBorder="1" applyAlignment="1">
      <alignment horizontal="center"/>
    </xf>
    <xf numFmtId="10" fontId="3" fillId="0" borderId="1" xfId="1" applyNumberFormat="1" applyFont="1" applyFill="1" applyBorder="1" applyAlignment="1">
      <alignment horizontal="center"/>
    </xf>
    <xf numFmtId="10" fontId="15" fillId="0" borderId="0" xfId="3" applyNumberFormat="1" applyFont="1"/>
    <xf numFmtId="0" fontId="3" fillId="25" borderId="0" xfId="0" applyFont="1" applyFill="1"/>
    <xf numFmtId="0" fontId="4" fillId="25" borderId="0" xfId="0" applyFont="1" applyFill="1" applyBorder="1"/>
    <xf numFmtId="3" fontId="4" fillId="25" borderId="0" xfId="0" applyNumberFormat="1" applyFont="1" applyFill="1" applyBorder="1"/>
    <xf numFmtId="3" fontId="3" fillId="25" borderId="0" xfId="0" applyNumberFormat="1" applyFont="1" applyFill="1" applyBorder="1"/>
    <xf numFmtId="0" fontId="4" fillId="25" borderId="8" xfId="0" applyFont="1" applyFill="1" applyBorder="1" applyAlignment="1">
      <alignment horizontal="center"/>
    </xf>
    <xf numFmtId="0" fontId="4" fillId="25" borderId="8" xfId="0" applyFont="1" applyFill="1" applyBorder="1"/>
    <xf numFmtId="3" fontId="4" fillId="25" borderId="8" xfId="0" applyNumberFormat="1" applyFont="1" applyFill="1" applyBorder="1"/>
    <xf numFmtId="0" fontId="10" fillId="25" borderId="0" xfId="0" applyFont="1" applyFill="1"/>
    <xf numFmtId="164" fontId="10" fillId="25" borderId="0" xfId="0" applyNumberFormat="1" applyFont="1" applyFill="1"/>
    <xf numFmtId="10" fontId="3" fillId="25" borderId="0" xfId="0" applyNumberFormat="1" applyFont="1" applyFill="1" applyBorder="1" applyAlignment="1">
      <alignment horizontal="center"/>
    </xf>
    <xf numFmtId="10" fontId="3" fillId="25" borderId="0" xfId="1" applyNumberFormat="1" applyFont="1" applyFill="1" applyBorder="1" applyAlignment="1">
      <alignment horizontal="center"/>
    </xf>
    <xf numFmtId="10" fontId="4" fillId="25" borderId="0" xfId="1" applyNumberFormat="1" applyFont="1" applyFill="1" applyBorder="1" applyAlignment="1">
      <alignment horizontal="center"/>
    </xf>
    <xf numFmtId="0" fontId="4" fillId="25" borderId="0" xfId="0" applyFont="1" applyFill="1" applyBorder="1" applyAlignment="1">
      <alignment horizontal="center" wrapText="1"/>
    </xf>
    <xf numFmtId="0" fontId="3" fillId="25" borderId="0" xfId="0" applyFont="1" applyFill="1" applyBorder="1" applyAlignment="1">
      <alignment horizontal="left"/>
    </xf>
    <xf numFmtId="166" fontId="3" fillId="25" borderId="0" xfId="1" applyNumberFormat="1" applyFont="1" applyFill="1" applyBorder="1" applyAlignment="1">
      <alignment horizontal="center"/>
    </xf>
    <xf numFmtId="176" fontId="3" fillId="25" borderId="0" xfId="0" applyNumberFormat="1" applyFont="1" applyFill="1" applyBorder="1" applyAlignment="1">
      <alignment horizontal="center"/>
    </xf>
    <xf numFmtId="0" fontId="3" fillId="25" borderId="8" xfId="0" applyFont="1" applyFill="1" applyBorder="1"/>
    <xf numFmtId="0" fontId="4" fillId="25" borderId="8" xfId="0" applyFont="1" applyFill="1" applyBorder="1" applyAlignment="1">
      <alignment horizontal="left"/>
    </xf>
    <xf numFmtId="176" fontId="4" fillId="25" borderId="8" xfId="0" applyNumberFormat="1" applyFont="1" applyFill="1" applyBorder="1" applyAlignment="1">
      <alignment horizontal="center"/>
    </xf>
    <xf numFmtId="10" fontId="4" fillId="25" borderId="8" xfId="0" applyNumberFormat="1" applyFont="1" applyFill="1" applyBorder="1" applyAlignment="1">
      <alignment horizontal="center"/>
    </xf>
    <xf numFmtId="3" fontId="4" fillId="25" borderId="8" xfId="0" applyNumberFormat="1" applyFont="1" applyFill="1" applyBorder="1" applyAlignment="1">
      <alignment horizontal="center"/>
    </xf>
    <xf numFmtId="10" fontId="3" fillId="0" borderId="1" xfId="0" applyNumberFormat="1" applyFont="1" applyFill="1" applyBorder="1"/>
    <xf numFmtId="0" fontId="3" fillId="0" borderId="0" xfId="0" applyFont="1" applyBorder="1"/>
    <xf numFmtId="10" fontId="3" fillId="0" borderId="0" xfId="0" applyNumberFormat="1" applyFont="1" applyBorder="1"/>
    <xf numFmtId="3" fontId="4" fillId="25" borderId="0" xfId="0" applyNumberFormat="1" applyFont="1" applyFill="1" applyBorder="1" applyAlignment="1">
      <alignment horizontal="center"/>
    </xf>
    <xf numFmtId="3" fontId="3" fillId="25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  <xf numFmtId="0" fontId="4" fillId="0" borderId="3" xfId="0" applyFont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4" borderId="1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3" fillId="24" borderId="5" xfId="0" applyFont="1" applyFill="1" applyBorder="1" applyAlignment="1">
      <alignment horizontal="center"/>
    </xf>
    <xf numFmtId="0" fontId="3" fillId="24" borderId="7" xfId="0" applyFont="1" applyFill="1" applyBorder="1" applyAlignment="1">
      <alignment horizontal="center" vertical="center"/>
    </xf>
    <xf numFmtId="0" fontId="3" fillId="24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2" fillId="5" borderId="1" xfId="2" applyFont="1" applyFill="1" applyBorder="1" applyAlignment="1">
      <alignment horizontal="center"/>
    </xf>
    <xf numFmtId="0" fontId="11" fillId="0" borderId="1" xfId="2" applyFont="1" applyBorder="1"/>
    <xf numFmtId="0" fontId="12" fillId="9" borderId="0" xfId="2" applyFont="1" applyFill="1" applyBorder="1" applyAlignment="1">
      <alignment horizontal="center"/>
    </xf>
    <xf numFmtId="0" fontId="11" fillId="0" borderId="0" xfId="2" applyFont="1" applyBorder="1"/>
    <xf numFmtId="0" fontId="12" fillId="5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vertical="center"/>
    </xf>
    <xf numFmtId="0" fontId="16" fillId="0" borderId="0" xfId="2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10" borderId="0" xfId="3" applyFont="1" applyFill="1" applyBorder="1" applyAlignment="1">
      <alignment horizontal="center" vertical="center"/>
    </xf>
    <xf numFmtId="3" fontId="4" fillId="10" borderId="0" xfId="3" applyNumberFormat="1" applyFont="1" applyFill="1" applyBorder="1" applyAlignment="1">
      <alignment horizontal="left" vertical="center"/>
    </xf>
    <xf numFmtId="0" fontId="13" fillId="0" borderId="0" xfId="3" applyFont="1" applyBorder="1" applyAlignment="1">
      <alignment vertical="center"/>
    </xf>
    <xf numFmtId="0" fontId="4" fillId="5" borderId="1" xfId="3" applyFont="1" applyFill="1" applyBorder="1" applyAlignment="1">
      <alignment horizontal="center" vertical="center"/>
    </xf>
    <xf numFmtId="0" fontId="13" fillId="0" borderId="1" xfId="3" applyFont="1" applyBorder="1" applyAlignment="1">
      <alignment vertical="center"/>
    </xf>
    <xf numFmtId="0" fontId="4" fillId="5" borderId="1" xfId="3" applyFont="1" applyFill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17" fontId="11" fillId="0" borderId="7" xfId="4" applyNumberFormat="1" applyFont="1" applyBorder="1" applyAlignment="1">
      <alignment horizontal="center" vertical="center"/>
    </xf>
    <xf numFmtId="17" fontId="11" fillId="0" borderId="2" xfId="4" applyNumberFormat="1" applyFont="1" applyBorder="1" applyAlignment="1">
      <alignment horizontal="center" vertical="center"/>
    </xf>
    <xf numFmtId="17" fontId="11" fillId="0" borderId="6" xfId="4" applyNumberFormat="1" applyFont="1" applyBorder="1" applyAlignment="1">
      <alignment horizontal="center" vertical="center"/>
    </xf>
    <xf numFmtId="0" fontId="14" fillId="14" borderId="7" xfId="4" applyFont="1" applyFill="1" applyBorder="1" applyAlignment="1">
      <alignment horizontal="center" wrapText="1"/>
    </xf>
    <xf numFmtId="0" fontId="14" fillId="14" borderId="6" xfId="4" applyFont="1" applyFill="1" applyBorder="1" applyAlignment="1">
      <alignment horizontal="center" wrapText="1"/>
    </xf>
    <xf numFmtId="3" fontId="4" fillId="10" borderId="0" xfId="3" applyNumberFormat="1" applyFont="1" applyFill="1" applyBorder="1" applyAlignment="1">
      <alignment horizontal="left"/>
    </xf>
    <xf numFmtId="0" fontId="13" fillId="0" borderId="0" xfId="3" applyFont="1" applyBorder="1"/>
    <xf numFmtId="0" fontId="4" fillId="10" borderId="0" xfId="3" applyFont="1" applyFill="1" applyBorder="1" applyAlignment="1">
      <alignment horizontal="center"/>
    </xf>
    <xf numFmtId="0" fontId="4" fillId="16" borderId="1" xfId="3" applyFont="1" applyFill="1" applyBorder="1" applyAlignment="1">
      <alignment horizontal="center" vertical="center"/>
    </xf>
    <xf numFmtId="0" fontId="13" fillId="0" borderId="1" xfId="3" applyFont="1" applyBorder="1"/>
    <xf numFmtId="0" fontId="13" fillId="0" borderId="1" xfId="3" applyFont="1" applyBorder="1" applyAlignment="1">
      <alignment horizontal="center"/>
    </xf>
    <xf numFmtId="0" fontId="4" fillId="16" borderId="1" xfId="3" applyFont="1" applyFill="1" applyBorder="1" applyAlignment="1">
      <alignment horizontal="center" vertical="center" wrapText="1"/>
    </xf>
    <xf numFmtId="169" fontId="4" fillId="16" borderId="1" xfId="3" applyNumberFormat="1" applyFont="1" applyFill="1" applyBorder="1" applyAlignment="1">
      <alignment horizontal="center" vertical="center" wrapText="1"/>
    </xf>
    <xf numFmtId="0" fontId="13" fillId="0" borderId="1" xfId="3" applyFont="1" applyBorder="1" applyAlignment="1">
      <alignment horizontal="center" wrapText="1"/>
    </xf>
    <xf numFmtId="0" fontId="4" fillId="5" borderId="1" xfId="3" applyFont="1" applyFill="1" applyBorder="1" applyAlignment="1">
      <alignment horizontal="center" wrapText="1"/>
    </xf>
    <xf numFmtId="0" fontId="12" fillId="0" borderId="0" xfId="3" applyFont="1" applyFill="1" applyBorder="1" applyAlignment="1">
      <alignment horizontal="center"/>
    </xf>
    <xf numFmtId="0" fontId="11" fillId="0" borderId="0" xfId="3" applyFont="1" applyFill="1" applyBorder="1"/>
    <xf numFmtId="0" fontId="12" fillId="0" borderId="1" xfId="3" applyFont="1" applyFill="1" applyBorder="1" applyAlignment="1">
      <alignment horizontal="center"/>
    </xf>
    <xf numFmtId="0" fontId="11" fillId="0" borderId="1" xfId="3" applyFont="1" applyFill="1" applyBorder="1"/>
    <xf numFmtId="0" fontId="11" fillId="0" borderId="0" xfId="3" applyFont="1" applyFill="1" applyBorder="1" applyAlignment="1">
      <alignment horizontal="center"/>
    </xf>
    <xf numFmtId="0" fontId="12" fillId="18" borderId="1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left"/>
    </xf>
    <xf numFmtId="0" fontId="16" fillId="0" borderId="0" xfId="3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26" borderId="11" xfId="0" applyFont="1" applyFill="1" applyBorder="1" applyAlignment="1">
      <alignment horizontal="center" wrapText="1"/>
    </xf>
    <xf numFmtId="0" fontId="4" fillId="26" borderId="9" xfId="0" applyFont="1" applyFill="1" applyBorder="1" applyAlignment="1">
      <alignment horizontal="center" wrapText="1"/>
    </xf>
    <xf numFmtId="0" fontId="4" fillId="26" borderId="12" xfId="0" applyFont="1" applyFill="1" applyBorder="1" applyAlignment="1">
      <alignment horizontal="center" wrapText="1"/>
    </xf>
  </cellXfs>
  <cellStyles count="7">
    <cellStyle name="Hipervínculo" xfId="6" builtinId="8"/>
    <cellStyle name="Normal" xfId="0" builtinId="0"/>
    <cellStyle name="Normal 2" xfId="2" xr:uid="{45BEA6C1-E9E4-47E7-8553-21071DBF3885}"/>
    <cellStyle name="Normal 2 2" xfId="3" xr:uid="{7C54C103-F4AF-446F-A21C-33FCEBB393BE}"/>
    <cellStyle name="Normal 3" xfId="4" xr:uid="{D4D787DA-828A-4331-9466-8DD995A12970}"/>
    <cellStyle name="Porcentaje" xfId="1" builtinId="5"/>
    <cellStyle name="Porcentaje 2" xfId="5" xr:uid="{0353B1F1-0BAF-44B8-A493-F15A0D4A70B2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711444</xdr:colOff>
      <xdr:row>4</xdr:row>
      <xdr:rowOff>180242</xdr:rowOff>
    </xdr:from>
    <xdr:ext cx="35412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11F8B32-CE6F-47A2-94F0-D86A08D416BA}"/>
                </a:ext>
              </a:extLst>
            </xdr:cNvPr>
            <xdr:cNvSpPr txBox="1"/>
          </xdr:nvSpPr>
          <xdr:spPr>
            <a:xfrm>
              <a:off x="5349386" y="942242"/>
              <a:ext cx="35412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𝐾𝑢𝑟𝑡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𝑅𝑓𝑢𝑠𝑎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𝐵𝑢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𝑡𝑜𝑡𝑎𝑙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𝑀𝐸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𝑅𝑚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𝑅𝑓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𝑢𝑠𝑎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𝑅𝑝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𝑝𝑒𝑟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ú</m:t>
                    </m:r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11F8B32-CE6F-47A2-94F0-D86A08D416BA}"/>
                </a:ext>
              </a:extLst>
            </xdr:cNvPr>
            <xdr:cNvSpPr txBox="1"/>
          </xdr:nvSpPr>
          <xdr:spPr>
            <a:xfrm>
              <a:off x="5349386" y="942242"/>
              <a:ext cx="35412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𝐾𝑢𝑟𝑡=𝑅𝑓𝑢𝑠𝑎+𝐵𝑢 𝑡𝑜𝑡𝑎𝑙 𝑀𝐸∗(𝑅𝑚−𝑅𝑓)𝑢𝑠𝑎+𝑅𝑝 𝑝𝑒𝑟ú</a:t>
              </a:r>
              <a:endParaRPr lang="es-PE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22714</xdr:colOff>
      <xdr:row>3</xdr:row>
      <xdr:rowOff>4395</xdr:rowOff>
    </xdr:from>
    <xdr:ext cx="366286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4717CC3-4492-495B-AE97-44E0419A5230}"/>
                </a:ext>
              </a:extLst>
            </xdr:cNvPr>
            <xdr:cNvSpPr txBox="1"/>
          </xdr:nvSpPr>
          <xdr:spPr>
            <a:xfrm>
              <a:off x="784714" y="575895"/>
              <a:ext cx="366286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𝐾𝑒𝑟𝑡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𝑅𝑓𝑢𝑠𝑎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𝐵𝑟𝑙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𝑡𝑜𝑡𝑎𝑙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𝑃𝑒𝑟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ú∗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𝑅𝑚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𝑅𝑓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𝑢𝑠𝑎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𝑅𝑝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𝑃𝑒𝑟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ú</m:t>
                    </m:r>
                  </m:oMath>
                </m:oMathPara>
              </a14:m>
              <a:endParaRPr lang="es-PE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4717CC3-4492-495B-AE97-44E0419A5230}"/>
                </a:ext>
              </a:extLst>
            </xdr:cNvPr>
            <xdr:cNvSpPr txBox="1"/>
          </xdr:nvSpPr>
          <xdr:spPr>
            <a:xfrm>
              <a:off x="784714" y="575895"/>
              <a:ext cx="366286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𝐾𝑒𝑟𝑡=𝑅𝑓𝑢𝑠𝑎+𝐵𝑟𝑙 𝑡𝑜𝑡𝑎𝑙 𝑃𝑒𝑟ú∗(𝑅𝑚−𝑅𝑓)𝑢𝑠𝑎+𝑅𝑝 𝑃𝑒𝑟ú</a:t>
              </a:r>
              <a:endParaRPr lang="es-PE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711444</xdr:colOff>
      <xdr:row>13</xdr:row>
      <xdr:rowOff>158260</xdr:rowOff>
    </xdr:from>
    <xdr:ext cx="32767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F464877-BFB9-4028-A3FD-2E4C0B92D7EC}"/>
                </a:ext>
              </a:extLst>
            </xdr:cNvPr>
            <xdr:cNvSpPr txBox="1"/>
          </xdr:nvSpPr>
          <xdr:spPr>
            <a:xfrm>
              <a:off x="711444" y="2634760"/>
              <a:ext cx="32767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𝐵𝑟𝑙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𝑡𝑜𝑡𝑎𝑙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𝐵𝑢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𝑡𝑜𝑡𝑎𝑙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𝑀𝐸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∗(1+</m:t>
                    </m:r>
                    <m:f>
                      <m:fPr>
                        <m:type m:val="lin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)∗</m:t>
                        </m:r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𝑃𝑒𝑟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ú</m:t>
                        </m:r>
                      </m:den>
                    </m:f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F464877-BFB9-4028-A3FD-2E4C0B92D7EC}"/>
                </a:ext>
              </a:extLst>
            </xdr:cNvPr>
            <xdr:cNvSpPr txBox="1"/>
          </xdr:nvSpPr>
          <xdr:spPr>
            <a:xfrm>
              <a:off x="711444" y="2634760"/>
              <a:ext cx="32767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𝐵𝑟𝑙 𝑡𝑜𝑡𝑎𝑙=𝐵𝑢 𝑡𝑜𝑡𝑎𝑙 𝑀𝐸∗(1+〖(𝐷〗∕〖𝐸)∗(1−𝑡))𝑃𝑒𝑟ú〗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7</xdr:col>
      <xdr:colOff>52021</xdr:colOff>
      <xdr:row>3</xdr:row>
      <xdr:rowOff>4396</xdr:rowOff>
    </xdr:from>
    <xdr:ext cx="2630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4035F6C-75A4-4130-BF26-B3D6D1B8B11E}"/>
                </a:ext>
              </a:extLst>
            </xdr:cNvPr>
            <xdr:cNvSpPr txBox="1"/>
          </xdr:nvSpPr>
          <xdr:spPr>
            <a:xfrm>
              <a:off x="5342059" y="575896"/>
              <a:ext cx="2630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𝐾𝑤𝑎𝑐𝑐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type m:val="lin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𝑉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𝐾𝑒𝑟𝑡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type m:val="lin"/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num>
                          <m:den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den>
                        </m:f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𝐾𝑑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∗(1−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4035F6C-75A4-4130-BF26-B3D6D1B8B11E}"/>
                </a:ext>
              </a:extLst>
            </xdr:cNvPr>
            <xdr:cNvSpPr txBox="1"/>
          </xdr:nvSpPr>
          <xdr:spPr>
            <a:xfrm>
              <a:off x="5342059" y="575896"/>
              <a:ext cx="2630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𝐾𝑤𝑎𝑐𝑐=𝐸∕〖𝑉∗𝐾𝑒𝑟𝑡+𝐷∕𝑉∗𝐾𝑑∗(1−𝑡)〗</a:t>
              </a:r>
              <a:endParaRPr lang="es-PE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damodaran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7B14-FF58-46B8-BEB5-A78DAA30E2B0}">
  <sheetPr>
    <outlinePr summaryBelow="0"/>
  </sheetPr>
  <dimension ref="B1:F19"/>
  <sheetViews>
    <sheetView showGridLines="0" workbookViewId="0">
      <selection activeCell="I11" sqref="I11"/>
    </sheetView>
  </sheetViews>
  <sheetFormatPr baseColWidth="10" defaultRowHeight="15" outlineLevelRow="1" outlineLevelCol="1" x14ac:dyDescent="0.25"/>
  <cols>
    <col min="3" max="3" width="9.42578125" customWidth="1"/>
    <col min="4" max="6" width="14.5703125" bestFit="1" customWidth="1" outlineLevel="1"/>
  </cols>
  <sheetData>
    <row r="1" spans="2:6" ht="15.75" thickBot="1" x14ac:dyDescent="0.3"/>
    <row r="2" spans="2:6" ht="15.75" x14ac:dyDescent="0.25">
      <c r="B2" s="281" t="s">
        <v>393</v>
      </c>
      <c r="C2" s="281"/>
      <c r="D2" s="270"/>
      <c r="E2" s="270"/>
      <c r="F2" s="270"/>
    </row>
    <row r="3" spans="2:6" ht="15.75" collapsed="1" x14ac:dyDescent="0.25">
      <c r="B3" s="280"/>
      <c r="C3" s="280"/>
      <c r="D3" s="271" t="s">
        <v>392</v>
      </c>
      <c r="E3" s="271" t="s">
        <v>390</v>
      </c>
      <c r="F3" s="271" t="s">
        <v>391</v>
      </c>
    </row>
    <row r="4" spans="2:6" ht="67.5" hidden="1" outlineLevel="1" x14ac:dyDescent="0.25">
      <c r="B4" s="282"/>
      <c r="C4" s="282"/>
      <c r="D4" s="272" t="s">
        <v>399</v>
      </c>
      <c r="E4" s="272" t="s">
        <v>399</v>
      </c>
      <c r="F4" s="272" t="s">
        <v>400</v>
      </c>
    </row>
    <row r="5" spans="2:6" x14ac:dyDescent="0.25">
      <c r="B5" s="283" t="s">
        <v>394</v>
      </c>
      <c r="C5" s="283"/>
      <c r="D5" s="269"/>
      <c r="E5" s="269"/>
      <c r="F5" s="269"/>
    </row>
    <row r="6" spans="2:6" outlineLevel="1" x14ac:dyDescent="0.25">
      <c r="B6" s="282" t="s">
        <v>358</v>
      </c>
      <c r="C6" s="282"/>
      <c r="D6" s="285">
        <v>0</v>
      </c>
      <c r="E6" s="285">
        <v>-0.1</v>
      </c>
      <c r="F6" s="285">
        <v>0.15</v>
      </c>
    </row>
    <row r="7" spans="2:6" outlineLevel="1" x14ac:dyDescent="0.25">
      <c r="B7" s="282" t="s">
        <v>359</v>
      </c>
      <c r="C7" s="282"/>
      <c r="D7" s="285">
        <v>0</v>
      </c>
      <c r="E7" s="285">
        <v>-0.12</v>
      </c>
      <c r="F7" s="285">
        <v>0.18</v>
      </c>
    </row>
    <row r="8" spans="2:6" outlineLevel="1" x14ac:dyDescent="0.25">
      <c r="B8" s="282" t="s">
        <v>360</v>
      </c>
      <c r="C8" s="282"/>
      <c r="D8" s="285">
        <v>0</v>
      </c>
      <c r="E8" s="285">
        <v>-0.2</v>
      </c>
      <c r="F8" s="285">
        <v>0.2</v>
      </c>
    </row>
    <row r="9" spans="2:6" outlineLevel="1" x14ac:dyDescent="0.25">
      <c r="B9" s="282" t="s">
        <v>357</v>
      </c>
      <c r="C9" s="282"/>
      <c r="D9" s="285">
        <v>0</v>
      </c>
      <c r="E9" s="285">
        <v>0.15</v>
      </c>
      <c r="F9" s="285">
        <v>-0.1</v>
      </c>
    </row>
    <row r="10" spans="2:6" outlineLevel="1" x14ac:dyDescent="0.25">
      <c r="B10" s="282" t="s">
        <v>361</v>
      </c>
      <c r="C10" s="282"/>
      <c r="D10" s="285">
        <v>0</v>
      </c>
      <c r="E10" s="285">
        <v>0.18</v>
      </c>
      <c r="F10" s="285">
        <v>-0.12</v>
      </c>
    </row>
    <row r="11" spans="2:6" outlineLevel="1" x14ac:dyDescent="0.25">
      <c r="B11" s="282" t="s">
        <v>362</v>
      </c>
      <c r="C11" s="282"/>
      <c r="D11" s="285">
        <v>0</v>
      </c>
      <c r="E11" s="285">
        <v>0.2</v>
      </c>
      <c r="F11" s="285">
        <v>-0.18</v>
      </c>
    </row>
    <row r="12" spans="2:6" x14ac:dyDescent="0.25">
      <c r="B12" s="283" t="s">
        <v>395</v>
      </c>
      <c r="C12" s="283"/>
      <c r="D12" s="269"/>
      <c r="E12" s="269"/>
      <c r="F12" s="269"/>
    </row>
    <row r="13" spans="2:6" outlineLevel="1" x14ac:dyDescent="0.25">
      <c r="B13" s="282" t="s">
        <v>353</v>
      </c>
      <c r="C13" s="282"/>
      <c r="D13" s="265">
        <v>254319.40951259201</v>
      </c>
      <c r="E13" s="265">
        <v>-809266.60487101297</v>
      </c>
      <c r="F13" s="265">
        <v>1364605.49902695</v>
      </c>
    </row>
    <row r="14" spans="2:6" outlineLevel="1" x14ac:dyDescent="0.25">
      <c r="B14" s="282" t="s">
        <v>354</v>
      </c>
      <c r="C14" s="282"/>
      <c r="D14" s="266">
        <v>0.22393133589559799</v>
      </c>
      <c r="E14" s="266">
        <v>-5.9547270176584198E-2</v>
      </c>
      <c r="F14" s="266">
        <v>0.49047292953414101</v>
      </c>
    </row>
    <row r="15" spans="2:6" outlineLevel="1" x14ac:dyDescent="0.25">
      <c r="B15" s="282" t="s">
        <v>355</v>
      </c>
      <c r="C15" s="282"/>
      <c r="D15" s="267">
        <v>296561.899747891</v>
      </c>
      <c r="E15" s="267">
        <v>-767024.11463571398</v>
      </c>
      <c r="F15" s="267">
        <v>1406847.98926225</v>
      </c>
    </row>
    <row r="16" spans="2:6" ht="15.75" outlineLevel="1" thickBot="1" x14ac:dyDescent="0.3">
      <c r="B16" s="284" t="s">
        <v>356</v>
      </c>
      <c r="C16" s="284"/>
      <c r="D16" s="268">
        <v>0.23347024683953699</v>
      </c>
      <c r="E16" s="268">
        <v>-5.20416262293266E-2</v>
      </c>
      <c r="F16" s="268">
        <v>0.50118578060819297</v>
      </c>
    </row>
    <row r="17" spans="2:2" x14ac:dyDescent="0.25">
      <c r="B17" t="s">
        <v>396</v>
      </c>
    </row>
    <row r="18" spans="2:2" x14ac:dyDescent="0.25">
      <c r="B18" t="s">
        <v>397</v>
      </c>
    </row>
    <row r="19" spans="2:2" x14ac:dyDescent="0.25">
      <c r="B19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4726-3661-45E3-9102-3FE0366E8B9A}">
  <dimension ref="B2:AT94"/>
  <sheetViews>
    <sheetView topLeftCell="M28" zoomScaleNormal="100" workbookViewId="0">
      <selection activeCell="AA34" sqref="AA34"/>
    </sheetView>
  </sheetViews>
  <sheetFormatPr baseColWidth="10" defaultRowHeight="15" x14ac:dyDescent="0.25"/>
  <cols>
    <col min="1" max="1" width="11.42578125" style="1"/>
    <col min="2" max="2" width="4.85546875" style="1" customWidth="1"/>
    <col min="3" max="3" width="5.42578125" style="1" customWidth="1"/>
    <col min="4" max="4" width="10.42578125" style="1" customWidth="1"/>
    <col min="5" max="15" width="9.28515625" style="1" customWidth="1"/>
    <col min="16" max="16" width="12.28515625" style="1" customWidth="1"/>
    <col min="17" max="17" width="13" style="1" customWidth="1"/>
    <col min="18" max="18" width="4.85546875" style="1" customWidth="1"/>
    <col min="19" max="19" width="4.7109375" style="1" customWidth="1"/>
    <col min="20" max="20" width="11.42578125" style="1"/>
    <col min="21" max="23" width="10" style="1" customWidth="1"/>
    <col min="24" max="24" width="14.7109375" style="1" customWidth="1"/>
    <col min="25" max="31" width="10" style="1" customWidth="1"/>
    <col min="32" max="32" width="11.42578125" style="1"/>
    <col min="33" max="33" width="3.85546875" style="1" customWidth="1"/>
    <col min="34" max="34" width="5" style="1" customWidth="1"/>
    <col min="35" max="16384" width="11.42578125" style="1"/>
  </cols>
  <sheetData>
    <row r="2" spans="4:17" x14ac:dyDescent="0.25">
      <c r="D2" s="336" t="s">
        <v>385</v>
      </c>
      <c r="E2" s="336"/>
      <c r="F2" s="336"/>
      <c r="G2" s="336"/>
      <c r="H2" s="336"/>
      <c r="I2" s="336"/>
      <c r="J2" s="336"/>
    </row>
    <row r="4" spans="4:17" x14ac:dyDescent="0.25">
      <c r="D4" s="180" t="s">
        <v>364</v>
      </c>
      <c r="E4" s="180"/>
    </row>
    <row r="5" spans="4:17" ht="45" x14ac:dyDescent="0.25">
      <c r="D5" s="247" t="s">
        <v>372</v>
      </c>
      <c r="E5" s="248"/>
      <c r="F5" s="211"/>
      <c r="G5" s="210" t="s">
        <v>369</v>
      </c>
      <c r="H5" s="210" t="s">
        <v>368</v>
      </c>
      <c r="I5" s="210" t="s">
        <v>370</v>
      </c>
      <c r="J5" s="210" t="s">
        <v>371</v>
      </c>
      <c r="L5" s="249" t="s">
        <v>353</v>
      </c>
      <c r="M5" s="249" t="s">
        <v>354</v>
      </c>
      <c r="N5" s="249" t="s">
        <v>355</v>
      </c>
      <c r="O5" s="249" t="s">
        <v>356</v>
      </c>
    </row>
    <row r="6" spans="4:17" x14ac:dyDescent="0.25">
      <c r="D6" s="6" t="s">
        <v>358</v>
      </c>
      <c r="E6" s="6"/>
      <c r="F6" s="208">
        <v>0</v>
      </c>
      <c r="G6" s="290">
        <v>-0.115902637001483</v>
      </c>
      <c r="H6" s="209">
        <f>+Resumen!C4*(1+'Análisis de sensibilidad'!G6)</f>
        <v>9.7325633435175742</v>
      </c>
      <c r="I6" s="8">
        <f>+Resumen!C4</f>
        <v>11.008474576271187</v>
      </c>
      <c r="J6" s="8">
        <f t="shared" ref="J6:J13" si="0">+H6-I6</f>
        <v>-1.2759112327536126</v>
      </c>
      <c r="L6" s="194">
        <f>+Rentabilidad!C11</f>
        <v>316805.56253815291</v>
      </c>
      <c r="M6" s="193">
        <f>+Rentabilidad!C13</f>
        <v>0.23884180992146797</v>
      </c>
      <c r="N6" s="195">
        <f>+Rentabilidad!C23</f>
        <v>357391.08429331303</v>
      </c>
      <c r="O6" s="193">
        <f>+Rentabilidad!C25</f>
        <v>0.24784495167564535</v>
      </c>
    </row>
    <row r="7" spans="4:17" x14ac:dyDescent="0.25">
      <c r="D7" s="6" t="s">
        <v>359</v>
      </c>
      <c r="E7" s="6"/>
      <c r="F7" s="208">
        <v>0</v>
      </c>
      <c r="G7" s="220">
        <v>-0.14573922093080399</v>
      </c>
      <c r="H7" s="209">
        <f>+Resumen!C5*(1+'Análisis de sensibilidad'!G7)</f>
        <v>9.4359618596507637</v>
      </c>
      <c r="I7" s="8">
        <f>+Resumen!C5</f>
        <v>11.045762711864407</v>
      </c>
      <c r="J7" s="8">
        <f t="shared" si="0"/>
        <v>-1.6098008522136436</v>
      </c>
      <c r="L7"/>
      <c r="M7" s="262"/>
      <c r="N7" s="264"/>
      <c r="O7" s="262"/>
      <c r="Q7" s="287"/>
    </row>
    <row r="8" spans="4:17" x14ac:dyDescent="0.25">
      <c r="D8" s="6" t="s">
        <v>360</v>
      </c>
      <c r="E8" s="6"/>
      <c r="F8" s="125">
        <v>0</v>
      </c>
      <c r="G8" s="220">
        <v>-0.58341027117398503</v>
      </c>
      <c r="H8" s="209">
        <f>+Resumen!C6*(1+'Análisis de sensibilidad'!G8)</f>
        <v>4.9400834038046986</v>
      </c>
      <c r="I8" s="8">
        <f>+Resumen!C6</f>
        <v>11.858389830508473</v>
      </c>
      <c r="J8" s="8">
        <f t="shared" si="0"/>
        <v>-6.9183064267037748</v>
      </c>
      <c r="L8"/>
      <c r="M8" s="261"/>
      <c r="N8" s="261"/>
      <c r="O8" s="261"/>
      <c r="Q8" s="288"/>
    </row>
    <row r="9" spans="4:17" x14ac:dyDescent="0.25">
      <c r="D9" s="6" t="s">
        <v>357</v>
      </c>
      <c r="E9" s="6"/>
      <c r="F9" s="208">
        <v>0</v>
      </c>
      <c r="G9" s="290">
        <v>0.15502483021479399</v>
      </c>
      <c r="H9" s="209">
        <f>+Resumen!C10*(1+'Análisis de sensibilidad'!G9)</f>
        <v>9.3082276465488007</v>
      </c>
      <c r="I9" s="8">
        <f>+Resumen!C10</f>
        <v>8.058898305084746</v>
      </c>
      <c r="J9" s="8">
        <f t="shared" si="0"/>
        <v>1.2493293414640547</v>
      </c>
      <c r="L9"/>
      <c r="M9" s="262"/>
      <c r="N9" s="264"/>
      <c r="O9" s="262"/>
      <c r="Q9" s="289"/>
    </row>
    <row r="10" spans="4:17" x14ac:dyDescent="0.25">
      <c r="D10" s="6" t="s">
        <v>361</v>
      </c>
      <c r="E10" s="6"/>
      <c r="F10" s="208">
        <v>0</v>
      </c>
      <c r="G10" s="220">
        <v>0.19232221939786401</v>
      </c>
      <c r="H10" s="209">
        <f>+Resumen!C11*(1+'Análisis de sensibilidad'!G10)</f>
        <v>9.7719899862684265</v>
      </c>
      <c r="I10" s="8">
        <f>+Resumen!C11</f>
        <v>8.1957627118644076</v>
      </c>
      <c r="J10" s="8">
        <f t="shared" si="0"/>
        <v>1.5762272744040189</v>
      </c>
      <c r="L10"/>
      <c r="M10" s="262"/>
      <c r="N10" s="264"/>
      <c r="O10" s="262"/>
      <c r="Q10" s="286"/>
    </row>
    <row r="11" spans="4:17" x14ac:dyDescent="0.25">
      <c r="D11" s="6" t="s">
        <v>362</v>
      </c>
      <c r="E11" s="6"/>
      <c r="F11" s="208">
        <v>0</v>
      </c>
      <c r="G11" s="220">
        <v>0.80135379251310801</v>
      </c>
      <c r="H11" s="209">
        <f>+Resumen!C12*(1+'Análisis de sensibilidad'!G11)</f>
        <v>15.22754583077818</v>
      </c>
      <c r="I11" s="8">
        <f>+Resumen!C12</f>
        <v>8.453389830508474</v>
      </c>
      <c r="J11" s="8">
        <f t="shared" si="0"/>
        <v>6.7741560002697057</v>
      </c>
      <c r="L11"/>
      <c r="M11" s="262"/>
      <c r="N11" s="264"/>
      <c r="O11" s="262"/>
    </row>
    <row r="12" spans="4:17" x14ac:dyDescent="0.25">
      <c r="D12" s="6" t="s">
        <v>365</v>
      </c>
      <c r="E12" s="6"/>
      <c r="F12" s="208">
        <v>0</v>
      </c>
      <c r="G12" s="126">
        <v>0.33899081758107602</v>
      </c>
      <c r="H12" s="34">
        <f>+'Inversión inicial'!F8*(1+'Análisis de sensibilidad'!G12)</f>
        <v>1004544.4785198554</v>
      </c>
      <c r="I12" s="34">
        <f>+'Inversión inicial'!F8</f>
        <v>750225.06900726387</v>
      </c>
      <c r="J12" s="8">
        <f t="shared" si="0"/>
        <v>254319.40951259155</v>
      </c>
      <c r="L12"/>
      <c r="M12" s="262"/>
      <c r="N12" s="264"/>
      <c r="O12" s="262"/>
    </row>
    <row r="13" spans="4:17" x14ac:dyDescent="0.25">
      <c r="D13" s="6" t="s">
        <v>367</v>
      </c>
      <c r="E13" s="6"/>
      <c r="F13" s="208">
        <v>0</v>
      </c>
      <c r="G13" s="126">
        <v>-1.39559566514371</v>
      </c>
      <c r="H13" s="208">
        <f>+Resumen!F7*(1+'Análisis de sensibilidad'!G13)</f>
        <v>-2.7691696560059705E-2</v>
      </c>
      <c r="I13" s="125">
        <f>+Resumen!F7</f>
        <v>7.0000000000000007E-2</v>
      </c>
      <c r="J13" s="208">
        <f t="shared" si="0"/>
        <v>-9.7691696560059715E-2</v>
      </c>
      <c r="L13"/>
      <c r="M13" s="262"/>
      <c r="N13" s="264"/>
      <c r="O13" s="262"/>
    </row>
    <row r="14" spans="4:17" x14ac:dyDescent="0.25">
      <c r="L14"/>
      <c r="M14" s="262"/>
      <c r="N14" s="264"/>
      <c r="O14" s="262"/>
    </row>
    <row r="16" spans="4:17" x14ac:dyDescent="0.25">
      <c r="D16" s="180" t="s">
        <v>386</v>
      </c>
    </row>
    <row r="18" spans="4:25" x14ac:dyDescent="0.25">
      <c r="D18" s="338" t="s">
        <v>377</v>
      </c>
      <c r="E18" s="338"/>
      <c r="F18" s="338"/>
      <c r="G18" s="338"/>
      <c r="H18" s="338"/>
      <c r="I18" s="338"/>
      <c r="K18" s="338" t="s">
        <v>378</v>
      </c>
      <c r="L18" s="338"/>
      <c r="M18" s="338"/>
      <c r="N18" s="338"/>
      <c r="O18" s="338"/>
      <c r="P18" s="338"/>
      <c r="Q18" s="257"/>
      <c r="R18" s="257"/>
      <c r="T18" s="338" t="s">
        <v>379</v>
      </c>
      <c r="U18" s="338"/>
      <c r="V18" s="338"/>
      <c r="W18" s="338"/>
      <c r="X18" s="338"/>
      <c r="Y18" s="338"/>
    </row>
    <row r="19" spans="4:25" x14ac:dyDescent="0.25">
      <c r="D19" s="212" t="s">
        <v>375</v>
      </c>
      <c r="E19" s="212" t="s">
        <v>376</v>
      </c>
      <c r="F19" s="212" t="s">
        <v>374</v>
      </c>
      <c r="G19" s="212" t="s">
        <v>354</v>
      </c>
      <c r="H19" s="212" t="s">
        <v>355</v>
      </c>
      <c r="I19" s="212" t="s">
        <v>356</v>
      </c>
      <c r="K19" s="6" t="s">
        <v>375</v>
      </c>
      <c r="L19" s="6" t="s">
        <v>376</v>
      </c>
      <c r="M19" s="212" t="s">
        <v>374</v>
      </c>
      <c r="N19" s="212" t="s">
        <v>354</v>
      </c>
      <c r="O19" s="212" t="s">
        <v>355</v>
      </c>
      <c r="P19" s="212" t="s">
        <v>356</v>
      </c>
      <c r="Q19" s="245"/>
      <c r="R19" s="245"/>
      <c r="T19" s="6" t="s">
        <v>375</v>
      </c>
      <c r="U19" s="6" t="s">
        <v>376</v>
      </c>
      <c r="V19" s="212" t="s">
        <v>374</v>
      </c>
      <c r="W19" s="212" t="s">
        <v>354</v>
      </c>
      <c r="X19" s="212" t="s">
        <v>355</v>
      </c>
      <c r="Y19" s="212" t="s">
        <v>356</v>
      </c>
    </row>
    <row r="20" spans="4:25" x14ac:dyDescent="0.25">
      <c r="D20" s="237"/>
      <c r="E20" s="238"/>
      <c r="F20" s="239">
        <f>+Rentabilidad!C11</f>
        <v>316805.56253815291</v>
      </c>
      <c r="G20" s="223">
        <f>+Rentabilidad!C13</f>
        <v>0.23884180992146797</v>
      </c>
      <c r="H20" s="233">
        <f>+Rentabilidad!C23</f>
        <v>357391.08429331303</v>
      </c>
      <c r="I20" s="223">
        <f>+Rentabilidad!C25</f>
        <v>0.24784495167564535</v>
      </c>
      <c r="K20" s="224"/>
      <c r="L20" s="224"/>
      <c r="M20" s="225">
        <f>+Rentabilidad!C11</f>
        <v>316805.56253815291</v>
      </c>
      <c r="N20" s="226">
        <f>+Rentabilidad!C13</f>
        <v>0.23884180992146797</v>
      </c>
      <c r="O20" s="227">
        <f>+Rentabilidad!C23</f>
        <v>357391.08429331303</v>
      </c>
      <c r="P20" s="226">
        <f>+Rentabilidad!C25</f>
        <v>0.24784495167564535</v>
      </c>
      <c r="Q20" s="259"/>
      <c r="R20" s="259"/>
      <c r="T20" s="224"/>
      <c r="U20" s="224"/>
      <c r="V20" s="230">
        <f>+Rentabilidad!C11</f>
        <v>316805.56253815291</v>
      </c>
      <c r="W20" s="226">
        <f>+Rentabilidad!C13</f>
        <v>0.23884180992146797</v>
      </c>
      <c r="X20" s="227">
        <f>+Rentabilidad!C23</f>
        <v>357391.08429331303</v>
      </c>
      <c r="Y20" s="226">
        <f>+Rentabilidad!C25</f>
        <v>0.24784495167564535</v>
      </c>
    </row>
    <row r="21" spans="4:25" x14ac:dyDescent="0.25">
      <c r="D21" s="255">
        <f t="shared" ref="D21:D22" si="1">+$D$26*(1+E21)</f>
        <v>8.8518853774158774</v>
      </c>
      <c r="E21" s="241">
        <f t="shared" ref="E21:E24" si="2">+E22-0.04</f>
        <v>-0.195902637001483</v>
      </c>
      <c r="F21" s="8">
        <f t="dataTable" ref="F21:I31" dt2D="0" dtr="0" r1="F6"/>
        <v>-77362.650613899925</v>
      </c>
      <c r="G21" s="220">
        <v>0.13975062162965179</v>
      </c>
      <c r="H21" s="234">
        <v>-36777.128858739779</v>
      </c>
      <c r="I21" s="220">
        <v>0.14864049848300476</v>
      </c>
      <c r="K21" s="255">
        <f t="shared" ref="K21:K23" si="3">+$K$26*(1+L21)</f>
        <v>8.5523008427016105</v>
      </c>
      <c r="L21" s="241">
        <f t="shared" ref="L21:L24" si="4">+L22-0.04</f>
        <v>-0.22573922093080401</v>
      </c>
      <c r="M21" s="6">
        <f t="dataTable" ref="M21:P31" dt2D="0" dtr="0" r1="F7" ca="1"/>
        <v>-45103.231158775161</v>
      </c>
      <c r="N21" s="220">
        <v>0.14828154169796592</v>
      </c>
      <c r="O21" s="228">
        <v>-4517.7094036150156</v>
      </c>
      <c r="P21" s="220">
        <v>0.15720221441189852</v>
      </c>
      <c r="Q21" s="259"/>
      <c r="R21" s="259"/>
      <c r="T21" s="240">
        <f t="shared" ref="T21:T24" si="5">+$T$26*(1+U21)</f>
        <v>9.1413823504426954</v>
      </c>
      <c r="U21" s="241">
        <f t="shared" ref="U21:U24" si="6">+U22-0.04</f>
        <v>-0.22912111331301002</v>
      </c>
      <c r="V21" s="231">
        <f t="dataTable" ref="V21:Y31" dt2D="0" dtr="0" r1="F8" ca="1"/>
        <v>225200.88572177652</v>
      </c>
      <c r="W21" s="220">
        <v>0.21673812689118233</v>
      </c>
      <c r="X21" s="228">
        <v>265786.40747693664</v>
      </c>
      <c r="Y21" s="220">
        <v>0.22570473694634341</v>
      </c>
    </row>
    <row r="22" spans="4:25" x14ac:dyDescent="0.25">
      <c r="D22" s="255">
        <f t="shared" si="1"/>
        <v>9.2922243604667258</v>
      </c>
      <c r="E22" s="241">
        <f t="shared" si="2"/>
        <v>-0.15590263700148299</v>
      </c>
      <c r="F22" s="8">
        <v>3119.8215335414279</v>
      </c>
      <c r="G22" s="220">
        <v>0.16094107917548151</v>
      </c>
      <c r="H22" s="234">
        <v>43705.343288701573</v>
      </c>
      <c r="I22" s="220">
        <v>0.16984328594014064</v>
      </c>
      <c r="K22" s="255">
        <f t="shared" si="3"/>
        <v>8.994131351176188</v>
      </c>
      <c r="L22" s="241">
        <f t="shared" si="4"/>
        <v>-0.185739220930804</v>
      </c>
      <c r="M22" s="6">
        <v>19025.419982067426</v>
      </c>
      <c r="N22" s="220">
        <v>0.16507207429063953</v>
      </c>
      <c r="O22" s="228">
        <v>59610.941737227571</v>
      </c>
      <c r="P22" s="220">
        <v>0.17399940365851174</v>
      </c>
      <c r="Q22" s="259"/>
      <c r="R22" s="259"/>
      <c r="T22" s="240">
        <f t="shared" si="5"/>
        <v>9.6157179436630358</v>
      </c>
      <c r="U22" s="241">
        <f t="shared" si="6"/>
        <v>-0.18912111331301001</v>
      </c>
      <c r="V22" s="231">
        <v>241193.24460862123</v>
      </c>
      <c r="W22" s="220">
        <v>0.22063009357310293</v>
      </c>
      <c r="X22" s="228">
        <v>281778.76636378135</v>
      </c>
      <c r="Y22" s="220">
        <v>0.22960265985753159</v>
      </c>
    </row>
    <row r="23" spans="4:25" x14ac:dyDescent="0.25">
      <c r="D23" s="255">
        <f>+$D$26*(1+E23)</f>
        <v>9.7325633435175742</v>
      </c>
      <c r="E23" s="241">
        <f>+G6</f>
        <v>-0.115902637001483</v>
      </c>
      <c r="F23" s="8">
        <v>83602.293680982315</v>
      </c>
      <c r="G23" s="220">
        <v>0.18157145085601156</v>
      </c>
      <c r="H23" s="234">
        <v>124187.81543614247</v>
      </c>
      <c r="I23" s="220">
        <v>0.19049195862168755</v>
      </c>
      <c r="K23" s="255">
        <f t="shared" si="3"/>
        <v>9.4359618596507637</v>
      </c>
      <c r="L23" s="241">
        <f>+G7</f>
        <v>-0.14573922093080399</v>
      </c>
      <c r="M23" s="6">
        <v>83154.071122910245</v>
      </c>
      <c r="N23" s="220">
        <v>0.18149841617555751</v>
      </c>
      <c r="O23" s="228">
        <v>123739.5928780704</v>
      </c>
      <c r="P23" s="220">
        <v>0.19043610149464807</v>
      </c>
      <c r="Q23" s="259"/>
      <c r="R23" s="259"/>
      <c r="T23" s="240">
        <f t="shared" si="5"/>
        <v>10.090053536883374</v>
      </c>
      <c r="U23" s="241">
        <v>-0.14912111331301001</v>
      </c>
      <c r="V23" s="231">
        <v>257185.60349546571</v>
      </c>
      <c r="W23" s="220">
        <v>0.22450756413691919</v>
      </c>
      <c r="X23" s="228">
        <v>297771.12525062583</v>
      </c>
      <c r="Y23" s="220">
        <v>0.23348626931009142</v>
      </c>
    </row>
    <row r="24" spans="4:25" x14ac:dyDescent="0.25">
      <c r="D24" s="255">
        <f>+$D$26*(1+E24)</f>
        <v>10.127796610169492</v>
      </c>
      <c r="E24" s="241">
        <f t="shared" si="2"/>
        <v>-0.08</v>
      </c>
      <c r="F24" s="8">
        <v>155840.6182432709</v>
      </c>
      <c r="G24" s="220">
        <v>0.19967446705294534</v>
      </c>
      <c r="H24" s="234">
        <v>196426.13999843106</v>
      </c>
      <c r="I24" s="220">
        <v>0.20861612761461212</v>
      </c>
      <c r="K24" s="255">
        <f>+$K$26*(1+L24)</f>
        <v>10.162101694915256</v>
      </c>
      <c r="L24" s="241">
        <f t="shared" si="4"/>
        <v>-0.08</v>
      </c>
      <c r="M24" s="6">
        <v>188548.26025646785</v>
      </c>
      <c r="N24" s="220">
        <v>0.20780473242054787</v>
      </c>
      <c r="O24" s="228">
        <v>229133.78201162801</v>
      </c>
      <c r="P24" s="220">
        <v>0.21676689153353146</v>
      </c>
      <c r="Q24" s="259"/>
      <c r="R24" s="259"/>
      <c r="T24" s="240">
        <f t="shared" si="5"/>
        <v>10.909718644067796</v>
      </c>
      <c r="U24" s="241">
        <f t="shared" si="6"/>
        <v>-0.08</v>
      </c>
      <c r="V24" s="231">
        <v>284820.84476446372</v>
      </c>
      <c r="W24" s="220">
        <v>0.23117495287989254</v>
      </c>
      <c r="X24" s="228">
        <v>325406.36651962384</v>
      </c>
      <c r="Y24" s="220">
        <v>0.24016468641573807</v>
      </c>
    </row>
    <row r="25" spans="4:25" x14ac:dyDescent="0.25">
      <c r="D25" s="255">
        <f>+$D$26*(1+E25)</f>
        <v>10.568135593220338</v>
      </c>
      <c r="E25" s="241">
        <f>+E26-0.04</f>
        <v>-0.04</v>
      </c>
      <c r="F25" s="8">
        <v>236323.09039071191</v>
      </c>
      <c r="G25" s="220">
        <v>0.21944223687849629</v>
      </c>
      <c r="H25" s="234">
        <v>276908.61214587203</v>
      </c>
      <c r="I25" s="220">
        <v>0.22841230757101516</v>
      </c>
      <c r="K25" s="255">
        <f>+$K$26*(1+L25)</f>
        <v>10.60393220338983</v>
      </c>
      <c r="L25" s="241">
        <f>+L26-0.04</f>
        <v>-0.04</v>
      </c>
      <c r="M25" s="6">
        <v>252676.91139731079</v>
      </c>
      <c r="N25" s="220">
        <v>0.22344450942592808</v>
      </c>
      <c r="O25" s="228">
        <v>293262.43315247091</v>
      </c>
      <c r="P25" s="220">
        <v>0.23242572432301745</v>
      </c>
      <c r="Q25" s="259"/>
      <c r="R25" s="259"/>
      <c r="T25" s="240">
        <f>+$T$26*(1+U25)</f>
        <v>11.384054237288135</v>
      </c>
      <c r="U25" s="241">
        <f>+U26-0.04</f>
        <v>-0.04</v>
      </c>
      <c r="V25" s="231">
        <v>300813.20365130843</v>
      </c>
      <c r="W25" s="220">
        <v>0.23501490322944463</v>
      </c>
      <c r="X25" s="228">
        <v>341398.72540646855</v>
      </c>
      <c r="Y25" s="220">
        <v>0.24401125605640628</v>
      </c>
    </row>
    <row r="26" spans="4:25" x14ac:dyDescent="0.25">
      <c r="D26" s="256">
        <f>+Resumen!C4</f>
        <v>11.008474576271187</v>
      </c>
      <c r="E26" s="243">
        <v>0</v>
      </c>
      <c r="F26" s="236">
        <v>316805.56253815291</v>
      </c>
      <c r="G26" s="222">
        <v>0.23884180992146797</v>
      </c>
      <c r="H26" s="235">
        <v>357391.08429331303</v>
      </c>
      <c r="I26" s="222">
        <v>0.24784495167564535</v>
      </c>
      <c r="K26" s="256">
        <f>+Resumen!C5</f>
        <v>11.045762711864407</v>
      </c>
      <c r="L26" s="243">
        <v>0</v>
      </c>
      <c r="M26" s="221">
        <v>316805.56253815291</v>
      </c>
      <c r="N26" s="222">
        <v>0.23884180992146797</v>
      </c>
      <c r="O26" s="229">
        <v>357391.08429331303</v>
      </c>
      <c r="P26" s="222">
        <v>0.24784495167564535</v>
      </c>
      <c r="Q26" s="259"/>
      <c r="R26" s="259"/>
      <c r="T26" s="242">
        <f>+Resumen!C6</f>
        <v>11.858389830508473</v>
      </c>
      <c r="U26" s="243">
        <v>0</v>
      </c>
      <c r="V26" s="232">
        <v>316805.56253815291</v>
      </c>
      <c r="W26" s="222">
        <v>0.23884180992146797</v>
      </c>
      <c r="X26" s="229">
        <v>357391.08429331303</v>
      </c>
      <c r="Y26" s="222">
        <v>0.24784495167564535</v>
      </c>
    </row>
    <row r="27" spans="4:25" x14ac:dyDescent="0.25">
      <c r="D27" s="255">
        <f>+$D$26*(1+E27)</f>
        <v>11.448813559322035</v>
      </c>
      <c r="E27" s="241">
        <f>+E26+0.04</f>
        <v>0.04</v>
      </c>
      <c r="F27" s="8">
        <v>397288.03468559438</v>
      </c>
      <c r="G27" s="220">
        <v>0.25792234718354146</v>
      </c>
      <c r="H27" s="234">
        <v>437873.5564407545</v>
      </c>
      <c r="I27" s="220">
        <v>0.2669627777139254</v>
      </c>
      <c r="K27" s="255">
        <f>+$K$26*(1+L27)</f>
        <v>11.487593220338985</v>
      </c>
      <c r="L27" s="241">
        <f>+L26+0.04</f>
        <v>0.04</v>
      </c>
      <c r="M27" s="6">
        <v>380934.2136789962</v>
      </c>
      <c r="N27" s="220">
        <v>0.25402173768441028</v>
      </c>
      <c r="O27" s="228">
        <v>421519.73543415632</v>
      </c>
      <c r="P27" s="220">
        <v>0.26304945494119769</v>
      </c>
      <c r="Q27" s="259"/>
      <c r="R27" s="259"/>
      <c r="T27" s="240">
        <f>+$T$26*(1+U27)</f>
        <v>12.332725423728812</v>
      </c>
      <c r="U27" s="241">
        <f>+U26+0.04</f>
        <v>0.04</v>
      </c>
      <c r="V27" s="231">
        <v>332797.92142499785</v>
      </c>
      <c r="W27" s="220">
        <v>0.24265603722662599</v>
      </c>
      <c r="X27" s="228">
        <v>373383.44318015798</v>
      </c>
      <c r="Y27" s="220">
        <v>0.25166613413453898</v>
      </c>
    </row>
    <row r="28" spans="4:25" x14ac:dyDescent="0.25">
      <c r="D28" s="255">
        <f t="shared" ref="D28:D31" si="7">+$D$26*(1+E28)</f>
        <v>11.889152542372882</v>
      </c>
      <c r="E28" s="241">
        <f t="shared" ref="E28:E31" si="8">+E27+0.04</f>
        <v>0.08</v>
      </c>
      <c r="F28" s="8">
        <v>477770.50683303538</v>
      </c>
      <c r="G28" s="220">
        <v>0.27672657738004403</v>
      </c>
      <c r="H28" s="234">
        <v>518356.02858819551</v>
      </c>
      <c r="I28" s="220">
        <v>0.28580809548685782</v>
      </c>
      <c r="K28" s="255">
        <f t="shared" ref="K28:K31" si="9">+$K$26*(1+L28)</f>
        <v>11.929423728813561</v>
      </c>
      <c r="L28" s="241">
        <f t="shared" ref="L28:L31" si="10">+L27+0.04</f>
        <v>0.08</v>
      </c>
      <c r="M28" s="6">
        <v>445062.86481983855</v>
      </c>
      <c r="N28" s="220">
        <v>0.2690067106545464</v>
      </c>
      <c r="O28" s="228">
        <v>485648.38657499867</v>
      </c>
      <c r="P28" s="220">
        <v>0.27806143948687612</v>
      </c>
      <c r="Q28" s="259"/>
      <c r="R28" s="259"/>
      <c r="T28" s="240">
        <f t="shared" ref="T28:T31" si="11">+$T$26*(1+U28)</f>
        <v>12.807061016949152</v>
      </c>
      <c r="U28" s="241">
        <f t="shared" ref="U28:U31" si="12">+U27+0.04</f>
        <v>0.08</v>
      </c>
      <c r="V28" s="231">
        <v>348790.28031184257</v>
      </c>
      <c r="W28" s="220">
        <v>0.24645793940634131</v>
      </c>
      <c r="X28" s="228">
        <v>389375.80206700269</v>
      </c>
      <c r="Y28" s="220">
        <v>0.25547515432391577</v>
      </c>
    </row>
    <row r="29" spans="4:25" x14ac:dyDescent="0.25">
      <c r="D29" s="255">
        <f t="shared" si="7"/>
        <v>12.32949152542373</v>
      </c>
      <c r="E29" s="241">
        <f t="shared" si="8"/>
        <v>0.12</v>
      </c>
      <c r="F29" s="8">
        <v>558252.97898047708</v>
      </c>
      <c r="G29" s="220">
        <v>0.29529182532262443</v>
      </c>
      <c r="H29" s="234">
        <v>598838.50073563727</v>
      </c>
      <c r="I29" s="220">
        <v>0.30441783846415005</v>
      </c>
      <c r="K29" s="255">
        <f t="shared" si="9"/>
        <v>12.371254237288138</v>
      </c>
      <c r="L29" s="241">
        <f t="shared" si="10"/>
        <v>0.12</v>
      </c>
      <c r="M29" s="6">
        <v>509191.5159606816</v>
      </c>
      <c r="N29" s="220">
        <v>0.2838168133731731</v>
      </c>
      <c r="O29" s="228">
        <v>549777.03771584178</v>
      </c>
      <c r="P29" s="220">
        <v>0.29290078845592582</v>
      </c>
      <c r="Q29" s="259"/>
      <c r="R29" s="259"/>
      <c r="T29" s="240">
        <f t="shared" si="11"/>
        <v>13.281396610169491</v>
      </c>
      <c r="U29" s="241">
        <f t="shared" si="12"/>
        <v>0.12</v>
      </c>
      <c r="V29" s="231">
        <v>364782.63919868751</v>
      </c>
      <c r="W29" s="220">
        <v>0.25024786105782937</v>
      </c>
      <c r="X29" s="228">
        <v>405368.16095384763</v>
      </c>
      <c r="Y29" s="220">
        <v>0.25927235351075573</v>
      </c>
    </row>
    <row r="30" spans="4:25" x14ac:dyDescent="0.25">
      <c r="D30" s="255">
        <f t="shared" si="7"/>
        <v>12.769830508474575</v>
      </c>
      <c r="E30" s="241">
        <f t="shared" si="8"/>
        <v>0.16</v>
      </c>
      <c r="F30" s="8">
        <v>638735.45112791739</v>
      </c>
      <c r="G30" s="220">
        <v>0.31365084790121212</v>
      </c>
      <c r="H30" s="234">
        <v>679320.97288307757</v>
      </c>
      <c r="I30" s="220">
        <v>0.3228244004015155</v>
      </c>
      <c r="K30" s="255">
        <f t="shared" si="9"/>
        <v>12.813084745762712</v>
      </c>
      <c r="L30" s="241">
        <f t="shared" si="10"/>
        <v>0.16</v>
      </c>
      <c r="M30" s="6">
        <v>573320.16710152396</v>
      </c>
      <c r="N30" s="220">
        <v>0.29847009530409552</v>
      </c>
      <c r="O30" s="228">
        <v>613905.68885668414</v>
      </c>
      <c r="P30" s="220">
        <v>0.3075853615883215</v>
      </c>
      <c r="Q30" s="259"/>
      <c r="R30" s="259"/>
      <c r="T30" s="240">
        <f t="shared" si="11"/>
        <v>13.755732203389828</v>
      </c>
      <c r="U30" s="241">
        <f t="shared" si="12"/>
        <v>0.16</v>
      </c>
      <c r="V30" s="231">
        <v>380774.99808553199</v>
      </c>
      <c r="W30" s="220">
        <v>0.25402613744496216</v>
      </c>
      <c r="X30" s="228">
        <v>421360.51984069211</v>
      </c>
      <c r="Y30" s="220">
        <v>0.26305806367019247</v>
      </c>
    </row>
    <row r="31" spans="4:25" x14ac:dyDescent="0.25">
      <c r="D31" s="255">
        <f t="shared" si="7"/>
        <v>13.210169491525424</v>
      </c>
      <c r="E31" s="241">
        <f t="shared" si="8"/>
        <v>0.2</v>
      </c>
      <c r="F31" s="8">
        <v>719217.92327535863</v>
      </c>
      <c r="G31" s="220">
        <v>0.3318325172467107</v>
      </c>
      <c r="H31" s="234">
        <v>759803.44503051881</v>
      </c>
      <c r="I31" s="220">
        <v>0.34105631768707001</v>
      </c>
      <c r="K31" s="255">
        <f t="shared" si="9"/>
        <v>13.254915254237288</v>
      </c>
      <c r="L31" s="241">
        <f t="shared" si="10"/>
        <v>0.2</v>
      </c>
      <c r="M31" s="6">
        <v>637448.81824236631</v>
      </c>
      <c r="N31" s="220">
        <v>0.31298282418526568</v>
      </c>
      <c r="O31" s="228">
        <v>678034.33999752649</v>
      </c>
      <c r="P31" s="220">
        <v>0.32213124855420516</v>
      </c>
      <c r="Q31" s="259"/>
      <c r="R31" s="259"/>
      <c r="T31" s="240">
        <f t="shared" si="11"/>
        <v>14.230067796610168</v>
      </c>
      <c r="U31" s="241">
        <f t="shared" si="12"/>
        <v>0.2</v>
      </c>
      <c r="V31" s="231">
        <v>396767.3569723767</v>
      </c>
      <c r="W31" s="220">
        <v>0.25779309481561863</v>
      </c>
      <c r="X31" s="228">
        <v>437352.87872753682</v>
      </c>
      <c r="Y31" s="220">
        <v>0.26683260780377882</v>
      </c>
    </row>
    <row r="32" spans="4:25" x14ac:dyDescent="0.25">
      <c r="Q32" s="202"/>
      <c r="R32" s="202"/>
    </row>
    <row r="33" spans="4:25" x14ac:dyDescent="0.25">
      <c r="Q33" s="202"/>
      <c r="R33" s="202"/>
    </row>
    <row r="34" spans="4:25" x14ac:dyDescent="0.25">
      <c r="D34" s="338" t="s">
        <v>380</v>
      </c>
      <c r="E34" s="338"/>
      <c r="F34" s="338"/>
      <c r="G34" s="338"/>
      <c r="H34" s="338"/>
      <c r="I34" s="338"/>
      <c r="K34" s="338" t="s">
        <v>381</v>
      </c>
      <c r="L34" s="338"/>
      <c r="M34" s="338"/>
      <c r="N34" s="338"/>
      <c r="O34" s="338"/>
      <c r="P34" s="338"/>
      <c r="Q34" s="260"/>
      <c r="R34" s="260"/>
      <c r="T34" s="338" t="s">
        <v>382</v>
      </c>
      <c r="U34" s="338"/>
      <c r="V34" s="338"/>
      <c r="W34" s="338"/>
      <c r="X34" s="338"/>
      <c r="Y34" s="338"/>
    </row>
    <row r="35" spans="4:25" x14ac:dyDescent="0.25">
      <c r="D35" s="212" t="s">
        <v>375</v>
      </c>
      <c r="E35" s="212" t="s">
        <v>376</v>
      </c>
      <c r="F35" s="212" t="s">
        <v>374</v>
      </c>
      <c r="G35" s="212" t="s">
        <v>354</v>
      </c>
      <c r="H35" s="212" t="s">
        <v>355</v>
      </c>
      <c r="I35" s="212" t="s">
        <v>356</v>
      </c>
      <c r="K35" s="6" t="s">
        <v>375</v>
      </c>
      <c r="L35" s="6" t="s">
        <v>376</v>
      </c>
      <c r="M35" s="212" t="s">
        <v>374</v>
      </c>
      <c r="N35" s="212" t="s">
        <v>354</v>
      </c>
      <c r="O35" s="212" t="s">
        <v>355</v>
      </c>
      <c r="P35" s="212" t="s">
        <v>356</v>
      </c>
      <c r="Q35" s="203"/>
      <c r="R35" s="203"/>
      <c r="T35" s="6" t="s">
        <v>375</v>
      </c>
      <c r="U35" s="6" t="s">
        <v>376</v>
      </c>
      <c r="V35" s="219" t="s">
        <v>374</v>
      </c>
      <c r="W35" s="219" t="s">
        <v>354</v>
      </c>
      <c r="X35" s="219" t="s">
        <v>355</v>
      </c>
      <c r="Y35" s="219" t="s">
        <v>356</v>
      </c>
    </row>
    <row r="36" spans="4:25" x14ac:dyDescent="0.25">
      <c r="D36" s="237"/>
      <c r="E36" s="238"/>
      <c r="F36" s="239">
        <f>+Rentabilidad!C11</f>
        <v>316805.56253815291</v>
      </c>
      <c r="G36" s="223">
        <f>+Rentabilidad!C13</f>
        <v>0.23884180992146797</v>
      </c>
      <c r="H36" s="233">
        <f>+Rentabilidad!C23</f>
        <v>357391.08429331303</v>
      </c>
      <c r="I36" s="223">
        <f>+Rentabilidad!C25</f>
        <v>0.24784495167564535</v>
      </c>
      <c r="K36" s="224"/>
      <c r="L36" s="224"/>
      <c r="M36" s="225">
        <f>+Rentabilidad!C11</f>
        <v>316805.56253815291</v>
      </c>
      <c r="N36" s="226">
        <f>+Rentabilidad!C13</f>
        <v>0.23884180992146797</v>
      </c>
      <c r="O36" s="227">
        <f>+Rentabilidad!C23</f>
        <v>357391.08429331303</v>
      </c>
      <c r="P36" s="226">
        <f>+Rentabilidad!C25</f>
        <v>0.24784495167564535</v>
      </c>
      <c r="Q36" s="259"/>
      <c r="R36" s="259"/>
      <c r="T36" s="224"/>
      <c r="U36" s="224"/>
      <c r="V36" s="230">
        <f>+Rentabilidad!C11</f>
        <v>316805.56253815291</v>
      </c>
      <c r="W36" s="226">
        <f>+Rentabilidad!C13</f>
        <v>0.23884180992146797</v>
      </c>
      <c r="X36" s="227">
        <f>+Rentabilidad!C23</f>
        <v>357391.08429331303</v>
      </c>
      <c r="Y36" s="226">
        <f>+Rentabilidad!C25</f>
        <v>0.24784495167564535</v>
      </c>
    </row>
    <row r="37" spans="4:25" x14ac:dyDescent="0.25">
      <c r="D37" s="240">
        <f t="shared" ref="D37:D40" si="13">+$D$42*(1+E37)</f>
        <v>6.4584642138571295</v>
      </c>
      <c r="E37" s="241">
        <f t="shared" ref="E37:E40" si="14">+E38-0.04</f>
        <v>-0.19859216863647799</v>
      </c>
      <c r="F37" s="8">
        <f t="dataTable" ref="F37:I47" dt2D="0" dtr="0" r1="F9" ca="1"/>
        <v>615733.59301484481</v>
      </c>
      <c r="G37" s="220">
        <v>0.30979554639384643</v>
      </c>
      <c r="H37" s="234">
        <v>656319.11477000499</v>
      </c>
      <c r="I37" s="220">
        <v>0.31904297054396791</v>
      </c>
      <c r="K37" s="240">
        <f t="shared" ref="K37:K40" si="15">+$K$42*(1+L37)</f>
        <v>6.3179404348727806</v>
      </c>
      <c r="L37" s="241">
        <f t="shared" ref="L37:L40" si="16">+L38-0.04</f>
        <v>-0.22912111331301002</v>
      </c>
      <c r="M37" s="8">
        <f t="dataTable" ref="M37:P47" dt2D="0" dtr="0" r1="F10" ca="1"/>
        <v>595323.60427369771</v>
      </c>
      <c r="N37" s="220">
        <v>0.30469483860235358</v>
      </c>
      <c r="O37" s="228">
        <v>635909.12602885789</v>
      </c>
      <c r="P37" s="220">
        <v>0.31390190668944751</v>
      </c>
      <c r="Q37" s="259"/>
      <c r="R37" s="259"/>
      <c r="T37" s="240">
        <f t="shared" ref="T37:T40" si="17">+$T$42*(1+U37)</f>
        <v>6.5165397412734958</v>
      </c>
      <c r="U37" s="241">
        <f t="shared" ref="U37:U40" si="18">+U38-0.04</f>
        <v>-0.22912111331301002</v>
      </c>
      <c r="V37" s="231">
        <f t="dataTable" ref="V37:Y47" dt2D="0" dtr="0" r1="F11" ca="1"/>
        <v>383537.87037676387</v>
      </c>
      <c r="W37" s="220">
        <v>0.25487923726973483</v>
      </c>
      <c r="X37" s="228">
        <v>424123.39213192399</v>
      </c>
      <c r="Y37" s="220">
        <v>0.26393208423187176</v>
      </c>
    </row>
    <row r="38" spans="4:25" x14ac:dyDescent="0.25">
      <c r="D38" s="240">
        <f t="shared" si="13"/>
        <v>6.7808201460605195</v>
      </c>
      <c r="E38" s="241">
        <f t="shared" si="14"/>
        <v>-0.15859216863647799</v>
      </c>
      <c r="F38" s="8">
        <v>555524.16330185789</v>
      </c>
      <c r="G38" s="220">
        <v>0.29566725730224808</v>
      </c>
      <c r="H38" s="234">
        <v>596109.68505701807</v>
      </c>
      <c r="I38" s="220">
        <v>0.30486172370177655</v>
      </c>
      <c r="K38" s="240">
        <f t="shared" si="15"/>
        <v>6.6457709433473573</v>
      </c>
      <c r="L38" s="241">
        <f t="shared" si="16"/>
        <v>-0.18912111331301001</v>
      </c>
      <c r="M38" s="8">
        <v>546699.88074018771</v>
      </c>
      <c r="N38" s="220">
        <v>0.29334854775041297</v>
      </c>
      <c r="O38" s="228">
        <v>587285.40249534789</v>
      </c>
      <c r="P38" s="220">
        <v>0.30251719537756072</v>
      </c>
      <c r="Q38" s="259"/>
      <c r="R38" s="259"/>
      <c r="T38" s="240">
        <f t="shared" si="17"/>
        <v>6.8546753344938347</v>
      </c>
      <c r="U38" s="241">
        <f t="shared" si="18"/>
        <v>-0.18912111331301001</v>
      </c>
      <c r="V38" s="231">
        <v>371887.73357816215</v>
      </c>
      <c r="W38" s="220">
        <v>0.25208970177112988</v>
      </c>
      <c r="X38" s="228">
        <v>412473.25533332227</v>
      </c>
      <c r="Y38" s="220">
        <v>0.26113368334151232</v>
      </c>
    </row>
    <row r="39" spans="4:25" x14ac:dyDescent="0.25">
      <c r="D39" s="240">
        <f t="shared" si="13"/>
        <v>7.1031760782639086</v>
      </c>
      <c r="E39" s="241">
        <v>-0.11859216863647799</v>
      </c>
      <c r="F39" s="8">
        <v>495314.73358887131</v>
      </c>
      <c r="G39" s="220">
        <v>0.28146959659185589</v>
      </c>
      <c r="H39" s="234">
        <v>535900.2553440315</v>
      </c>
      <c r="I39" s="220">
        <v>0.29061289743678453</v>
      </c>
      <c r="K39" s="240">
        <f t="shared" si="15"/>
        <v>6.9736014518219331</v>
      </c>
      <c r="L39" s="241">
        <v>-0.14912111331301001</v>
      </c>
      <c r="M39" s="8">
        <v>498076.15720667783</v>
      </c>
      <c r="N39" s="220">
        <v>0.28194735131284343</v>
      </c>
      <c r="O39" s="228">
        <v>538661.67896183801</v>
      </c>
      <c r="P39" s="220">
        <v>0.29107870447691675</v>
      </c>
      <c r="Q39" s="259"/>
      <c r="R39" s="259"/>
      <c r="T39" s="240">
        <f t="shared" si="17"/>
        <v>7.1928109277141736</v>
      </c>
      <c r="U39" s="241">
        <v>-0.14912111331301001</v>
      </c>
      <c r="V39" s="231">
        <v>360237.59677956079</v>
      </c>
      <c r="W39" s="220">
        <v>0.24929595954734829</v>
      </c>
      <c r="X39" s="228">
        <v>400823.11853472091</v>
      </c>
      <c r="Y39" s="220">
        <v>0.25833115426478637</v>
      </c>
    </row>
    <row r="40" spans="4:25" x14ac:dyDescent="0.25">
      <c r="D40" s="240">
        <f t="shared" si="13"/>
        <v>7.4141864406779669</v>
      </c>
      <c r="E40" s="241">
        <f t="shared" si="14"/>
        <v>-0.08</v>
      </c>
      <c r="F40" s="8">
        <v>437224.4219641271</v>
      </c>
      <c r="G40" s="220">
        <v>0.26769418592892658</v>
      </c>
      <c r="H40" s="234">
        <v>477809.94371928723</v>
      </c>
      <c r="I40" s="220">
        <v>0.27678991695478361</v>
      </c>
      <c r="K40" s="240">
        <f t="shared" si="15"/>
        <v>7.5401016949152551</v>
      </c>
      <c r="L40" s="241">
        <f t="shared" si="16"/>
        <v>-0.08</v>
      </c>
      <c r="M40" s="8">
        <v>414053.00960517279</v>
      </c>
      <c r="N40" s="220">
        <v>0.26209658915725464</v>
      </c>
      <c r="O40" s="228">
        <v>454638.53136033291</v>
      </c>
      <c r="P40" s="220">
        <v>0.27116630671157371</v>
      </c>
      <c r="Q40" s="259"/>
      <c r="R40" s="259"/>
      <c r="T40" s="240">
        <f t="shared" si="17"/>
        <v>7.7771186440677962</v>
      </c>
      <c r="U40" s="241">
        <f t="shared" si="18"/>
        <v>-0.08</v>
      </c>
      <c r="V40" s="231">
        <v>340105.83613535599</v>
      </c>
      <c r="W40" s="220">
        <v>0.24445804727588039</v>
      </c>
      <c r="X40" s="228">
        <v>380691.35789051611</v>
      </c>
      <c r="Y40" s="220">
        <v>0.25347824536733077</v>
      </c>
    </row>
    <row r="41" spans="4:25" x14ac:dyDescent="0.25">
      <c r="D41" s="240">
        <f>+$D$42*(1+E41)</f>
        <v>7.736542372881356</v>
      </c>
      <c r="E41" s="241">
        <f>+E42-0.04</f>
        <v>-0.04</v>
      </c>
      <c r="F41" s="8">
        <v>377014.99225113983</v>
      </c>
      <c r="G41" s="220">
        <v>0.2533228268195844</v>
      </c>
      <c r="H41" s="234">
        <v>417600.51400629996</v>
      </c>
      <c r="I41" s="220">
        <v>0.26237121383485862</v>
      </c>
      <c r="K41" s="240">
        <f>+$K$42*(1+L41)</f>
        <v>7.8679322033898309</v>
      </c>
      <c r="L41" s="241">
        <f>+L42-0.04</f>
        <v>-0.04</v>
      </c>
      <c r="M41" s="8">
        <v>365429.28607166314</v>
      </c>
      <c r="N41" s="220">
        <v>0.25051033222167507</v>
      </c>
      <c r="O41" s="228">
        <v>406014.80782682326</v>
      </c>
      <c r="P41" s="220">
        <v>0.25954609902274584</v>
      </c>
      <c r="Q41" s="259"/>
      <c r="R41" s="259"/>
      <c r="T41" s="240">
        <f>+$T$42*(1+U41)</f>
        <v>8.1152542372881342</v>
      </c>
      <c r="U41" s="241">
        <f>+U42-0.04</f>
        <v>-0.04</v>
      </c>
      <c r="V41" s="231">
        <v>328455.69933675474</v>
      </c>
      <c r="W41" s="220">
        <v>0.24165224787917272</v>
      </c>
      <c r="X41" s="228">
        <v>369041.22109191486</v>
      </c>
      <c r="Y41" s="220">
        <v>0.25066387715253091</v>
      </c>
    </row>
    <row r="42" spans="4:25" x14ac:dyDescent="0.25">
      <c r="D42" s="242">
        <f>+Resumen!C10</f>
        <v>8.058898305084746</v>
      </c>
      <c r="E42" s="243">
        <v>0</v>
      </c>
      <c r="F42" s="236">
        <v>316805.56253815291</v>
      </c>
      <c r="G42" s="222">
        <v>0.23884180992146797</v>
      </c>
      <c r="H42" s="235">
        <v>357391.08429331303</v>
      </c>
      <c r="I42" s="222">
        <v>0.24784495167564535</v>
      </c>
      <c r="K42" s="242">
        <f>+Resumen!C11</f>
        <v>8.1957627118644076</v>
      </c>
      <c r="L42" s="243">
        <v>0</v>
      </c>
      <c r="M42" s="236">
        <v>316805.56253815291</v>
      </c>
      <c r="N42" s="222">
        <v>0.23884180992146797</v>
      </c>
      <c r="O42" s="229">
        <v>357391.08429331303</v>
      </c>
      <c r="P42" s="222">
        <v>0.24784495167564535</v>
      </c>
      <c r="Q42" s="259"/>
      <c r="R42" s="259"/>
      <c r="T42" s="242">
        <f>+Resumen!C12</f>
        <v>8.453389830508474</v>
      </c>
      <c r="U42" s="243">
        <v>0</v>
      </c>
      <c r="V42" s="232">
        <v>316805.56253815291</v>
      </c>
      <c r="W42" s="222">
        <v>0.23884180992146797</v>
      </c>
      <c r="X42" s="229">
        <v>357391.08429331303</v>
      </c>
      <c r="Y42" s="222">
        <v>0.24784495167564535</v>
      </c>
    </row>
    <row r="43" spans="4:25" x14ac:dyDescent="0.25">
      <c r="D43" s="240">
        <f>+$D$42*(1+E43)</f>
        <v>8.381254237288136</v>
      </c>
      <c r="E43" s="241">
        <f>+E42+0.04</f>
        <v>0.04</v>
      </c>
      <c r="F43" s="8">
        <v>256596.1328251661</v>
      </c>
      <c r="G43" s="220">
        <v>0.22423507738145765</v>
      </c>
      <c r="H43" s="234">
        <v>297181.65458032623</v>
      </c>
      <c r="I43" s="220">
        <v>0.23319517466756401</v>
      </c>
      <c r="K43" s="240">
        <f>+$K$42*(1+L43)</f>
        <v>8.5235932203389844</v>
      </c>
      <c r="L43" s="241">
        <f>+L42+0.04</f>
        <v>0.04</v>
      </c>
      <c r="M43" s="8">
        <v>268181.83900464326</v>
      </c>
      <c r="N43" s="220">
        <v>0.22708236567256956</v>
      </c>
      <c r="O43" s="228">
        <v>308767.36075980339</v>
      </c>
      <c r="P43" s="220">
        <v>0.236054260666825</v>
      </c>
      <c r="Q43" s="258"/>
      <c r="R43" s="258"/>
      <c r="T43" s="240">
        <f>+$T$42*(1+U43)</f>
        <v>8.7915254237288138</v>
      </c>
      <c r="U43" s="241">
        <f>+U42+0.04</f>
        <v>0.04</v>
      </c>
      <c r="V43" s="231">
        <v>305155.42573955166</v>
      </c>
      <c r="W43" s="220">
        <v>0.23602661279350134</v>
      </c>
      <c r="X43" s="228">
        <v>345740.94749471179</v>
      </c>
      <c r="Y43" s="220">
        <v>0.24502134905810968</v>
      </c>
    </row>
    <row r="44" spans="4:25" x14ac:dyDescent="0.25">
      <c r="D44" s="240">
        <f t="shared" ref="D44:D47" si="19">+$D$42*(1+E44)</f>
        <v>8.703610169491526</v>
      </c>
      <c r="E44" s="241">
        <f t="shared" ref="E44:E47" si="20">+E43+0.04</f>
        <v>0.08</v>
      </c>
      <c r="F44" s="8">
        <v>196386.70311217918</v>
      </c>
      <c r="G44" s="220">
        <v>0.20948507055004573</v>
      </c>
      <c r="H44" s="234">
        <v>236972.22486733933</v>
      </c>
      <c r="I44" s="220">
        <v>0.21840442226494283</v>
      </c>
      <c r="K44" s="240">
        <f t="shared" ref="K44:K47" si="21">+$K$42*(1+L44)</f>
        <v>8.8514237288135611</v>
      </c>
      <c r="L44" s="241">
        <f t="shared" ref="L44:L46" si="22">+L43+0.04</f>
        <v>0.08</v>
      </c>
      <c r="M44" s="8">
        <v>219558.11547113326</v>
      </c>
      <c r="N44" s="220">
        <v>0.21522267912980153</v>
      </c>
      <c r="O44" s="228">
        <v>260143.63722629342</v>
      </c>
      <c r="P44" s="220">
        <v>0.22416475638357691</v>
      </c>
      <c r="Q44" s="258"/>
      <c r="R44" s="258"/>
      <c r="T44" s="240">
        <f t="shared" ref="T44:T47" si="23">+$T$42*(1+U44)</f>
        <v>9.1296610169491519</v>
      </c>
      <c r="U44" s="241">
        <f t="shared" ref="U44:U47" si="24">+U43+0.04</f>
        <v>0.08</v>
      </c>
      <c r="V44" s="231">
        <v>293505.2889409503</v>
      </c>
      <c r="W44" s="220">
        <v>0.23320653377821965</v>
      </c>
      <c r="X44" s="228">
        <v>334090.81069611042</v>
      </c>
      <c r="Y44" s="220">
        <v>0.24219294730819052</v>
      </c>
    </row>
    <row r="45" spans="4:25" x14ac:dyDescent="0.25">
      <c r="D45" s="240">
        <f t="shared" si="19"/>
        <v>9.025966101694916</v>
      </c>
      <c r="E45" s="241">
        <f t="shared" si="20"/>
        <v>0.12</v>
      </c>
      <c r="F45" s="8">
        <v>136177.27339919214</v>
      </c>
      <c r="G45" s="220">
        <v>0.19457254257483236</v>
      </c>
      <c r="H45" s="234">
        <v>176762.79515435229</v>
      </c>
      <c r="I45" s="220">
        <v>0.20345353855146731</v>
      </c>
      <c r="K45" s="240">
        <f t="shared" si="21"/>
        <v>9.1792542372881378</v>
      </c>
      <c r="L45" s="241">
        <f t="shared" si="22"/>
        <v>0.12</v>
      </c>
      <c r="M45" s="8">
        <v>170934.39193762373</v>
      </c>
      <c r="N45" s="220">
        <v>0.20325269958409953</v>
      </c>
      <c r="O45" s="228">
        <v>211519.91369278388</v>
      </c>
      <c r="P45" s="220">
        <v>0.21216643583053285</v>
      </c>
      <c r="Q45" s="258"/>
      <c r="R45" s="258"/>
      <c r="T45" s="240">
        <f t="shared" si="23"/>
        <v>9.4677966101694917</v>
      </c>
      <c r="U45" s="241">
        <f t="shared" si="24"/>
        <v>0.12</v>
      </c>
      <c r="V45" s="231">
        <v>281855.15214234882</v>
      </c>
      <c r="W45" s="220">
        <v>0.23038144800253502</v>
      </c>
      <c r="X45" s="228">
        <v>322440.67389750894</v>
      </c>
      <c r="Y45" s="220">
        <v>0.23935962227198959</v>
      </c>
    </row>
    <row r="46" spans="4:25" x14ac:dyDescent="0.25">
      <c r="D46" s="240">
        <f t="shared" si="19"/>
        <v>9.3082276465488007</v>
      </c>
      <c r="E46" s="241">
        <f>+G9</f>
        <v>0.15502483021479399</v>
      </c>
      <c r="F46" s="8">
        <v>83456.647073518834</v>
      </c>
      <c r="G46" s="220">
        <v>0.18136477080303259</v>
      </c>
      <c r="H46" s="234">
        <v>124042.16882867899</v>
      </c>
      <c r="I46" s="220">
        <v>0.19021420692509916</v>
      </c>
      <c r="K46" s="240">
        <f t="shared" si="21"/>
        <v>9.5070847457627128</v>
      </c>
      <c r="L46" s="241">
        <f t="shared" si="22"/>
        <v>0.16</v>
      </c>
      <c r="M46" s="8">
        <v>122310.66840411385</v>
      </c>
      <c r="N46" s="220">
        <v>0.19116157176017889</v>
      </c>
      <c r="O46" s="228">
        <v>162896.190159274</v>
      </c>
      <c r="P46" s="220">
        <v>0.20004848689050725</v>
      </c>
      <c r="Q46" s="258"/>
      <c r="R46" s="258"/>
      <c r="T46" s="240">
        <f t="shared" si="23"/>
        <v>9.8059322033898297</v>
      </c>
      <c r="U46" s="241">
        <f t="shared" si="24"/>
        <v>0.16</v>
      </c>
      <c r="V46" s="231">
        <v>270205.01534374768</v>
      </c>
      <c r="W46" s="220">
        <v>0.22755122838781427</v>
      </c>
      <c r="X46" s="228">
        <v>310790.53709890781</v>
      </c>
      <c r="Y46" s="220">
        <v>0.23652124758312376</v>
      </c>
    </row>
    <row r="47" spans="4:25" x14ac:dyDescent="0.25">
      <c r="D47" s="240">
        <f t="shared" si="19"/>
        <v>9.630583578752189</v>
      </c>
      <c r="E47" s="241">
        <f t="shared" si="20"/>
        <v>0.195024830214794</v>
      </c>
      <c r="F47" s="8">
        <v>23247.217360532028</v>
      </c>
      <c r="G47" s="220">
        <v>0.16608869693297135</v>
      </c>
      <c r="H47" s="234">
        <v>63832.739115692173</v>
      </c>
      <c r="I47" s="220">
        <v>0.17490445949947242</v>
      </c>
      <c r="K47" s="240">
        <f t="shared" si="21"/>
        <v>9.7719899862684265</v>
      </c>
      <c r="L47" s="241">
        <f>+G10</f>
        <v>0.19232221939786401</v>
      </c>
      <c r="M47" s="8">
        <v>83020.001904334407</v>
      </c>
      <c r="N47" s="220">
        <v>0.18129477251139758</v>
      </c>
      <c r="O47" s="228">
        <v>123605.52365949456</v>
      </c>
      <c r="P47" s="220">
        <v>0.19016115027736169</v>
      </c>
      <c r="Q47" s="258"/>
      <c r="R47" s="258"/>
      <c r="T47" s="240">
        <f t="shared" si="23"/>
        <v>10.144067796610168</v>
      </c>
      <c r="U47" s="241">
        <f t="shared" si="24"/>
        <v>0.2</v>
      </c>
      <c r="V47" s="231">
        <v>258554.8785451462</v>
      </c>
      <c r="W47" s="220">
        <v>0.22471574559906315</v>
      </c>
      <c r="X47" s="228">
        <v>299140.40030030633</v>
      </c>
      <c r="Y47" s="220">
        <v>0.23367769461105126</v>
      </c>
    </row>
    <row r="50" spans="4:9" x14ac:dyDescent="0.25">
      <c r="D50" s="219" t="s">
        <v>375</v>
      </c>
      <c r="E50" s="219" t="s">
        <v>376</v>
      </c>
      <c r="F50" s="219" t="s">
        <v>374</v>
      </c>
      <c r="G50" s="219" t="s">
        <v>354</v>
      </c>
      <c r="H50" s="219" t="s">
        <v>355</v>
      </c>
      <c r="I50" s="219" t="s">
        <v>356</v>
      </c>
    </row>
    <row r="51" spans="4:9" x14ac:dyDescent="0.25">
      <c r="D51" s="237"/>
      <c r="E51" s="238"/>
      <c r="F51" s="239">
        <f>+Rentabilidad!C11</f>
        <v>316805.56253815291</v>
      </c>
      <c r="G51" s="223">
        <f>+Rentabilidad!C13</f>
        <v>0.23884180992146797</v>
      </c>
      <c r="H51" s="233">
        <f>+Rentabilidad!C23</f>
        <v>357391.08429331303</v>
      </c>
      <c r="I51" s="223">
        <f>+Rentabilidad!C25</f>
        <v>0.24784495167564535</v>
      </c>
    </row>
    <row r="52" spans="4:9" x14ac:dyDescent="0.25">
      <c r="D52" s="240">
        <f t="shared" ref="D52:D55" si="25">+$D$57*(1+E52)</f>
        <v>562668.80175544787</v>
      </c>
      <c r="E52" s="241">
        <f t="shared" ref="E52:E55" si="26">+E53-0.05</f>
        <v>-0.25</v>
      </c>
      <c r="F52" s="8">
        <f t="dataTable" ref="F52:I62" dt2D="0" dtr="0" r1="F12" ca="1"/>
        <v>504361.82978996891</v>
      </c>
      <c r="G52" s="220">
        <v>0.31424776002387733</v>
      </c>
      <c r="H52" s="234">
        <v>544947.35154512909</v>
      </c>
      <c r="I52" s="220">
        <v>0.32600349046244581</v>
      </c>
    </row>
    <row r="53" spans="4:9" x14ac:dyDescent="0.25">
      <c r="D53" s="240">
        <f t="shared" si="25"/>
        <v>600180.05520581116</v>
      </c>
      <c r="E53" s="241">
        <f t="shared" si="26"/>
        <v>-0.2</v>
      </c>
      <c r="F53" s="8">
        <v>466850.57633960561</v>
      </c>
      <c r="G53" s="220">
        <v>0.29632439266932908</v>
      </c>
      <c r="H53" s="234">
        <v>507436.09809476574</v>
      </c>
      <c r="I53" s="220">
        <v>0.30738971042588847</v>
      </c>
    </row>
    <row r="54" spans="4:9" x14ac:dyDescent="0.25">
      <c r="D54" s="240">
        <f t="shared" si="25"/>
        <v>637691.30865617422</v>
      </c>
      <c r="E54" s="241">
        <f t="shared" si="26"/>
        <v>-0.15000000000000002</v>
      </c>
      <c r="F54" s="8">
        <v>429339.32288924255</v>
      </c>
      <c r="G54" s="220">
        <v>0.28004028307991269</v>
      </c>
      <c r="H54" s="234">
        <v>469924.84464440268</v>
      </c>
      <c r="I54" s="220">
        <v>0.2904973892430851</v>
      </c>
    </row>
    <row r="55" spans="4:9" x14ac:dyDescent="0.25">
      <c r="D55" s="240">
        <f t="shared" si="25"/>
        <v>675202.56210653752</v>
      </c>
      <c r="E55" s="241">
        <f t="shared" si="26"/>
        <v>-0.1</v>
      </c>
      <c r="F55" s="8">
        <v>391828.06943887926</v>
      </c>
      <c r="G55" s="220">
        <v>0.26515525296030829</v>
      </c>
      <c r="H55" s="234">
        <v>432413.59119403939</v>
      </c>
      <c r="I55" s="220">
        <v>0.27507277737801217</v>
      </c>
    </row>
    <row r="56" spans="4:9" x14ac:dyDescent="0.25">
      <c r="D56" s="240">
        <f>+$D$57*(1+E56)</f>
        <v>712713.81555690069</v>
      </c>
      <c r="E56" s="241">
        <f>+E57-0.05</f>
        <v>-0.05</v>
      </c>
      <c r="F56" s="8">
        <v>354316.81598851609</v>
      </c>
      <c r="G56" s="220">
        <v>0.25147527983295359</v>
      </c>
      <c r="H56" s="234">
        <v>394902.33774367621</v>
      </c>
      <c r="I56" s="220">
        <v>0.26091104774196872</v>
      </c>
    </row>
    <row r="57" spans="4:9" x14ac:dyDescent="0.25">
      <c r="D57" s="242">
        <f>+'Inversión inicial'!F8</f>
        <v>750225.06900726387</v>
      </c>
      <c r="E57" s="243">
        <v>0</v>
      </c>
      <c r="F57" s="236">
        <v>316805.56253815291</v>
      </c>
      <c r="G57" s="222">
        <v>0.23884180992146797</v>
      </c>
      <c r="H57" s="235">
        <v>357391.08429331303</v>
      </c>
      <c r="I57" s="222">
        <v>0.24784495167564535</v>
      </c>
    </row>
    <row r="58" spans="4:9" x14ac:dyDescent="0.25">
      <c r="D58" s="240">
        <f>+$D$57*(1+E58)</f>
        <v>787736.32245762704</v>
      </c>
      <c r="E58" s="241">
        <f>+E57+0.05</f>
        <v>0.05</v>
      </c>
      <c r="F58" s="8">
        <v>279294.30908778973</v>
      </c>
      <c r="G58" s="220">
        <v>0.22712391597613779</v>
      </c>
      <c r="H58" s="234">
        <v>319879.83084294986</v>
      </c>
      <c r="I58" s="220">
        <v>0.23573649527093843</v>
      </c>
    </row>
    <row r="59" spans="4:9" x14ac:dyDescent="0.25">
      <c r="D59" s="240">
        <f t="shared" ref="D59:D62" si="27">+$D$57*(1+E59)</f>
        <v>825247.57590799034</v>
      </c>
      <c r="E59" s="241">
        <f t="shared" ref="E59:E62" si="28">+E58+0.05</f>
        <v>0.1</v>
      </c>
      <c r="F59" s="8">
        <v>241783.05563742644</v>
      </c>
      <c r="G59" s="220">
        <v>0.21621245470947303</v>
      </c>
      <c r="H59" s="234">
        <v>282368.57739258657</v>
      </c>
      <c r="I59" s="220">
        <v>0.22447073924645355</v>
      </c>
    </row>
    <row r="60" spans="4:9" x14ac:dyDescent="0.25">
      <c r="D60" s="240">
        <f t="shared" si="27"/>
        <v>862758.8293583534</v>
      </c>
      <c r="E60" s="241">
        <f t="shared" si="28"/>
        <v>0.15000000000000002</v>
      </c>
      <c r="F60" s="8">
        <v>204271.80218706338</v>
      </c>
      <c r="G60" s="220">
        <v>0.20601565326463178</v>
      </c>
      <c r="H60" s="234">
        <v>244857.32394222353</v>
      </c>
      <c r="I60" s="220">
        <v>0.21395111665938416</v>
      </c>
    </row>
    <row r="61" spans="4:9" x14ac:dyDescent="0.25">
      <c r="D61" s="240">
        <f t="shared" si="27"/>
        <v>900270.08280871657</v>
      </c>
      <c r="E61" s="241">
        <f t="shared" si="28"/>
        <v>0.2</v>
      </c>
      <c r="F61" s="8">
        <v>166760.54873670021</v>
      </c>
      <c r="G61" s="220">
        <v>0.19645573262525895</v>
      </c>
      <c r="H61" s="234">
        <v>207346.07049186036</v>
      </c>
      <c r="I61" s="220">
        <v>0.20409585201292546</v>
      </c>
    </row>
    <row r="62" spans="4:9" x14ac:dyDescent="0.25">
      <c r="D62" s="240">
        <f t="shared" si="27"/>
        <v>937781.33625907986</v>
      </c>
      <c r="E62" s="241">
        <f t="shared" si="28"/>
        <v>0.25</v>
      </c>
      <c r="F62" s="8">
        <v>129249.29528633691</v>
      </c>
      <c r="G62" s="220">
        <v>0.18746629405728177</v>
      </c>
      <c r="H62" s="234">
        <v>169834.81704149707</v>
      </c>
      <c r="I62" s="220">
        <v>0.19483519074640165</v>
      </c>
    </row>
    <row r="65" spans="2:46" x14ac:dyDescent="0.25">
      <c r="D65" s="180" t="s">
        <v>387</v>
      </c>
    </row>
    <row r="67" spans="2:46" x14ac:dyDescent="0.25">
      <c r="E67" s="336" t="s">
        <v>383</v>
      </c>
      <c r="F67" s="336"/>
      <c r="G67" s="336"/>
      <c r="H67" s="336"/>
      <c r="I67" s="336"/>
      <c r="J67" s="336"/>
      <c r="K67" s="336"/>
      <c r="L67" s="336"/>
      <c r="M67" s="336"/>
      <c r="N67" s="336"/>
      <c r="O67" s="336"/>
      <c r="U67" s="336" t="s">
        <v>389</v>
      </c>
      <c r="V67" s="336"/>
      <c r="W67" s="336"/>
      <c r="X67" s="336"/>
      <c r="Y67" s="336"/>
      <c r="Z67" s="336"/>
      <c r="AA67" s="336"/>
      <c r="AB67" s="336"/>
      <c r="AC67" s="336"/>
      <c r="AD67" s="336"/>
      <c r="AE67" s="336"/>
      <c r="AJ67" s="336" t="s">
        <v>402</v>
      </c>
      <c r="AK67" s="336"/>
      <c r="AL67" s="336"/>
      <c r="AM67" s="336"/>
      <c r="AN67" s="336"/>
      <c r="AO67" s="336"/>
      <c r="AP67" s="336"/>
      <c r="AQ67" s="336"/>
      <c r="AR67" s="336"/>
      <c r="AS67" s="336"/>
      <c r="AT67" s="336"/>
    </row>
    <row r="68" spans="2:46" x14ac:dyDescent="0.25">
      <c r="E68" s="186">
        <f t="shared" ref="E68:H68" si="29">+$J$68*(1+E69)</f>
        <v>8.8518853774158774</v>
      </c>
      <c r="F68" s="186">
        <f t="shared" si="29"/>
        <v>9.2922243604667258</v>
      </c>
      <c r="G68" s="186">
        <f t="shared" si="29"/>
        <v>9.7325633435175742</v>
      </c>
      <c r="H68" s="186">
        <f t="shared" si="29"/>
        <v>10.127796610169492</v>
      </c>
      <c r="I68" s="186">
        <f>+$J$68*(1+I69)</f>
        <v>10.568135593220338</v>
      </c>
      <c r="J68" s="186">
        <f>+D26</f>
        <v>11.008474576271187</v>
      </c>
      <c r="K68" s="186">
        <f>+$J$68*(1+K69)</f>
        <v>11.448813559322035</v>
      </c>
      <c r="L68" s="186">
        <f t="shared" ref="L68:O68" si="30">+$J$68*(1+L69)</f>
        <v>11.889152542372882</v>
      </c>
      <c r="M68" s="186">
        <f t="shared" si="30"/>
        <v>12.32949152542373</v>
      </c>
      <c r="N68" s="186">
        <f t="shared" si="30"/>
        <v>12.769830508474575</v>
      </c>
      <c r="O68" s="186">
        <f t="shared" si="30"/>
        <v>13.210169491525424</v>
      </c>
      <c r="U68" s="186">
        <f t="shared" ref="U68:X68" si="31">+$Z$68*(1+U69)</f>
        <v>8.5523008427016105</v>
      </c>
      <c r="V68" s="186">
        <f t="shared" si="31"/>
        <v>8.994131351176188</v>
      </c>
      <c r="W68" s="186">
        <f t="shared" si="31"/>
        <v>9.4359618596507637</v>
      </c>
      <c r="X68" s="186">
        <f t="shared" si="31"/>
        <v>10.162101694915256</v>
      </c>
      <c r="Y68" s="186">
        <f>+$Z$68*(1+Y69)</f>
        <v>10.60393220338983</v>
      </c>
      <c r="Z68" s="186">
        <f>+K26</f>
        <v>11.045762711864407</v>
      </c>
      <c r="AA68" s="186">
        <f>+$Z$68*(1+AA69)</f>
        <v>11.487593220338985</v>
      </c>
      <c r="AB68" s="186">
        <f t="shared" ref="AB68:AE68" si="32">+$Z$68*(1+AB69)</f>
        <v>11.929423728813561</v>
      </c>
      <c r="AC68" s="186">
        <f t="shared" si="32"/>
        <v>12.371254237288138</v>
      </c>
      <c r="AD68" s="186">
        <f t="shared" si="32"/>
        <v>12.813084745762712</v>
      </c>
      <c r="AE68" s="186">
        <f t="shared" si="32"/>
        <v>13.254915254237288</v>
      </c>
      <c r="AJ68" s="186">
        <f t="shared" ref="AJ68:AM68" si="33">+$Z$68*(1+AJ69)</f>
        <v>8.514945261930702</v>
      </c>
      <c r="AK68" s="186">
        <f t="shared" si="33"/>
        <v>8.9567757704052777</v>
      </c>
      <c r="AL68" s="186">
        <f t="shared" si="33"/>
        <v>9.3986062788798534</v>
      </c>
      <c r="AM68" s="186">
        <f t="shared" si="33"/>
        <v>10.162101694915256</v>
      </c>
      <c r="AN68" s="186">
        <f>+$Z$68*(1+AN69)</f>
        <v>10.60393220338983</v>
      </c>
      <c r="AO68" s="186">
        <f>+T26</f>
        <v>11.858389830508473</v>
      </c>
      <c r="AP68" s="186">
        <f>+$Z$68*(1+AP69)</f>
        <v>11.487593220338985</v>
      </c>
      <c r="AQ68" s="186">
        <f t="shared" ref="AQ68:AT68" si="34">+$Z$68*(1+AQ69)</f>
        <v>11.929423728813561</v>
      </c>
      <c r="AR68" s="186">
        <f t="shared" si="34"/>
        <v>12.371254237288138</v>
      </c>
      <c r="AS68" s="186">
        <f t="shared" si="34"/>
        <v>12.813084745762712</v>
      </c>
      <c r="AT68" s="186">
        <f t="shared" si="34"/>
        <v>13.254915254237288</v>
      </c>
    </row>
    <row r="69" spans="2:46" x14ac:dyDescent="0.25">
      <c r="D69" s="250">
        <f>+Rentabilidad!C11</f>
        <v>316805.56253815291</v>
      </c>
      <c r="E69" s="252">
        <f>+E21</f>
        <v>-0.195902637001483</v>
      </c>
      <c r="F69" s="252">
        <f>+E22</f>
        <v>-0.15590263700148299</v>
      </c>
      <c r="G69" s="252">
        <f>+E23</f>
        <v>-0.115902637001483</v>
      </c>
      <c r="H69" s="252">
        <f>+E24</f>
        <v>-0.08</v>
      </c>
      <c r="I69" s="252">
        <f>+E25</f>
        <v>-0.04</v>
      </c>
      <c r="J69" s="253">
        <f>+E26</f>
        <v>0</v>
      </c>
      <c r="K69" s="252">
        <f>+E27</f>
        <v>0.04</v>
      </c>
      <c r="L69" s="252">
        <f>+E28</f>
        <v>0.08</v>
      </c>
      <c r="M69" s="252">
        <f>+E45</f>
        <v>0.12</v>
      </c>
      <c r="N69" s="252">
        <f>+E30</f>
        <v>0.16</v>
      </c>
      <c r="O69" s="252">
        <f>+E31</f>
        <v>0.2</v>
      </c>
      <c r="R69" s="337" t="s">
        <v>388</v>
      </c>
      <c r="T69" s="250">
        <f>+Rentabilidad!C11</f>
        <v>316805.56253815291</v>
      </c>
      <c r="U69" s="252">
        <v>-0.22573922093080401</v>
      </c>
      <c r="V69" s="252">
        <v>-0.185739220930804</v>
      </c>
      <c r="W69" s="252">
        <v>-0.14573922093080399</v>
      </c>
      <c r="X69" s="252">
        <v>-0.08</v>
      </c>
      <c r="Y69" s="252">
        <v>-0.04</v>
      </c>
      <c r="Z69" s="253">
        <v>0</v>
      </c>
      <c r="AA69" s="252">
        <v>0.04</v>
      </c>
      <c r="AB69" s="252">
        <v>0.08</v>
      </c>
      <c r="AC69" s="252">
        <v>0.12</v>
      </c>
      <c r="AD69" s="252">
        <v>0.16</v>
      </c>
      <c r="AE69" s="252">
        <v>0.2</v>
      </c>
      <c r="AG69" s="337" t="s">
        <v>401</v>
      </c>
      <c r="AI69" s="250">
        <f>+Rentabilidad!C11</f>
        <v>316805.56253815291</v>
      </c>
      <c r="AJ69" s="252">
        <v>-0.22912111331301002</v>
      </c>
      <c r="AK69" s="252">
        <v>-0.18912111331301001</v>
      </c>
      <c r="AL69" s="252">
        <v>-0.14912111331301001</v>
      </c>
      <c r="AM69" s="252">
        <v>-0.08</v>
      </c>
      <c r="AN69" s="252">
        <v>-0.04</v>
      </c>
      <c r="AO69" s="253">
        <v>0</v>
      </c>
      <c r="AP69" s="252">
        <v>0.04</v>
      </c>
      <c r="AQ69" s="252">
        <v>0.08</v>
      </c>
      <c r="AR69" s="252">
        <v>0.12</v>
      </c>
      <c r="AS69" s="252">
        <v>0.16</v>
      </c>
      <c r="AT69" s="252">
        <v>0.2</v>
      </c>
    </row>
    <row r="70" spans="2:46" x14ac:dyDescent="0.25">
      <c r="B70" s="337" t="s">
        <v>384</v>
      </c>
      <c r="C70" s="246">
        <f>+D37</f>
        <v>6.4584642138571295</v>
      </c>
      <c r="D70" s="252">
        <f>+E37</f>
        <v>-0.19859216863647799</v>
      </c>
      <c r="E70" s="291">
        <f t="dataTable" ref="E70:O80" dt2D="1" dtr="1" r1="F6" r2="F9" ca="1"/>
        <v>221565.37986279174</v>
      </c>
      <c r="F70" s="291">
        <v>302047.85201023321</v>
      </c>
      <c r="G70" s="291">
        <v>382530.32415767445</v>
      </c>
      <c r="H70" s="291">
        <v>454768.6487199628</v>
      </c>
      <c r="I70" s="291">
        <v>535251.12086740357</v>
      </c>
      <c r="J70" s="291">
        <v>615733.59301484481</v>
      </c>
      <c r="K70" s="291">
        <v>696216.06516228605</v>
      </c>
      <c r="L70" s="291">
        <v>776698.53730972728</v>
      </c>
      <c r="M70" s="291">
        <v>857181.00945716875</v>
      </c>
      <c r="N70" s="291">
        <v>937663.48160460906</v>
      </c>
      <c r="O70" s="291">
        <v>1018145.9537520508</v>
      </c>
      <c r="R70" s="337"/>
      <c r="S70" s="246">
        <f>+T37</f>
        <v>6.5165397412734958</v>
      </c>
      <c r="T70" s="252">
        <f>+L37</f>
        <v>-0.22912111331301002</v>
      </c>
      <c r="U70" s="291">
        <f t="dataTable" ref="U70:AE80" dt2D="1" dtr="1" r1="F7" r2="F10" ca="1"/>
        <v>233414.81057676917</v>
      </c>
      <c r="V70" s="291">
        <v>297543.46171761153</v>
      </c>
      <c r="W70" s="291">
        <v>361672.11285845458</v>
      </c>
      <c r="X70" s="291">
        <v>467066.3019920123</v>
      </c>
      <c r="Y70" s="291">
        <v>531194.95313285489</v>
      </c>
      <c r="Z70" s="291">
        <v>595323.60427369771</v>
      </c>
      <c r="AA70" s="291">
        <v>659452.25541454053</v>
      </c>
      <c r="AB70" s="291">
        <v>723580.90655538265</v>
      </c>
      <c r="AC70" s="291">
        <v>787709.55769622594</v>
      </c>
      <c r="AD70" s="291">
        <v>851838.20883706829</v>
      </c>
      <c r="AE70" s="291">
        <v>915966.85997791064</v>
      </c>
      <c r="AG70" s="337"/>
      <c r="AH70" s="246">
        <f>+T37</f>
        <v>6.5165397412734958</v>
      </c>
      <c r="AI70" s="252">
        <f>+U37</f>
        <v>-0.22912111331301002</v>
      </c>
      <c r="AJ70" s="251">
        <f t="dataTable" ref="AJ70:AT80" dt2D="1" dtr="1" r1="F8" r2="F11" ca="1"/>
        <v>291933.19356038724</v>
      </c>
      <c r="AK70" s="251">
        <v>307925.55244723149</v>
      </c>
      <c r="AL70" s="251">
        <v>323917.9113340762</v>
      </c>
      <c r="AM70" s="251">
        <v>351553.15260307444</v>
      </c>
      <c r="AN70" s="251">
        <v>367545.51148991915</v>
      </c>
      <c r="AO70" s="251">
        <v>383537.87037676387</v>
      </c>
      <c r="AP70" s="251">
        <v>399530.22926360858</v>
      </c>
      <c r="AQ70" s="251">
        <v>415522.58815045329</v>
      </c>
      <c r="AR70" s="251">
        <v>431514.94703729777</v>
      </c>
      <c r="AS70" s="251">
        <v>447507.30592414248</v>
      </c>
      <c r="AT70" s="251">
        <v>463499.66481098742</v>
      </c>
    </row>
    <row r="71" spans="2:46" x14ac:dyDescent="0.25">
      <c r="B71" s="337"/>
      <c r="C71" s="246">
        <f t="shared" ref="C71:C80" si="35">+D38</f>
        <v>6.7808201460605195</v>
      </c>
      <c r="D71" s="252">
        <f t="shared" ref="D71:D80" si="36">+E38</f>
        <v>-0.15859216863647799</v>
      </c>
      <c r="E71" s="291">
        <v>161355.95014980482</v>
      </c>
      <c r="F71" s="291">
        <v>241838.42229724629</v>
      </c>
      <c r="G71" s="291">
        <v>322320.89444468752</v>
      </c>
      <c r="H71" s="291">
        <v>394559.21900697588</v>
      </c>
      <c r="I71" s="291">
        <v>475041.69115441688</v>
      </c>
      <c r="J71" s="291">
        <v>555524.16330185789</v>
      </c>
      <c r="K71" s="291">
        <v>636006.63544929936</v>
      </c>
      <c r="L71" s="291">
        <v>716489.10759674059</v>
      </c>
      <c r="M71" s="291">
        <v>796971.5797441816</v>
      </c>
      <c r="N71" s="291">
        <v>877454.05189162237</v>
      </c>
      <c r="O71" s="291">
        <v>957936.52403906337</v>
      </c>
      <c r="R71" s="337"/>
      <c r="S71" s="246">
        <f t="shared" ref="S71:S80" si="37">+T38</f>
        <v>6.8546753344938347</v>
      </c>
      <c r="T71" s="252">
        <f t="shared" ref="T71:T80" si="38">+L38</f>
        <v>-0.18912111331301001</v>
      </c>
      <c r="U71" s="291">
        <v>184791.08704325906</v>
      </c>
      <c r="V71" s="291">
        <v>248919.73818410176</v>
      </c>
      <c r="W71" s="291">
        <v>313048.38932494458</v>
      </c>
      <c r="X71" s="291">
        <v>418442.57845850254</v>
      </c>
      <c r="Y71" s="291">
        <v>482571.22959934466</v>
      </c>
      <c r="Z71" s="291">
        <v>546699.88074018771</v>
      </c>
      <c r="AA71" s="291">
        <v>610828.53188103053</v>
      </c>
      <c r="AB71" s="291">
        <v>674957.18302187312</v>
      </c>
      <c r="AC71" s="291">
        <v>739085.83416271594</v>
      </c>
      <c r="AD71" s="291">
        <v>803214.48530355829</v>
      </c>
      <c r="AE71" s="291">
        <v>867343.13644440088</v>
      </c>
      <c r="AG71" s="337"/>
      <c r="AH71" s="246">
        <f t="shared" ref="AH71:AH80" si="39">+T38</f>
        <v>6.8546753344938347</v>
      </c>
      <c r="AI71" s="252">
        <f t="shared" ref="AI71:AI80" si="40">+U38</f>
        <v>-0.18912111331301001</v>
      </c>
      <c r="AJ71" s="251">
        <v>280283.05676178553</v>
      </c>
      <c r="AK71" s="251">
        <v>296275.41564863024</v>
      </c>
      <c r="AL71" s="251">
        <v>312267.77453547495</v>
      </c>
      <c r="AM71" s="251">
        <v>339903.01580447273</v>
      </c>
      <c r="AN71" s="251">
        <v>355895.37469131767</v>
      </c>
      <c r="AO71" s="251">
        <v>371887.73357816215</v>
      </c>
      <c r="AP71" s="251">
        <v>387880.0924650071</v>
      </c>
      <c r="AQ71" s="251">
        <v>403872.45135185181</v>
      </c>
      <c r="AR71" s="251">
        <v>419864.81023869675</v>
      </c>
      <c r="AS71" s="251">
        <v>435857.169125541</v>
      </c>
      <c r="AT71" s="251">
        <v>451849.52801238571</v>
      </c>
    </row>
    <row r="72" spans="2:46" x14ac:dyDescent="0.25">
      <c r="B72" s="337"/>
      <c r="C72" s="246">
        <f t="shared" si="35"/>
        <v>7.1031760782639086</v>
      </c>
      <c r="D72" s="252">
        <f t="shared" si="36"/>
        <v>-0.11859216863647799</v>
      </c>
      <c r="E72" s="291">
        <v>101146.5204368179</v>
      </c>
      <c r="F72" s="291">
        <v>181628.99258425937</v>
      </c>
      <c r="G72" s="291">
        <v>262111.46473170049</v>
      </c>
      <c r="H72" s="291">
        <v>334349.78929398907</v>
      </c>
      <c r="I72" s="291">
        <v>414832.26144142984</v>
      </c>
      <c r="J72" s="291">
        <v>495314.73358887131</v>
      </c>
      <c r="K72" s="291">
        <v>575797.20573631255</v>
      </c>
      <c r="L72" s="291">
        <v>656279.67788375355</v>
      </c>
      <c r="M72" s="291">
        <v>736762.15003119479</v>
      </c>
      <c r="N72" s="291">
        <v>817244.62217863556</v>
      </c>
      <c r="O72" s="291">
        <v>897727.09432607656</v>
      </c>
      <c r="R72" s="337"/>
      <c r="S72" s="246">
        <f t="shared" si="37"/>
        <v>7.1928109277141736</v>
      </c>
      <c r="T72" s="252">
        <f t="shared" si="38"/>
        <v>-0.14912111331301001</v>
      </c>
      <c r="U72" s="291">
        <v>136167.36350974953</v>
      </c>
      <c r="V72" s="291">
        <v>200296.014650592</v>
      </c>
      <c r="W72" s="291">
        <v>264424.66579143493</v>
      </c>
      <c r="X72" s="291">
        <v>369818.85492499289</v>
      </c>
      <c r="Y72" s="291">
        <v>433947.50606583524</v>
      </c>
      <c r="Z72" s="291">
        <v>498076.15720667783</v>
      </c>
      <c r="AA72" s="291">
        <v>562204.80834752088</v>
      </c>
      <c r="AB72" s="291">
        <v>626333.45948836324</v>
      </c>
      <c r="AC72" s="291">
        <v>690462.11062920629</v>
      </c>
      <c r="AD72" s="291">
        <v>754590.76177004864</v>
      </c>
      <c r="AE72" s="291">
        <v>818719.41291089146</v>
      </c>
      <c r="AG72" s="337"/>
      <c r="AH72" s="246">
        <f t="shared" si="39"/>
        <v>7.1928109277141736</v>
      </c>
      <c r="AI72" s="252">
        <f t="shared" si="40"/>
        <v>-0.14912111331301001</v>
      </c>
      <c r="AJ72" s="251">
        <v>268632.91996318416</v>
      </c>
      <c r="AK72" s="251">
        <v>284625.27885002864</v>
      </c>
      <c r="AL72" s="251">
        <v>300617.63773687358</v>
      </c>
      <c r="AM72" s="251">
        <v>328252.87900587136</v>
      </c>
      <c r="AN72" s="251">
        <v>344245.23789271631</v>
      </c>
      <c r="AO72" s="251">
        <v>360237.59677956079</v>
      </c>
      <c r="AP72" s="251">
        <v>376229.95566640573</v>
      </c>
      <c r="AQ72" s="251">
        <v>392222.31455325044</v>
      </c>
      <c r="AR72" s="251">
        <v>408214.67344009492</v>
      </c>
      <c r="AS72" s="251">
        <v>424207.03232693963</v>
      </c>
      <c r="AT72" s="251">
        <v>440199.39121378458</v>
      </c>
    </row>
    <row r="73" spans="2:46" x14ac:dyDescent="0.25">
      <c r="B73" s="337"/>
      <c r="C73" s="246">
        <f t="shared" si="35"/>
        <v>7.4141864406779669</v>
      </c>
      <c r="D73" s="252">
        <f t="shared" si="36"/>
        <v>-0.08</v>
      </c>
      <c r="E73" s="291">
        <v>43056.208812073804</v>
      </c>
      <c r="F73" s="291">
        <v>123538.68095951551</v>
      </c>
      <c r="G73" s="291">
        <v>204021.15310695639</v>
      </c>
      <c r="H73" s="291">
        <v>276259.4776692451</v>
      </c>
      <c r="I73" s="291">
        <v>356741.94981668587</v>
      </c>
      <c r="J73" s="291">
        <v>437224.4219641271</v>
      </c>
      <c r="K73" s="291">
        <v>517706.89411156834</v>
      </c>
      <c r="L73" s="291">
        <v>598189.36625900934</v>
      </c>
      <c r="M73" s="291">
        <v>678671.83840645058</v>
      </c>
      <c r="N73" s="291">
        <v>759154.31055389112</v>
      </c>
      <c r="O73" s="291">
        <v>839636.78270133259</v>
      </c>
      <c r="R73" s="337"/>
      <c r="S73" s="246">
        <f t="shared" si="37"/>
        <v>7.7771186440677962</v>
      </c>
      <c r="T73" s="252">
        <f t="shared" si="38"/>
        <v>-0.08</v>
      </c>
      <c r="U73" s="291">
        <v>52144.215908244601</v>
      </c>
      <c r="V73" s="291">
        <v>116272.86704908672</v>
      </c>
      <c r="W73" s="291">
        <v>180401.51818992977</v>
      </c>
      <c r="X73" s="291">
        <v>285795.70732348785</v>
      </c>
      <c r="Y73" s="291">
        <v>349924.35846432997</v>
      </c>
      <c r="Z73" s="291">
        <v>414053.00960517279</v>
      </c>
      <c r="AA73" s="291">
        <v>478181.66074601561</v>
      </c>
      <c r="AB73" s="291">
        <v>542310.31188685796</v>
      </c>
      <c r="AC73" s="291">
        <v>606438.96302770101</v>
      </c>
      <c r="AD73" s="291">
        <v>670567.6141685436</v>
      </c>
      <c r="AE73" s="291">
        <v>734696.26530938619</v>
      </c>
      <c r="AG73" s="337"/>
      <c r="AH73" s="246">
        <f t="shared" si="39"/>
        <v>7.7771186440677962</v>
      </c>
      <c r="AI73" s="252">
        <f t="shared" si="40"/>
        <v>-0.08</v>
      </c>
      <c r="AJ73" s="251">
        <v>248501.15931897936</v>
      </c>
      <c r="AK73" s="251">
        <v>264493.51820582408</v>
      </c>
      <c r="AL73" s="251">
        <v>280485.87709266855</v>
      </c>
      <c r="AM73" s="251">
        <v>308121.1183616668</v>
      </c>
      <c r="AN73" s="251">
        <v>324113.47724851151</v>
      </c>
      <c r="AO73" s="251">
        <v>340105.83613535599</v>
      </c>
      <c r="AP73" s="251">
        <v>356098.19502220093</v>
      </c>
      <c r="AQ73" s="251">
        <v>372090.55390904564</v>
      </c>
      <c r="AR73" s="251">
        <v>388082.91279589036</v>
      </c>
      <c r="AS73" s="251">
        <v>404075.27168273483</v>
      </c>
      <c r="AT73" s="251">
        <v>420067.63056957978</v>
      </c>
    </row>
    <row r="74" spans="2:46" ht="15" customHeight="1" x14ac:dyDescent="0.25">
      <c r="B74" s="337"/>
      <c r="C74" s="246">
        <f t="shared" si="35"/>
        <v>7.736542372881356</v>
      </c>
      <c r="D74" s="252">
        <f t="shared" si="36"/>
        <v>-0.04</v>
      </c>
      <c r="E74" s="291">
        <v>-17153.220900913235</v>
      </c>
      <c r="F74" s="291">
        <v>63329.251246528234</v>
      </c>
      <c r="G74" s="291">
        <v>143811.72339396935</v>
      </c>
      <c r="H74" s="291">
        <v>216050.04795625794</v>
      </c>
      <c r="I74" s="291">
        <v>296532.52010369883</v>
      </c>
      <c r="J74" s="291">
        <v>377014.99225113983</v>
      </c>
      <c r="K74" s="291">
        <v>457497.4643985813</v>
      </c>
      <c r="L74" s="291">
        <v>537979.93654602254</v>
      </c>
      <c r="M74" s="291">
        <v>618462.40869346377</v>
      </c>
      <c r="N74" s="291">
        <v>698944.88084090431</v>
      </c>
      <c r="O74" s="291">
        <v>779427.35298834578</v>
      </c>
      <c r="R74" s="337"/>
      <c r="S74" s="246">
        <f t="shared" si="37"/>
        <v>8.1152542372881342</v>
      </c>
      <c r="T74" s="252">
        <f t="shared" si="38"/>
        <v>-0.04</v>
      </c>
      <c r="U74" s="291">
        <v>3520.4923747346038</v>
      </c>
      <c r="V74" s="291">
        <v>67649.143515577191</v>
      </c>
      <c r="W74" s="291">
        <v>131777.79465642001</v>
      </c>
      <c r="X74" s="291">
        <v>237171.98378997797</v>
      </c>
      <c r="Y74" s="291">
        <v>301300.63493082055</v>
      </c>
      <c r="Z74" s="291">
        <v>365429.28607166314</v>
      </c>
      <c r="AA74" s="291">
        <v>429557.93721250596</v>
      </c>
      <c r="AB74" s="291">
        <v>493686.58835334855</v>
      </c>
      <c r="AC74" s="291">
        <v>557815.2394941916</v>
      </c>
      <c r="AD74" s="291">
        <v>621943.89063503395</v>
      </c>
      <c r="AE74" s="291">
        <v>686072.54177587654</v>
      </c>
      <c r="AG74" s="337"/>
      <c r="AH74" s="246">
        <f t="shared" si="39"/>
        <v>8.1152542372881342</v>
      </c>
      <c r="AI74" s="252">
        <f t="shared" si="40"/>
        <v>-0.04</v>
      </c>
      <c r="AJ74" s="251">
        <v>236851.02252037765</v>
      </c>
      <c r="AK74" s="251">
        <v>252843.38140722259</v>
      </c>
      <c r="AL74" s="251">
        <v>268835.74029406731</v>
      </c>
      <c r="AM74" s="251">
        <v>296470.98156306508</v>
      </c>
      <c r="AN74" s="251">
        <v>312463.34044991003</v>
      </c>
      <c r="AO74" s="251">
        <v>328455.69933675474</v>
      </c>
      <c r="AP74" s="251">
        <v>344448.05822359922</v>
      </c>
      <c r="AQ74" s="251">
        <v>360440.41711044393</v>
      </c>
      <c r="AR74" s="251">
        <v>376432.77599728864</v>
      </c>
      <c r="AS74" s="251">
        <v>392425.13488413335</v>
      </c>
      <c r="AT74" s="251">
        <v>408417.4937709783</v>
      </c>
    </row>
    <row r="75" spans="2:46" x14ac:dyDescent="0.25">
      <c r="B75" s="337"/>
      <c r="C75" s="246">
        <f t="shared" si="35"/>
        <v>8.058898305084746</v>
      </c>
      <c r="D75" s="252">
        <f t="shared" si="36"/>
        <v>0</v>
      </c>
      <c r="E75" s="291">
        <v>-77362.650613899925</v>
      </c>
      <c r="F75" s="291">
        <v>3119.8215335414279</v>
      </c>
      <c r="G75" s="291">
        <v>83602.293680982315</v>
      </c>
      <c r="H75" s="291">
        <v>155840.6182432709</v>
      </c>
      <c r="I75" s="291">
        <v>236323.09039071191</v>
      </c>
      <c r="J75" s="291">
        <v>316805.56253815291</v>
      </c>
      <c r="K75" s="291">
        <v>397288.03468559438</v>
      </c>
      <c r="L75" s="291">
        <v>477770.50683303538</v>
      </c>
      <c r="M75" s="291">
        <v>558252.97898047708</v>
      </c>
      <c r="N75" s="291">
        <v>638735.45112791739</v>
      </c>
      <c r="O75" s="291">
        <v>719217.92327535863</v>
      </c>
      <c r="R75" s="337"/>
      <c r="S75" s="246">
        <f>+K42</f>
        <v>8.1957627118644076</v>
      </c>
      <c r="T75" s="252">
        <f t="shared" si="38"/>
        <v>0</v>
      </c>
      <c r="U75" s="291">
        <v>-45103.231158775161</v>
      </c>
      <c r="V75" s="291">
        <v>19025.419982067426</v>
      </c>
      <c r="W75" s="291">
        <v>83154.071122910245</v>
      </c>
      <c r="X75" s="291">
        <v>188548.26025646785</v>
      </c>
      <c r="Y75" s="291">
        <v>252676.91139731079</v>
      </c>
      <c r="Z75" s="291">
        <v>316805.56253815291</v>
      </c>
      <c r="AA75" s="291">
        <v>380934.2136789962</v>
      </c>
      <c r="AB75" s="291">
        <v>445062.86481983855</v>
      </c>
      <c r="AC75" s="291">
        <v>509191.5159606816</v>
      </c>
      <c r="AD75" s="291">
        <v>573320.16710152396</v>
      </c>
      <c r="AE75" s="291">
        <v>637448.81824236631</v>
      </c>
      <c r="AG75" s="337"/>
      <c r="AH75" s="246">
        <f t="shared" si="39"/>
        <v>8.453389830508474</v>
      </c>
      <c r="AI75" s="252">
        <f t="shared" si="40"/>
        <v>0</v>
      </c>
      <c r="AJ75" s="251">
        <v>225200.88572177652</v>
      </c>
      <c r="AK75" s="251">
        <v>241193.24460862123</v>
      </c>
      <c r="AL75" s="251">
        <v>257185.60349546571</v>
      </c>
      <c r="AM75" s="251">
        <v>284820.84476446372</v>
      </c>
      <c r="AN75" s="251">
        <v>300813.20365130843</v>
      </c>
      <c r="AO75" s="251">
        <v>316805.56253815291</v>
      </c>
      <c r="AP75" s="251">
        <v>332797.92142499785</v>
      </c>
      <c r="AQ75" s="251">
        <v>348790.28031184257</v>
      </c>
      <c r="AR75" s="251">
        <v>364782.63919868751</v>
      </c>
      <c r="AS75" s="251">
        <v>380774.99808553199</v>
      </c>
      <c r="AT75" s="251">
        <v>396767.3569723767</v>
      </c>
    </row>
    <row r="76" spans="2:46" x14ac:dyDescent="0.25">
      <c r="B76" s="337"/>
      <c r="C76" s="246">
        <f t="shared" si="35"/>
        <v>8.381254237288136</v>
      </c>
      <c r="D76" s="252">
        <f t="shared" si="36"/>
        <v>0.04</v>
      </c>
      <c r="E76" s="291">
        <v>-137572.08032688696</v>
      </c>
      <c r="F76" s="291">
        <v>-57089.608179445495</v>
      </c>
      <c r="G76" s="291">
        <v>23392.863967995392</v>
      </c>
      <c r="H76" s="291">
        <v>95631.188530283864</v>
      </c>
      <c r="I76" s="291">
        <v>176113.66067772475</v>
      </c>
      <c r="J76" s="291">
        <v>256596.1328251661</v>
      </c>
      <c r="K76" s="291">
        <v>337078.60497260734</v>
      </c>
      <c r="L76" s="291">
        <v>417561.07712004858</v>
      </c>
      <c r="M76" s="291">
        <v>498043.54926748981</v>
      </c>
      <c r="N76" s="291">
        <v>578526.02141493035</v>
      </c>
      <c r="O76" s="291">
        <v>659008.49356237182</v>
      </c>
      <c r="R76" s="337"/>
      <c r="S76" s="246">
        <f t="shared" si="37"/>
        <v>8.7915254237288138</v>
      </c>
      <c r="T76" s="252">
        <f t="shared" si="38"/>
        <v>0.04</v>
      </c>
      <c r="U76" s="291">
        <v>-93726.954692284926</v>
      </c>
      <c r="V76" s="291">
        <v>-29598.303551442688</v>
      </c>
      <c r="W76" s="291">
        <v>34530.347589400131</v>
      </c>
      <c r="X76" s="291">
        <v>139924.53672295809</v>
      </c>
      <c r="Y76" s="291">
        <v>204053.18786380056</v>
      </c>
      <c r="Z76" s="291">
        <v>268181.83900464326</v>
      </c>
      <c r="AA76" s="291">
        <v>332310.49014548631</v>
      </c>
      <c r="AB76" s="291">
        <v>396439.1412863289</v>
      </c>
      <c r="AC76" s="291">
        <v>460567.79242717172</v>
      </c>
      <c r="AD76" s="291">
        <v>524696.44356801384</v>
      </c>
      <c r="AE76" s="291">
        <v>588825.09470885643</v>
      </c>
      <c r="AG76" s="337"/>
      <c r="AH76" s="246">
        <f t="shared" si="39"/>
        <v>8.7915254237288138</v>
      </c>
      <c r="AI76" s="252">
        <f t="shared" si="40"/>
        <v>0.04</v>
      </c>
      <c r="AJ76" s="251">
        <v>213550.74892317492</v>
      </c>
      <c r="AK76" s="251">
        <v>229543.10781001952</v>
      </c>
      <c r="AL76" s="251">
        <v>245535.46669686423</v>
      </c>
      <c r="AM76" s="251">
        <v>273170.70796586247</v>
      </c>
      <c r="AN76" s="251">
        <v>289163.06685270718</v>
      </c>
      <c r="AO76" s="251">
        <v>305155.42573955166</v>
      </c>
      <c r="AP76" s="251">
        <v>321147.78462639637</v>
      </c>
      <c r="AQ76" s="251">
        <v>337140.14351324132</v>
      </c>
      <c r="AR76" s="251">
        <v>353132.50240008603</v>
      </c>
      <c r="AS76" s="251">
        <v>369124.86128693074</v>
      </c>
      <c r="AT76" s="251">
        <v>385117.22017377545</v>
      </c>
    </row>
    <row r="77" spans="2:46" x14ac:dyDescent="0.25">
      <c r="B77" s="337"/>
      <c r="C77" s="246">
        <f t="shared" si="35"/>
        <v>8.703610169491526</v>
      </c>
      <c r="D77" s="252">
        <f t="shared" si="36"/>
        <v>0.08</v>
      </c>
      <c r="E77" s="291">
        <v>-197781.510039874</v>
      </c>
      <c r="F77" s="291">
        <v>-117299.03789243253</v>
      </c>
      <c r="G77" s="291">
        <v>-36816.565744991531</v>
      </c>
      <c r="H77" s="291">
        <v>35421.758817296824</v>
      </c>
      <c r="I77" s="291">
        <v>115904.23096473794</v>
      </c>
      <c r="J77" s="291">
        <v>196386.70311217918</v>
      </c>
      <c r="K77" s="291">
        <v>276869.17525962042</v>
      </c>
      <c r="L77" s="291">
        <v>357351.64740706189</v>
      </c>
      <c r="M77" s="291">
        <v>437834.11955450266</v>
      </c>
      <c r="N77" s="291">
        <v>518316.59170194343</v>
      </c>
      <c r="O77" s="291">
        <v>598799.06384938513</v>
      </c>
      <c r="R77" s="337"/>
      <c r="S77" s="246">
        <f t="shared" si="37"/>
        <v>9.1296610169491519</v>
      </c>
      <c r="T77" s="252">
        <f t="shared" si="38"/>
        <v>0.08</v>
      </c>
      <c r="U77" s="291">
        <v>-142350.67822579492</v>
      </c>
      <c r="V77" s="291">
        <v>-78222.027084952453</v>
      </c>
      <c r="W77" s="291">
        <v>-14093.375944109517</v>
      </c>
      <c r="X77" s="291">
        <v>91300.813189448323</v>
      </c>
      <c r="Y77" s="291">
        <v>155429.46433029056</v>
      </c>
      <c r="Z77" s="291">
        <v>219558.11547113326</v>
      </c>
      <c r="AA77" s="291">
        <v>283686.76661197632</v>
      </c>
      <c r="AB77" s="291">
        <v>347815.41775281867</v>
      </c>
      <c r="AC77" s="291">
        <v>411944.06889366172</v>
      </c>
      <c r="AD77" s="291">
        <v>476072.72003450408</v>
      </c>
      <c r="AE77" s="291">
        <v>540201.37117534666</v>
      </c>
      <c r="AG77" s="337"/>
      <c r="AH77" s="246">
        <f t="shared" si="39"/>
        <v>9.1296610169491519</v>
      </c>
      <c r="AI77" s="252">
        <f t="shared" si="40"/>
        <v>0.08</v>
      </c>
      <c r="AJ77" s="251">
        <v>201900.61212457379</v>
      </c>
      <c r="AK77" s="251">
        <v>217892.97101141838</v>
      </c>
      <c r="AL77" s="251">
        <v>233885.32989826309</v>
      </c>
      <c r="AM77" s="251">
        <v>261520.57116726111</v>
      </c>
      <c r="AN77" s="251">
        <v>277512.93005410559</v>
      </c>
      <c r="AO77" s="251">
        <v>293505.2889409503</v>
      </c>
      <c r="AP77" s="251">
        <v>309497.64782779524</v>
      </c>
      <c r="AQ77" s="251">
        <v>325490.00671463995</v>
      </c>
      <c r="AR77" s="251">
        <v>341482.3656014849</v>
      </c>
      <c r="AS77" s="251">
        <v>357474.72448832938</v>
      </c>
      <c r="AT77" s="251">
        <v>373467.08337517385</v>
      </c>
    </row>
    <row r="78" spans="2:46" x14ac:dyDescent="0.25">
      <c r="B78" s="337"/>
      <c r="C78" s="246">
        <f t="shared" si="35"/>
        <v>9.025966101694916</v>
      </c>
      <c r="D78" s="252">
        <f t="shared" si="36"/>
        <v>0.12</v>
      </c>
      <c r="E78" s="291">
        <v>-257990.93975286128</v>
      </c>
      <c r="F78" s="291">
        <v>-177508.46760541969</v>
      </c>
      <c r="G78" s="291">
        <v>-97025.99545797857</v>
      </c>
      <c r="H78" s="291">
        <v>-24787.670895690215</v>
      </c>
      <c r="I78" s="291">
        <v>55694.801251750905</v>
      </c>
      <c r="J78" s="291">
        <v>136177.27339919214</v>
      </c>
      <c r="K78" s="291">
        <v>216659.74554663314</v>
      </c>
      <c r="L78" s="291">
        <v>297142.21769407415</v>
      </c>
      <c r="M78" s="291">
        <v>377624.68984151562</v>
      </c>
      <c r="N78" s="291">
        <v>458107.16198895639</v>
      </c>
      <c r="O78" s="291">
        <v>538589.63413639762</v>
      </c>
      <c r="R78" s="337"/>
      <c r="S78" s="246">
        <f t="shared" si="37"/>
        <v>9.4677966101694917</v>
      </c>
      <c r="T78" s="252">
        <f t="shared" si="38"/>
        <v>0.12</v>
      </c>
      <c r="U78" s="291">
        <v>-190974.40175930469</v>
      </c>
      <c r="V78" s="291">
        <v>-126845.7506184621</v>
      </c>
      <c r="W78" s="291">
        <v>-62717.099477619515</v>
      </c>
      <c r="X78" s="291">
        <v>42677.089655938558</v>
      </c>
      <c r="Y78" s="291">
        <v>106805.74079678091</v>
      </c>
      <c r="Z78" s="291">
        <v>170934.39193762373</v>
      </c>
      <c r="AA78" s="291">
        <v>235063.04307846678</v>
      </c>
      <c r="AB78" s="291">
        <v>299191.69421930891</v>
      </c>
      <c r="AC78" s="291">
        <v>363320.34536015196</v>
      </c>
      <c r="AD78" s="291">
        <v>427448.99650099431</v>
      </c>
      <c r="AE78" s="291">
        <v>491577.6476418369</v>
      </c>
      <c r="AG78" s="337"/>
      <c r="AH78" s="246">
        <f t="shared" si="39"/>
        <v>9.4677966101694917</v>
      </c>
      <c r="AI78" s="252">
        <f t="shared" si="40"/>
        <v>0.12</v>
      </c>
      <c r="AJ78" s="251">
        <v>190250.47532597219</v>
      </c>
      <c r="AK78" s="251">
        <v>206242.8342128169</v>
      </c>
      <c r="AL78" s="251">
        <v>222235.19309966161</v>
      </c>
      <c r="AM78" s="251">
        <v>249870.43436865939</v>
      </c>
      <c r="AN78" s="251">
        <v>265862.7932555041</v>
      </c>
      <c r="AO78" s="251">
        <v>281855.15214234882</v>
      </c>
      <c r="AP78" s="251">
        <v>297847.51102919376</v>
      </c>
      <c r="AQ78" s="251">
        <v>313839.86991603801</v>
      </c>
      <c r="AR78" s="251">
        <v>329832.22880288318</v>
      </c>
      <c r="AS78" s="251">
        <v>345824.58768972766</v>
      </c>
      <c r="AT78" s="251">
        <v>361816.94657657237</v>
      </c>
    </row>
    <row r="79" spans="2:46" x14ac:dyDescent="0.25">
      <c r="B79" s="337"/>
      <c r="C79" s="246">
        <f t="shared" si="35"/>
        <v>9.3082276465488007</v>
      </c>
      <c r="D79" s="252">
        <f t="shared" si="36"/>
        <v>0.15502483021479399</v>
      </c>
      <c r="E79" s="291">
        <v>-310711.56607853458</v>
      </c>
      <c r="F79" s="291">
        <v>-230229.093931093</v>
      </c>
      <c r="G79" s="291">
        <v>-149746.62178365199</v>
      </c>
      <c r="H79" s="291">
        <v>-77508.297221363522</v>
      </c>
      <c r="I79" s="291">
        <v>2974.1749260774814</v>
      </c>
      <c r="J79" s="291">
        <v>83456.647073518834</v>
      </c>
      <c r="K79" s="291">
        <v>163939.11922095995</v>
      </c>
      <c r="L79" s="291">
        <v>244421.59136840107</v>
      </c>
      <c r="M79" s="291">
        <v>324904.06351584231</v>
      </c>
      <c r="N79" s="291">
        <v>405386.53566328262</v>
      </c>
      <c r="O79" s="291">
        <v>485869.00781072455</v>
      </c>
      <c r="R79" s="337"/>
      <c r="S79" s="246">
        <f t="shared" si="37"/>
        <v>9.8059322033898297</v>
      </c>
      <c r="T79" s="252">
        <f t="shared" si="38"/>
        <v>0.16</v>
      </c>
      <c r="U79" s="291">
        <v>-239598.12529281445</v>
      </c>
      <c r="V79" s="291">
        <v>-175469.47415197187</v>
      </c>
      <c r="W79" s="291">
        <v>-111340.82301112928</v>
      </c>
      <c r="X79" s="291">
        <v>-5946.6338775712065</v>
      </c>
      <c r="Y79" s="291">
        <v>58182.017263271031</v>
      </c>
      <c r="Z79" s="291">
        <v>122310.66840411385</v>
      </c>
      <c r="AA79" s="291">
        <v>186439.31954495702</v>
      </c>
      <c r="AB79" s="291">
        <v>250567.97068579926</v>
      </c>
      <c r="AC79" s="291">
        <v>314696.62182664208</v>
      </c>
      <c r="AD79" s="291">
        <v>378825.2729674842</v>
      </c>
      <c r="AE79" s="291">
        <v>442953.92410832702</v>
      </c>
      <c r="AG79" s="337"/>
      <c r="AH79" s="246">
        <f t="shared" si="39"/>
        <v>9.8059322033898297</v>
      </c>
      <c r="AI79" s="252">
        <f t="shared" si="40"/>
        <v>0.16</v>
      </c>
      <c r="AJ79" s="251">
        <v>178600.33852737094</v>
      </c>
      <c r="AK79" s="251">
        <v>194592.69741421542</v>
      </c>
      <c r="AL79" s="251">
        <v>210585.05630106013</v>
      </c>
      <c r="AM79" s="251">
        <v>238220.29757005826</v>
      </c>
      <c r="AN79" s="251">
        <v>254212.65645690297</v>
      </c>
      <c r="AO79" s="251">
        <v>270205.01534374768</v>
      </c>
      <c r="AP79" s="251">
        <v>286197.3742305924</v>
      </c>
      <c r="AQ79" s="251">
        <v>302189.73311743734</v>
      </c>
      <c r="AR79" s="251">
        <v>318182.09200428205</v>
      </c>
      <c r="AS79" s="251">
        <v>334174.4508911263</v>
      </c>
      <c r="AT79" s="251">
        <v>350166.80977797124</v>
      </c>
    </row>
    <row r="80" spans="2:46" x14ac:dyDescent="0.25">
      <c r="B80" s="337"/>
      <c r="C80" s="246">
        <f t="shared" si="35"/>
        <v>9.630583578752189</v>
      </c>
      <c r="D80" s="252">
        <f t="shared" si="36"/>
        <v>0.195024830214794</v>
      </c>
      <c r="E80" s="291">
        <v>-370920.99579152121</v>
      </c>
      <c r="F80" s="291">
        <v>-290438.5236440798</v>
      </c>
      <c r="G80" s="291">
        <v>-209956.05149663868</v>
      </c>
      <c r="H80" s="291">
        <v>-137717.7269343501</v>
      </c>
      <c r="I80" s="291">
        <v>-57235.254786909209</v>
      </c>
      <c r="J80" s="291">
        <v>23247.217360532028</v>
      </c>
      <c r="K80" s="291">
        <v>103729.68950797315</v>
      </c>
      <c r="L80" s="291">
        <v>184212.1616554145</v>
      </c>
      <c r="M80" s="291">
        <v>264694.63380285585</v>
      </c>
      <c r="N80" s="291">
        <v>345177.10595029616</v>
      </c>
      <c r="O80" s="291">
        <v>425659.57809773763</v>
      </c>
      <c r="R80" s="337"/>
      <c r="S80" s="246">
        <f t="shared" si="37"/>
        <v>10.144067796610168</v>
      </c>
      <c r="T80" s="252">
        <f t="shared" si="38"/>
        <v>0.19232221939786401</v>
      </c>
      <c r="U80" s="291">
        <v>-278888.79179259401</v>
      </c>
      <c r="V80" s="291">
        <v>-214760.14065175154</v>
      </c>
      <c r="W80" s="291">
        <v>-150631.48951090884</v>
      </c>
      <c r="X80" s="291">
        <v>-45237.300377350766</v>
      </c>
      <c r="Y80" s="291">
        <v>18891.350763491471</v>
      </c>
      <c r="Z80" s="291">
        <v>83020.001904334407</v>
      </c>
      <c r="AA80" s="291">
        <v>147148.65304517723</v>
      </c>
      <c r="AB80" s="291">
        <v>211277.30418601958</v>
      </c>
      <c r="AC80" s="291">
        <v>275405.95532686252</v>
      </c>
      <c r="AD80" s="291">
        <v>339534.6064677051</v>
      </c>
      <c r="AE80" s="291">
        <v>403663.25760854769</v>
      </c>
      <c r="AG80" s="337"/>
      <c r="AH80" s="246">
        <f t="shared" si="39"/>
        <v>10.144067796610168</v>
      </c>
      <c r="AI80" s="252">
        <f t="shared" si="40"/>
        <v>0.2</v>
      </c>
      <c r="AJ80" s="251">
        <v>166950.20172876958</v>
      </c>
      <c r="AK80" s="251">
        <v>182942.56061561429</v>
      </c>
      <c r="AL80" s="251">
        <v>198934.91950245888</v>
      </c>
      <c r="AM80" s="251">
        <v>226570.16077145701</v>
      </c>
      <c r="AN80" s="251">
        <v>242562.51965830149</v>
      </c>
      <c r="AO80" s="251">
        <v>258554.8785451462</v>
      </c>
      <c r="AP80" s="251">
        <v>274547.23743199091</v>
      </c>
      <c r="AQ80" s="251">
        <v>290539.59631883586</v>
      </c>
      <c r="AR80" s="251">
        <v>306531.95520568057</v>
      </c>
      <c r="AS80" s="251">
        <v>322524.31409252505</v>
      </c>
      <c r="AT80" s="251">
        <v>338516.67297936999</v>
      </c>
    </row>
    <row r="82" spans="5:25" x14ac:dyDescent="0.25">
      <c r="U82" s="292"/>
    </row>
    <row r="84" spans="5:25" x14ac:dyDescent="0.25">
      <c r="E84" s="251">
        <f>+$E$68-C70</f>
        <v>2.3934211635587479</v>
      </c>
      <c r="F84" s="251">
        <f>+$F$68-C70</f>
        <v>2.8337601466095963</v>
      </c>
      <c r="G84" s="251">
        <f>+$G$68-C70</f>
        <v>3.2740991296604447</v>
      </c>
      <c r="H84" s="251">
        <f>+$H$68-C70</f>
        <v>3.6693323963123623</v>
      </c>
      <c r="I84" s="251">
        <f>+$I$68-C70</f>
        <v>4.1096713793632089</v>
      </c>
      <c r="J84" s="251">
        <f>+$J$68-C70</f>
        <v>4.5500103624140573</v>
      </c>
      <c r="K84" s="251">
        <f>+$K$68-C70</f>
        <v>4.9903493454649057</v>
      </c>
      <c r="L84" s="251">
        <f>+$L$68-C70</f>
        <v>5.4306883285157523</v>
      </c>
      <c r="M84" s="251">
        <f>+$M$68-C70</f>
        <v>5.8710273115666007</v>
      </c>
      <c r="N84" s="251">
        <f>+$N$68-C70</f>
        <v>6.3113662946174456</v>
      </c>
      <c r="O84" s="251">
        <f>+$O$68-C70</f>
        <v>6.751705277668294</v>
      </c>
      <c r="U84" s="246">
        <f>+$U$68-S70</f>
        <v>2.0357611014281147</v>
      </c>
      <c r="V84" s="246">
        <f>+$V$68-S70</f>
        <v>2.4775916099026922</v>
      </c>
      <c r="W84" s="246">
        <f>+$W$68-S70</f>
        <v>2.9194221183772679</v>
      </c>
      <c r="X84" s="246">
        <f>+$X$68-S70</f>
        <v>3.6455619536417601</v>
      </c>
      <c r="Y84" s="246">
        <f>+$Y$68-S70</f>
        <v>4.087392462116334</v>
      </c>
    </row>
    <row r="85" spans="5:25" x14ac:dyDescent="0.25">
      <c r="E85" s="251">
        <f t="shared" ref="E85:E94" si="41">+$E$68-C71</f>
        <v>2.0710652313553579</v>
      </c>
      <c r="F85" s="251">
        <f t="shared" ref="F85:F94" si="42">+$F$68-C71</f>
        <v>2.5114042144062063</v>
      </c>
      <c r="G85" s="251">
        <f t="shared" ref="G85:G94" si="43">+$G$68-C71</f>
        <v>2.9517431974570547</v>
      </c>
      <c r="H85" s="251">
        <f t="shared" ref="H85:H94" si="44">+$H$68-C71</f>
        <v>3.3469764641089723</v>
      </c>
      <c r="I85" s="251">
        <f t="shared" ref="I85:I94" si="45">+$I$68-C71</f>
        <v>3.7873154471598189</v>
      </c>
      <c r="J85" s="251">
        <f t="shared" ref="J85:J94" si="46">+$J$68-C71</f>
        <v>4.2276544302106673</v>
      </c>
      <c r="K85" s="251">
        <f t="shared" ref="K85:K94" si="47">+$K$68-C71</f>
        <v>4.6679934132615157</v>
      </c>
      <c r="L85" s="251">
        <f t="shared" ref="L85:L94" si="48">+$L$68-C71</f>
        <v>5.1083323963123624</v>
      </c>
      <c r="M85" s="251">
        <f t="shared" ref="M85:M94" si="49">+$M$68-C71</f>
        <v>5.5486713793632108</v>
      </c>
      <c r="N85" s="251">
        <f t="shared" ref="N85:N94" si="50">+$N$68-C71</f>
        <v>5.9890103624140556</v>
      </c>
      <c r="O85" s="251">
        <f t="shared" ref="O85:O94" si="51">+$O$68-C71</f>
        <v>6.429349345464904</v>
      </c>
      <c r="U85" s="246">
        <f t="shared" ref="U85:U94" si="52">+$U$68-S71</f>
        <v>1.6976255082077758</v>
      </c>
      <c r="V85" s="246">
        <f t="shared" ref="V85:V94" si="53">+$V$68-S71</f>
        <v>2.1394560166823533</v>
      </c>
      <c r="W85" s="246">
        <f t="shared" ref="W85:W94" si="54">+$W$68-S71</f>
        <v>2.581286525156929</v>
      </c>
      <c r="X85" s="246">
        <f t="shared" ref="X85:X94" si="55">+$X$68-S71</f>
        <v>3.3074263604214211</v>
      </c>
      <c r="Y85" s="246">
        <f t="shared" ref="Y85:Y94" si="56">+$Y$68-S71</f>
        <v>3.7492568688959951</v>
      </c>
    </row>
    <row r="86" spans="5:25" x14ac:dyDescent="0.25">
      <c r="E86" s="251">
        <f t="shared" si="41"/>
        <v>1.7487092991519688</v>
      </c>
      <c r="F86" s="251">
        <f t="shared" si="42"/>
        <v>2.1890482822028172</v>
      </c>
      <c r="G86" s="251">
        <f t="shared" si="43"/>
        <v>2.6293872652536656</v>
      </c>
      <c r="H86" s="251">
        <f t="shared" si="44"/>
        <v>3.0246205319055832</v>
      </c>
      <c r="I86" s="251">
        <f t="shared" si="45"/>
        <v>3.4649595149564298</v>
      </c>
      <c r="J86" s="251">
        <f t="shared" si="46"/>
        <v>3.9052984980072782</v>
      </c>
      <c r="K86" s="251">
        <f t="shared" si="47"/>
        <v>4.3456374810581266</v>
      </c>
      <c r="L86" s="251">
        <f t="shared" si="48"/>
        <v>4.7859764641089733</v>
      </c>
      <c r="M86" s="251">
        <f t="shared" si="49"/>
        <v>5.2263154471598217</v>
      </c>
      <c r="N86" s="251">
        <f t="shared" si="50"/>
        <v>5.6666544302106665</v>
      </c>
      <c r="O86" s="251">
        <f t="shared" si="51"/>
        <v>6.1069934132615149</v>
      </c>
      <c r="U86" s="246">
        <f t="shared" si="52"/>
        <v>1.3594899149874369</v>
      </c>
      <c r="V86" s="246">
        <f t="shared" si="53"/>
        <v>1.8013204234620144</v>
      </c>
      <c r="W86" s="246">
        <f t="shared" si="54"/>
        <v>2.2431509319365901</v>
      </c>
      <c r="X86" s="246">
        <f t="shared" si="55"/>
        <v>2.9692907672010822</v>
      </c>
      <c r="Y86" s="246">
        <f t="shared" si="56"/>
        <v>3.4111212756756562</v>
      </c>
    </row>
    <row r="87" spans="5:25" x14ac:dyDescent="0.25">
      <c r="E87" s="254">
        <f t="shared" si="41"/>
        <v>1.4376989367379105</v>
      </c>
      <c r="F87" s="251">
        <f t="shared" si="42"/>
        <v>1.8780379197887589</v>
      </c>
      <c r="G87" s="251">
        <f t="shared" si="43"/>
        <v>2.3183769028396073</v>
      </c>
      <c r="H87" s="251">
        <f t="shared" si="44"/>
        <v>2.7136101694915249</v>
      </c>
      <c r="I87" s="251">
        <f t="shared" si="45"/>
        <v>3.1539491525423715</v>
      </c>
      <c r="J87" s="251">
        <f t="shared" si="46"/>
        <v>3.5942881355932199</v>
      </c>
      <c r="K87" s="251">
        <f t="shared" si="47"/>
        <v>4.0346271186440683</v>
      </c>
      <c r="L87" s="251">
        <f t="shared" si="48"/>
        <v>4.4749661016949149</v>
      </c>
      <c r="M87" s="251">
        <f t="shared" si="49"/>
        <v>4.9153050847457633</v>
      </c>
      <c r="N87" s="251">
        <f t="shared" si="50"/>
        <v>5.3556440677966082</v>
      </c>
      <c r="O87" s="251">
        <f t="shared" si="51"/>
        <v>5.7959830508474566</v>
      </c>
      <c r="U87" s="246">
        <f t="shared" si="52"/>
        <v>0.77518219863381432</v>
      </c>
      <c r="V87" s="246">
        <f t="shared" si="53"/>
        <v>1.2170127071083918</v>
      </c>
      <c r="W87" s="246">
        <f t="shared" si="54"/>
        <v>1.6588432155829675</v>
      </c>
      <c r="X87" s="246">
        <f t="shared" si="55"/>
        <v>2.3849830508474597</v>
      </c>
      <c r="Y87" s="246">
        <f t="shared" si="56"/>
        <v>2.8268135593220336</v>
      </c>
    </row>
    <row r="88" spans="5:25" x14ac:dyDescent="0.25">
      <c r="E88" s="254">
        <f t="shared" si="41"/>
        <v>1.1153430045345214</v>
      </c>
      <c r="F88" s="254">
        <f t="shared" si="42"/>
        <v>1.5556819875853698</v>
      </c>
      <c r="G88" s="251">
        <f t="shared" si="43"/>
        <v>1.9960209706362182</v>
      </c>
      <c r="H88" s="251">
        <f t="shared" si="44"/>
        <v>2.3912542372881358</v>
      </c>
      <c r="I88" s="251">
        <f t="shared" si="45"/>
        <v>2.8315932203389824</v>
      </c>
      <c r="J88" s="251">
        <f t="shared" si="46"/>
        <v>3.2719322033898308</v>
      </c>
      <c r="K88" s="251">
        <f t="shared" si="47"/>
        <v>3.7122711864406792</v>
      </c>
      <c r="L88" s="251">
        <f t="shared" si="48"/>
        <v>4.1526101694915258</v>
      </c>
      <c r="M88" s="251">
        <f t="shared" si="49"/>
        <v>4.5929491525423742</v>
      </c>
      <c r="N88" s="251">
        <f t="shared" si="50"/>
        <v>5.0332881355932191</v>
      </c>
      <c r="O88" s="251">
        <f t="shared" si="51"/>
        <v>5.4736271186440675</v>
      </c>
      <c r="U88" s="246">
        <f t="shared" si="52"/>
        <v>0.43704660541347629</v>
      </c>
      <c r="V88" s="246">
        <f t="shared" si="53"/>
        <v>0.87887711388805378</v>
      </c>
      <c r="W88" s="246">
        <f t="shared" si="54"/>
        <v>1.3207076223626295</v>
      </c>
      <c r="X88" s="246">
        <f t="shared" si="55"/>
        <v>2.0468474576271216</v>
      </c>
      <c r="Y88" s="246">
        <f t="shared" si="56"/>
        <v>2.4886779661016956</v>
      </c>
    </row>
    <row r="89" spans="5:25" x14ac:dyDescent="0.25">
      <c r="E89" s="254">
        <f t="shared" si="41"/>
        <v>0.79298707233113142</v>
      </c>
      <c r="F89" s="254">
        <f t="shared" si="42"/>
        <v>1.2333260553819798</v>
      </c>
      <c r="G89" s="251">
        <f t="shared" si="43"/>
        <v>1.6736650384328282</v>
      </c>
      <c r="H89" s="251">
        <f t="shared" si="44"/>
        <v>2.0688983050847458</v>
      </c>
      <c r="I89" s="251">
        <f t="shared" si="45"/>
        <v>2.5092372881355924</v>
      </c>
      <c r="J89" s="251">
        <f t="shared" si="46"/>
        <v>2.9495762711864408</v>
      </c>
      <c r="K89" s="251">
        <f t="shared" si="47"/>
        <v>3.3899152542372892</v>
      </c>
      <c r="L89" s="251">
        <f t="shared" si="48"/>
        <v>3.8302542372881359</v>
      </c>
      <c r="M89" s="251">
        <f t="shared" si="49"/>
        <v>4.2705932203389843</v>
      </c>
      <c r="N89" s="251">
        <f t="shared" si="50"/>
        <v>4.7109322033898291</v>
      </c>
      <c r="O89" s="251">
        <f t="shared" si="51"/>
        <v>5.1512711864406775</v>
      </c>
      <c r="U89" s="246">
        <f t="shared" si="52"/>
        <v>0.35653813083720287</v>
      </c>
      <c r="V89" s="246">
        <f t="shared" si="53"/>
        <v>0.79836863931178037</v>
      </c>
      <c r="W89" s="246">
        <f t="shared" si="54"/>
        <v>1.2401991477863561</v>
      </c>
      <c r="X89" s="246">
        <f t="shared" si="55"/>
        <v>1.9663389830508482</v>
      </c>
      <c r="Y89" s="246">
        <f t="shared" si="56"/>
        <v>2.4081694915254221</v>
      </c>
    </row>
    <row r="90" spans="5:25" x14ac:dyDescent="0.25">
      <c r="E90" s="254">
        <f t="shared" si="41"/>
        <v>0.47063114012774143</v>
      </c>
      <c r="F90" s="254">
        <f t="shared" si="42"/>
        <v>0.91097012317858983</v>
      </c>
      <c r="G90" s="254">
        <f t="shared" si="43"/>
        <v>1.3513091062294382</v>
      </c>
      <c r="H90" s="251">
        <f t="shared" si="44"/>
        <v>1.7465423728813558</v>
      </c>
      <c r="I90" s="251">
        <f t="shared" si="45"/>
        <v>2.1868813559322025</v>
      </c>
      <c r="J90" s="251">
        <f t="shared" si="46"/>
        <v>2.6272203389830509</v>
      </c>
      <c r="K90" s="251">
        <f t="shared" si="47"/>
        <v>3.0675593220338992</v>
      </c>
      <c r="L90" s="251">
        <f t="shared" si="48"/>
        <v>3.5078983050847459</v>
      </c>
      <c r="M90" s="251">
        <f t="shared" si="49"/>
        <v>3.9482372881355943</v>
      </c>
      <c r="N90" s="251">
        <f t="shared" si="50"/>
        <v>4.3885762711864391</v>
      </c>
      <c r="O90" s="251">
        <f t="shared" si="51"/>
        <v>4.8289152542372875</v>
      </c>
      <c r="U90" s="246">
        <f t="shared" si="52"/>
        <v>-0.23922458102720334</v>
      </c>
      <c r="V90" s="246">
        <f t="shared" si="53"/>
        <v>0.20260592744737416</v>
      </c>
      <c r="W90" s="246">
        <f t="shared" si="54"/>
        <v>0.64443643592194988</v>
      </c>
      <c r="X90" s="246">
        <f t="shared" si="55"/>
        <v>1.370576271186442</v>
      </c>
      <c r="Y90" s="246">
        <f t="shared" si="56"/>
        <v>1.8124067796610159</v>
      </c>
    </row>
    <row r="91" spans="5:25" x14ac:dyDescent="0.25">
      <c r="E91" s="254">
        <f t="shared" si="41"/>
        <v>0.14827520792435145</v>
      </c>
      <c r="F91" s="254">
        <f t="shared" si="42"/>
        <v>0.58861419097519985</v>
      </c>
      <c r="G91" s="254">
        <f t="shared" si="43"/>
        <v>1.0289531740260482</v>
      </c>
      <c r="H91" s="254">
        <f t="shared" si="44"/>
        <v>1.4241864406779658</v>
      </c>
      <c r="I91" s="251">
        <f t="shared" si="45"/>
        <v>1.8645254237288125</v>
      </c>
      <c r="J91" s="251">
        <f t="shared" si="46"/>
        <v>2.3048644067796609</v>
      </c>
      <c r="K91" s="251">
        <f t="shared" si="47"/>
        <v>2.7452033898305093</v>
      </c>
      <c r="L91" s="251">
        <f t="shared" si="48"/>
        <v>3.1855423728813559</v>
      </c>
      <c r="M91" s="251">
        <f t="shared" si="49"/>
        <v>3.6258813559322043</v>
      </c>
      <c r="N91" s="251">
        <f t="shared" si="50"/>
        <v>4.0662203389830491</v>
      </c>
      <c r="O91" s="251">
        <f t="shared" si="51"/>
        <v>4.5065593220338975</v>
      </c>
      <c r="U91" s="246">
        <f t="shared" si="52"/>
        <v>-0.57736017424754138</v>
      </c>
      <c r="V91" s="246">
        <f t="shared" si="53"/>
        <v>-0.13552966577296388</v>
      </c>
      <c r="W91" s="246">
        <f t="shared" si="54"/>
        <v>0.30630084270161184</v>
      </c>
      <c r="X91" s="246">
        <f t="shared" si="55"/>
        <v>1.0324406779661039</v>
      </c>
      <c r="Y91" s="246">
        <f t="shared" si="56"/>
        <v>1.4742711864406779</v>
      </c>
    </row>
    <row r="92" spans="5:25" x14ac:dyDescent="0.25">
      <c r="E92" s="254">
        <f t="shared" si="41"/>
        <v>-0.17408072427903853</v>
      </c>
      <c r="F92" s="254">
        <f t="shared" si="42"/>
        <v>0.26625825877180986</v>
      </c>
      <c r="G92" s="254">
        <f t="shared" si="43"/>
        <v>0.70659724182265826</v>
      </c>
      <c r="H92" s="254">
        <f t="shared" si="44"/>
        <v>1.1018305084745759</v>
      </c>
      <c r="I92" s="254">
        <f t="shared" si="45"/>
        <v>1.5421694915254225</v>
      </c>
      <c r="J92" s="251">
        <f t="shared" si="46"/>
        <v>1.9825084745762709</v>
      </c>
      <c r="K92" s="251">
        <f t="shared" si="47"/>
        <v>2.4228474576271193</v>
      </c>
      <c r="L92" s="251">
        <f t="shared" si="48"/>
        <v>2.8631864406779659</v>
      </c>
      <c r="M92" s="251">
        <f t="shared" si="49"/>
        <v>3.3035254237288143</v>
      </c>
      <c r="N92" s="251">
        <f t="shared" si="50"/>
        <v>3.7438644067796591</v>
      </c>
      <c r="O92" s="251">
        <f t="shared" si="51"/>
        <v>4.1842033898305075</v>
      </c>
      <c r="U92" s="246">
        <f t="shared" si="52"/>
        <v>-0.91549576746788119</v>
      </c>
      <c r="V92" s="246">
        <f t="shared" si="53"/>
        <v>-0.47366525899330369</v>
      </c>
      <c r="W92" s="246">
        <f t="shared" si="54"/>
        <v>-3.1834750518727972E-2</v>
      </c>
      <c r="X92" s="246">
        <f t="shared" si="55"/>
        <v>0.69430508474576413</v>
      </c>
      <c r="Y92" s="246">
        <f t="shared" si="56"/>
        <v>1.1361355932203381</v>
      </c>
    </row>
    <row r="93" spans="5:25" x14ac:dyDescent="0.25">
      <c r="E93" s="254">
        <f t="shared" si="41"/>
        <v>-0.45634226913292331</v>
      </c>
      <c r="F93" s="254">
        <f t="shared" si="42"/>
        <v>-1.6003286082074908E-2</v>
      </c>
      <c r="G93" s="254">
        <f t="shared" si="43"/>
        <v>0.42433569696877349</v>
      </c>
      <c r="H93" s="254">
        <f t="shared" si="44"/>
        <v>0.81956896362069109</v>
      </c>
      <c r="I93" s="254">
        <f t="shared" si="45"/>
        <v>1.2599079466715377</v>
      </c>
      <c r="J93" s="251">
        <f t="shared" si="46"/>
        <v>1.7002469297223861</v>
      </c>
      <c r="K93" s="251">
        <f t="shared" si="47"/>
        <v>2.1405859127732345</v>
      </c>
      <c r="L93" s="251">
        <f t="shared" si="48"/>
        <v>2.5809248958240811</v>
      </c>
      <c r="M93" s="251">
        <f t="shared" si="49"/>
        <v>3.0212638788749295</v>
      </c>
      <c r="N93" s="251">
        <f t="shared" si="50"/>
        <v>3.4616028619257744</v>
      </c>
      <c r="O93" s="251">
        <f t="shared" si="51"/>
        <v>3.9019418449766228</v>
      </c>
      <c r="U93" s="246">
        <f t="shared" si="52"/>
        <v>-1.2536313606882192</v>
      </c>
      <c r="V93" s="246">
        <f t="shared" si="53"/>
        <v>-0.81180085221364173</v>
      </c>
      <c r="W93" s="246">
        <f t="shared" si="54"/>
        <v>-0.36997034373906601</v>
      </c>
      <c r="X93" s="246">
        <f t="shared" si="55"/>
        <v>0.3561694915254261</v>
      </c>
      <c r="Y93" s="246">
        <f t="shared" si="56"/>
        <v>0.79800000000000004</v>
      </c>
    </row>
    <row r="94" spans="5:25" x14ac:dyDescent="0.25">
      <c r="E94" s="254">
        <f t="shared" si="41"/>
        <v>-0.77869820133631151</v>
      </c>
      <c r="F94" s="254">
        <f t="shared" si="42"/>
        <v>-0.33835921828546311</v>
      </c>
      <c r="G94" s="254">
        <f t="shared" si="43"/>
        <v>0.10197976476538528</v>
      </c>
      <c r="H94" s="254">
        <f t="shared" si="44"/>
        <v>0.49721303141730289</v>
      </c>
      <c r="I94" s="254">
        <f t="shared" si="45"/>
        <v>0.93755201446814951</v>
      </c>
      <c r="J94" s="254">
        <f t="shared" si="46"/>
        <v>1.3778909975189979</v>
      </c>
      <c r="K94" s="251">
        <f t="shared" si="47"/>
        <v>1.8182299805698463</v>
      </c>
      <c r="L94" s="251">
        <f t="shared" si="48"/>
        <v>2.2585689636206929</v>
      </c>
      <c r="M94" s="251">
        <f t="shared" si="49"/>
        <v>2.6989079466715413</v>
      </c>
      <c r="N94" s="251">
        <f t="shared" si="50"/>
        <v>3.1392469297223862</v>
      </c>
      <c r="O94" s="251">
        <f t="shared" si="51"/>
        <v>3.5795859127732346</v>
      </c>
      <c r="U94" s="246">
        <f t="shared" si="52"/>
        <v>-1.5917669539085573</v>
      </c>
      <c r="V94" s="246">
        <f t="shared" si="53"/>
        <v>-1.1499364454339798</v>
      </c>
      <c r="W94" s="246">
        <f t="shared" si="54"/>
        <v>-0.70810593695940405</v>
      </c>
      <c r="X94" s="246">
        <f t="shared" si="55"/>
        <v>1.8033898305088059E-2</v>
      </c>
      <c r="Y94" s="246">
        <f t="shared" si="56"/>
        <v>0.459864406779662</v>
      </c>
    </row>
  </sheetData>
  <scenarios current="2" show="0" sqref="L6:O6">
    <scenario name="Probable" locked="1" count="6" user="ASUS" comment="Creado por ASUS el 23/02/2021_x000a_Modificado por ASUS el 23/02/2021_x000a_Modificado por ASUS el 25/02/2021">
      <inputCells r="F6" val="0" numFmtId="9"/>
      <inputCells r="F7" val="0" numFmtId="9"/>
      <inputCells r="F8" val="0" numFmtId="9"/>
      <inputCells r="F9" val="0" numFmtId="9"/>
      <inputCells r="F10" val="0" numFmtId="9"/>
      <inputCells r="F11" val="0" numFmtId="9"/>
    </scenario>
    <scenario name="Pesimista" locked="1" count="6" user="ASUS" comment="Creado por ASUS el 23/02/2021_x000a_Modificado por ASUS el 23/02/2021_x000a_Modificado por ASUS el 25/02/2021">
      <inputCells r="F6" val="-0.1" numFmtId="9"/>
      <inputCells r="F7" val="-0.12" numFmtId="9"/>
      <inputCells r="F8" val="-0.2" numFmtId="9"/>
      <inputCells r="F9" val="0.15" numFmtId="9"/>
      <inputCells r="F10" val="0.18" numFmtId="9"/>
      <inputCells r="F11" val="0.2" numFmtId="9"/>
    </scenario>
    <scenario name="Optimista" locked="1" count="6" user="ASUS" comment="Creado por ASUS el 23/02/2021_x000a_Modificado por ASUS el 25/02/2021">
      <inputCells r="F6" val="0.15" numFmtId="9"/>
      <inputCells r="F7" val="0.18" numFmtId="9"/>
      <inputCells r="F8" val="0.2" numFmtId="9"/>
      <inputCells r="F9" val="-0.1" numFmtId="9"/>
      <inputCells r="F10" val="-0.12" numFmtId="9"/>
      <inputCells r="F11" val="-0.18" numFmtId="9"/>
    </scenario>
  </scenarios>
  <mergeCells count="13">
    <mergeCell ref="AJ67:AT67"/>
    <mergeCell ref="AG69:AG80"/>
    <mergeCell ref="B70:B80"/>
    <mergeCell ref="E67:O67"/>
    <mergeCell ref="D2:J2"/>
    <mergeCell ref="R69:R80"/>
    <mergeCell ref="U67:AE67"/>
    <mergeCell ref="K34:P34"/>
    <mergeCell ref="T34:Y34"/>
    <mergeCell ref="D18:I18"/>
    <mergeCell ref="K18:P18"/>
    <mergeCell ref="T18:Y18"/>
    <mergeCell ref="D34:I34"/>
  </mergeCells>
  <phoneticPr fontId="2" type="noConversion"/>
  <conditionalFormatting sqref="F21:F31">
    <cfRule type="cellIs" dxfId="17" priority="19" operator="lessThan">
      <formula>0</formula>
    </cfRule>
  </conditionalFormatting>
  <conditionalFormatting sqref="H21:H31">
    <cfRule type="cellIs" dxfId="16" priority="18" operator="lessThan">
      <formula>0</formula>
    </cfRule>
  </conditionalFormatting>
  <conditionalFormatting sqref="M21:M31">
    <cfRule type="cellIs" dxfId="15" priority="17" operator="lessThan">
      <formula>0</formula>
    </cfRule>
  </conditionalFormatting>
  <conditionalFormatting sqref="O21:O31">
    <cfRule type="cellIs" dxfId="14" priority="16" operator="lessThan">
      <formula>0</formula>
    </cfRule>
  </conditionalFormatting>
  <conditionalFormatting sqref="V21:V31">
    <cfRule type="cellIs" dxfId="13" priority="15" operator="lessThan">
      <formula>0</formula>
    </cfRule>
  </conditionalFormatting>
  <conditionalFormatting sqref="X21:X31">
    <cfRule type="cellIs" dxfId="12" priority="14" operator="lessThan">
      <formula>0</formula>
    </cfRule>
  </conditionalFormatting>
  <conditionalFormatting sqref="F37:F47">
    <cfRule type="cellIs" dxfId="11" priority="13" operator="lessThan">
      <formula>0</formula>
    </cfRule>
  </conditionalFormatting>
  <conditionalFormatting sqref="H37:H47">
    <cfRule type="cellIs" dxfId="10" priority="12" operator="lessThan">
      <formula>0</formula>
    </cfRule>
  </conditionalFormatting>
  <conditionalFormatting sqref="M37:M47">
    <cfRule type="cellIs" dxfId="9" priority="11" operator="lessThan">
      <formula>0</formula>
    </cfRule>
  </conditionalFormatting>
  <conditionalFormatting sqref="O37:O47">
    <cfRule type="cellIs" dxfId="8" priority="10" operator="lessThan">
      <formula>0</formula>
    </cfRule>
  </conditionalFormatting>
  <conditionalFormatting sqref="V37:V47">
    <cfRule type="cellIs" dxfId="7" priority="9" operator="lessThan">
      <formula>0</formula>
    </cfRule>
  </conditionalFormatting>
  <conditionalFormatting sqref="X37:X47">
    <cfRule type="cellIs" dxfId="6" priority="8" operator="lessThan">
      <formula>0</formula>
    </cfRule>
  </conditionalFormatting>
  <conditionalFormatting sqref="F52:F62">
    <cfRule type="cellIs" dxfId="5" priority="7" operator="lessThan">
      <formula>0</formula>
    </cfRule>
  </conditionalFormatting>
  <conditionalFormatting sqref="H52:H62">
    <cfRule type="cellIs" dxfId="4" priority="6" operator="lessThan">
      <formula>0</formula>
    </cfRule>
  </conditionalFormatting>
  <conditionalFormatting sqref="E70:O80">
    <cfRule type="cellIs" dxfId="3" priority="5" operator="lessThan">
      <formula>0</formula>
    </cfRule>
  </conditionalFormatting>
  <conditionalFormatting sqref="U70:AE80">
    <cfRule type="cellIs" dxfId="2" priority="3" operator="lessThan">
      <formula>0</formula>
    </cfRule>
  </conditionalFormatting>
  <conditionalFormatting sqref="AJ70:AT80">
    <cfRule type="cellIs" dxfId="1" priority="2" operator="lessThan">
      <formula>0</formula>
    </cfRule>
  </conditionalFormatting>
  <conditionalFormatting sqref="U84:Y94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CB62-9A48-4DCF-88BD-40F845469083}">
  <dimension ref="B2:L18"/>
  <sheetViews>
    <sheetView workbookViewId="0">
      <selection activeCell="J8" sqref="J8"/>
    </sheetView>
  </sheetViews>
  <sheetFormatPr baseColWidth="10" defaultRowHeight="15" x14ac:dyDescent="0.25"/>
  <cols>
    <col min="1" max="1" width="11.42578125" style="1"/>
    <col min="2" max="5" width="14.7109375" style="1" customWidth="1"/>
    <col min="6" max="6" width="11.5703125" style="202" customWidth="1"/>
    <col min="7" max="17" width="11.5703125" style="1" customWidth="1"/>
    <col min="18" max="18" width="2" style="1" customWidth="1"/>
    <col min="19" max="16384" width="11.42578125" style="1"/>
  </cols>
  <sheetData>
    <row r="2" spans="2:12" x14ac:dyDescent="0.25">
      <c r="B2" s="339" t="s">
        <v>5</v>
      </c>
      <c r="C2" s="339"/>
      <c r="D2" s="339"/>
      <c r="F2" s="340" t="s">
        <v>275</v>
      </c>
      <c r="G2" s="340"/>
      <c r="I2"/>
      <c r="J2" s="261"/>
      <c r="K2" s="261"/>
      <c r="L2" s="261"/>
    </row>
    <row r="3" spans="2:12" x14ac:dyDescent="0.25">
      <c r="B3" s="204"/>
      <c r="C3" s="204" t="s">
        <v>6</v>
      </c>
      <c r="D3" s="204" t="s">
        <v>7</v>
      </c>
      <c r="F3" s="6" t="s">
        <v>465</v>
      </c>
      <c r="G3" s="331">
        <v>0.29499999999999998</v>
      </c>
      <c r="I3"/>
      <c r="J3" s="262"/>
      <c r="K3" s="264"/>
      <c r="L3" s="262"/>
    </row>
    <row r="4" spans="2:12" x14ac:dyDescent="0.25">
      <c r="B4" s="30" t="s">
        <v>2</v>
      </c>
      <c r="C4" s="31">
        <f>+(D4/1.18)*(1+'Análisis de sensibilidad'!F6)</f>
        <v>11.008474576271187</v>
      </c>
      <c r="D4" s="31">
        <v>12.99</v>
      </c>
      <c r="F4" s="332"/>
      <c r="G4" s="333"/>
      <c r="I4"/>
      <c r="J4" s="262"/>
      <c r="K4" s="264"/>
      <c r="L4" s="262"/>
    </row>
    <row r="5" spans="2:12" x14ac:dyDescent="0.25">
      <c r="B5" s="30" t="s">
        <v>3</v>
      </c>
      <c r="C5" s="31">
        <f>+(D5/1.18)*(1+'Análisis de sensibilidad'!F7)</f>
        <v>11.045762711864407</v>
      </c>
      <c r="D5" s="31">
        <v>13.034000000000001</v>
      </c>
      <c r="I5"/>
      <c r="J5" s="262"/>
      <c r="K5" s="264"/>
      <c r="L5" s="262"/>
    </row>
    <row r="6" spans="2:12" x14ac:dyDescent="0.25">
      <c r="B6" s="30" t="s">
        <v>4</v>
      </c>
      <c r="C6" s="31">
        <f>+(D6/1.18)*(1+'Análisis de sensibilidad'!F8)</f>
        <v>11.858389830508473</v>
      </c>
      <c r="D6" s="31">
        <v>13.992899999999997</v>
      </c>
      <c r="F6" s="201" t="s">
        <v>366</v>
      </c>
      <c r="I6"/>
      <c r="J6" s="262"/>
      <c r="K6" s="264"/>
      <c r="L6" s="263"/>
    </row>
    <row r="7" spans="2:12" x14ac:dyDescent="0.25">
      <c r="F7" s="200">
        <f>7%*(1+'Análisis de sensibilidad'!F13)</f>
        <v>7.0000000000000007E-2</v>
      </c>
      <c r="I7"/>
      <c r="J7" s="262"/>
      <c r="K7" s="264"/>
      <c r="L7" s="262"/>
    </row>
    <row r="8" spans="2:12" x14ac:dyDescent="0.25">
      <c r="B8" s="341" t="s">
        <v>10</v>
      </c>
      <c r="C8" s="342"/>
      <c r="D8" s="343"/>
      <c r="F8" s="203"/>
      <c r="I8"/>
      <c r="J8" s="262"/>
      <c r="K8" s="264"/>
      <c r="L8" s="262"/>
    </row>
    <row r="9" spans="2:12" x14ac:dyDescent="0.25">
      <c r="B9" s="205"/>
      <c r="C9" s="204" t="s">
        <v>8</v>
      </c>
      <c r="D9" s="204" t="s">
        <v>9</v>
      </c>
      <c r="F9" s="207" t="s">
        <v>363</v>
      </c>
    </row>
    <row r="10" spans="2:12" x14ac:dyDescent="0.25">
      <c r="B10" s="30" t="s">
        <v>2</v>
      </c>
      <c r="C10" s="32">
        <f>+(D10/1.18)*(1+'Análisis de sensibilidad'!F9)</f>
        <v>8.058898305084746</v>
      </c>
      <c r="D10" s="32">
        <v>9.5094999999999992</v>
      </c>
      <c r="F10" s="308">
        <f>13.43%</f>
        <v>0.1343</v>
      </c>
      <c r="G10" s="1" t="s">
        <v>441</v>
      </c>
    </row>
    <row r="11" spans="2:12" x14ac:dyDescent="0.25">
      <c r="B11" s="30" t="s">
        <v>3</v>
      </c>
      <c r="C11" s="32">
        <f>+(D11/1.18)*(1+'Análisis de sensibilidad'!F10)</f>
        <v>8.1957627118644076</v>
      </c>
      <c r="D11" s="32">
        <v>9.6710000000000012</v>
      </c>
    </row>
    <row r="12" spans="2:12" x14ac:dyDescent="0.25">
      <c r="B12" s="30" t="s">
        <v>4</v>
      </c>
      <c r="C12" s="32">
        <f>+(D12/1.18)*(1+'Análisis de sensibilidad'!F11)</f>
        <v>8.453389830508474</v>
      </c>
      <c r="D12" s="32">
        <v>9.9749999999999996</v>
      </c>
    </row>
    <row r="13" spans="2:12" x14ac:dyDescent="0.25">
      <c r="F13" s="202">
        <f>+(C4-C10)/C10</f>
        <v>0.36600241863399757</v>
      </c>
    </row>
    <row r="14" spans="2:12" x14ac:dyDescent="0.25">
      <c r="B14" s="206" t="s">
        <v>49</v>
      </c>
      <c r="C14" s="2">
        <v>15</v>
      </c>
      <c r="F14" s="202">
        <f t="shared" ref="F14:F15" si="0">+(C5-C11)/C11</f>
        <v>0.34774066797642428</v>
      </c>
      <c r="G14" s="9"/>
    </row>
    <row r="15" spans="2:12" x14ac:dyDescent="0.25">
      <c r="F15" s="202">
        <f t="shared" si="0"/>
        <v>0.40279699248120293</v>
      </c>
      <c r="G15" s="9"/>
    </row>
    <row r="16" spans="2:12" x14ac:dyDescent="0.25">
      <c r="G16" s="9"/>
    </row>
    <row r="17" spans="2:5" x14ac:dyDescent="0.25">
      <c r="B17" s="201" t="s">
        <v>353</v>
      </c>
      <c r="C17" s="201" t="s">
        <v>354</v>
      </c>
      <c r="D17" s="201" t="s">
        <v>355</v>
      </c>
      <c r="E17" s="201" t="s">
        <v>356</v>
      </c>
    </row>
    <row r="18" spans="2:5" x14ac:dyDescent="0.25">
      <c r="B18" s="295">
        <f>+Rentabilidad!C11</f>
        <v>316805.56253815291</v>
      </c>
      <c r="C18" s="198">
        <f>+Rentabilidad!C13</f>
        <v>0.23884180992146797</v>
      </c>
      <c r="D18" s="199">
        <f>+Rentabilidad!C23</f>
        <v>357391.08429331303</v>
      </c>
      <c r="E18" s="198">
        <f>+Rentabilidad!C25</f>
        <v>0.24784495167564535</v>
      </c>
    </row>
  </sheetData>
  <mergeCells count="3">
    <mergeCell ref="B2:D2"/>
    <mergeCell ref="F2:G2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8017-5926-45CD-B9E5-A4BFD650187F}">
  <dimension ref="B2:M43"/>
  <sheetViews>
    <sheetView topLeftCell="B28" zoomScaleNormal="100" workbookViewId="0">
      <selection activeCell="F16" sqref="F16"/>
    </sheetView>
  </sheetViews>
  <sheetFormatPr baseColWidth="10" defaultRowHeight="15" x14ac:dyDescent="0.25"/>
  <cols>
    <col min="1" max="1" width="11.42578125" style="1"/>
    <col min="2" max="2" width="34.140625" style="1" customWidth="1"/>
    <col min="3" max="3" width="11.42578125" style="1"/>
    <col min="4" max="4" width="8.85546875" style="1" customWidth="1"/>
    <col min="5" max="9" width="16.28515625" style="1" customWidth="1"/>
    <col min="10" max="12" width="11.42578125" style="1"/>
    <col min="13" max="13" width="16.7109375" style="1" bestFit="1" customWidth="1"/>
    <col min="14" max="16384" width="11.42578125" style="1"/>
  </cols>
  <sheetData>
    <row r="2" spans="2:9" x14ac:dyDescent="0.25">
      <c r="B2" s="344" t="s">
        <v>64</v>
      </c>
      <c r="C2" s="344"/>
      <c r="D2" s="344"/>
      <c r="E2" s="344"/>
      <c r="F2" s="344"/>
      <c r="G2" s="344"/>
      <c r="H2" s="344"/>
      <c r="I2" s="344"/>
    </row>
    <row r="3" spans="2:9" x14ac:dyDescent="0.25">
      <c r="B3" s="344" t="s">
        <v>65</v>
      </c>
      <c r="C3" s="344"/>
      <c r="D3" s="344"/>
      <c r="E3" s="344"/>
      <c r="F3" s="344"/>
      <c r="G3" s="344"/>
      <c r="H3" s="344"/>
      <c r="I3" s="344"/>
    </row>
    <row r="4" spans="2:9" x14ac:dyDescent="0.25">
      <c r="H4" s="37">
        <f>+H42/G42</f>
        <v>0.62893967591702571</v>
      </c>
      <c r="I4" s="37">
        <f>1-H4</f>
        <v>0.37106032408297429</v>
      </c>
    </row>
    <row r="5" spans="2:9" x14ac:dyDescent="0.25">
      <c r="B5" s="348" t="s">
        <v>66</v>
      </c>
      <c r="C5" s="345" t="s">
        <v>67</v>
      </c>
      <c r="D5" s="345"/>
      <c r="E5" s="345"/>
      <c r="F5" s="345"/>
      <c r="G5" s="345"/>
      <c r="H5" s="346" t="s">
        <v>68</v>
      </c>
      <c r="I5" s="347"/>
    </row>
    <row r="6" spans="2:9" ht="30" customHeight="1" x14ac:dyDescent="0.25">
      <c r="B6" s="349"/>
      <c r="C6" s="273" t="s">
        <v>69</v>
      </c>
      <c r="D6" s="273" t="s">
        <v>70</v>
      </c>
      <c r="E6" s="273" t="s">
        <v>71</v>
      </c>
      <c r="F6" s="273" t="s">
        <v>72</v>
      </c>
      <c r="G6" s="273" t="s">
        <v>73</v>
      </c>
      <c r="H6" s="273" t="s">
        <v>74</v>
      </c>
      <c r="I6" s="273" t="s">
        <v>75</v>
      </c>
    </row>
    <row r="7" spans="2:9" x14ac:dyDescent="0.25">
      <c r="B7" s="6" t="s">
        <v>76</v>
      </c>
      <c r="C7" s="6"/>
      <c r="D7" s="6"/>
      <c r="E7" s="6"/>
      <c r="F7" s="6"/>
      <c r="G7" s="36">
        <f>+G8+G27</f>
        <v>868465.58142857149</v>
      </c>
      <c r="H7" s="6"/>
      <c r="I7" s="6"/>
    </row>
    <row r="8" spans="2:9" x14ac:dyDescent="0.25">
      <c r="B8" s="10" t="s">
        <v>77</v>
      </c>
      <c r="C8" s="10"/>
      <c r="D8" s="10"/>
      <c r="E8" s="36"/>
      <c r="F8" s="36">
        <f>SUM(F9:F25)*(1+'Análisis de sensibilidad'!F12)</f>
        <v>750225.06900726387</v>
      </c>
      <c r="G8" s="36">
        <f>SUM(G9:G25)</f>
        <v>849265.58142857149</v>
      </c>
      <c r="H8" s="36"/>
      <c r="I8" s="36"/>
    </row>
    <row r="9" spans="2:9" x14ac:dyDescent="0.25">
      <c r="B9" s="6" t="s">
        <v>78</v>
      </c>
      <c r="C9" s="6" t="s">
        <v>79</v>
      </c>
      <c r="D9" s="6">
        <v>1000</v>
      </c>
      <c r="E9" s="34">
        <v>200</v>
      </c>
      <c r="F9" s="34">
        <v>200000</v>
      </c>
      <c r="G9" s="34">
        <f>+D9*E9</f>
        <v>200000</v>
      </c>
      <c r="H9" s="34">
        <v>200000</v>
      </c>
      <c r="I9" s="34"/>
    </row>
    <row r="10" spans="2:9" x14ac:dyDescent="0.25">
      <c r="B10" s="6" t="s">
        <v>80</v>
      </c>
      <c r="C10" s="6" t="s">
        <v>98</v>
      </c>
      <c r="D10" s="6">
        <v>1</v>
      </c>
      <c r="E10" s="34">
        <v>350000</v>
      </c>
      <c r="F10" s="301">
        <f>+G10/1.18</f>
        <v>296610.16949152545</v>
      </c>
      <c r="G10" s="35">
        <f t="shared" ref="G10:G25" si="0">+D10*E10</f>
        <v>350000</v>
      </c>
      <c r="H10" s="34"/>
      <c r="I10" s="34">
        <v>350000</v>
      </c>
    </row>
    <row r="11" spans="2:9" x14ac:dyDescent="0.25">
      <c r="B11" s="6" t="s">
        <v>81</v>
      </c>
      <c r="C11" s="6" t="s">
        <v>98</v>
      </c>
      <c r="D11" s="6">
        <v>1</v>
      </c>
      <c r="E11" s="34">
        <v>48136.750000000007</v>
      </c>
      <c r="F11" s="301">
        <f t="shared" ref="F11:F25" si="1">+G11/1.18</f>
        <v>40793.855932203398</v>
      </c>
      <c r="G11" s="34">
        <f>+D11*E11</f>
        <v>48136.750000000007</v>
      </c>
      <c r="H11" s="34">
        <v>48136.750000000007</v>
      </c>
      <c r="I11" s="34"/>
    </row>
    <row r="12" spans="2:9" x14ac:dyDescent="0.25">
      <c r="B12" s="6" t="s">
        <v>82</v>
      </c>
      <c r="C12" s="6" t="s">
        <v>98</v>
      </c>
      <c r="D12" s="6">
        <v>1</v>
      </c>
      <c r="E12" s="34">
        <v>104782.9</v>
      </c>
      <c r="F12" s="301">
        <f t="shared" si="1"/>
        <v>88799.067796610165</v>
      </c>
      <c r="G12" s="34">
        <f t="shared" si="0"/>
        <v>104782.9</v>
      </c>
      <c r="H12" s="34">
        <v>104782.9</v>
      </c>
      <c r="I12" s="34"/>
    </row>
    <row r="13" spans="2:9" x14ac:dyDescent="0.25">
      <c r="B13" s="6" t="s">
        <v>83</v>
      </c>
      <c r="C13" s="6" t="s">
        <v>98</v>
      </c>
      <c r="D13" s="6">
        <v>1</v>
      </c>
      <c r="E13" s="34">
        <v>15892.421428571432</v>
      </c>
      <c r="F13" s="301">
        <f t="shared" si="1"/>
        <v>13468.153753026638</v>
      </c>
      <c r="G13" s="34">
        <f t="shared" si="0"/>
        <v>15892.421428571432</v>
      </c>
      <c r="H13" s="34">
        <v>15892.421428571432</v>
      </c>
      <c r="I13" s="34"/>
    </row>
    <row r="14" spans="2:9" x14ac:dyDescent="0.25">
      <c r="B14" s="6" t="s">
        <v>84</v>
      </c>
      <c r="C14" s="6" t="s">
        <v>98</v>
      </c>
      <c r="D14" s="6">
        <v>1</v>
      </c>
      <c r="E14" s="34">
        <v>1000</v>
      </c>
      <c r="F14" s="301">
        <f t="shared" si="1"/>
        <v>847.45762711864415</v>
      </c>
      <c r="G14" s="34">
        <f t="shared" si="0"/>
        <v>1000</v>
      </c>
      <c r="H14" s="34">
        <v>1000</v>
      </c>
      <c r="I14" s="34"/>
    </row>
    <row r="15" spans="2:9" x14ac:dyDescent="0.25">
      <c r="B15" s="6" t="s">
        <v>85</v>
      </c>
      <c r="C15" s="6" t="s">
        <v>112</v>
      </c>
      <c r="D15" s="6">
        <v>2</v>
      </c>
      <c r="E15" s="34">
        <v>17000</v>
      </c>
      <c r="F15" s="301">
        <f>+G15/1.18</f>
        <v>28813.5593220339</v>
      </c>
      <c r="G15" s="34">
        <f t="shared" si="0"/>
        <v>34000</v>
      </c>
      <c r="H15" s="34">
        <v>34000</v>
      </c>
      <c r="I15" s="34"/>
    </row>
    <row r="16" spans="2:9" x14ac:dyDescent="0.25">
      <c r="B16" s="6" t="s">
        <v>86</v>
      </c>
      <c r="C16" s="6" t="s">
        <v>98</v>
      </c>
      <c r="D16" s="6">
        <v>1</v>
      </c>
      <c r="E16" s="34">
        <v>10500</v>
      </c>
      <c r="F16" s="301">
        <f t="shared" si="1"/>
        <v>8898.3050847457635</v>
      </c>
      <c r="G16" s="34">
        <f t="shared" si="0"/>
        <v>10500</v>
      </c>
      <c r="H16" s="34">
        <v>10500</v>
      </c>
      <c r="I16" s="34"/>
    </row>
    <row r="17" spans="2:13" x14ac:dyDescent="0.25">
      <c r="B17" s="6" t="s">
        <v>87</v>
      </c>
      <c r="C17" s="6" t="s">
        <v>112</v>
      </c>
      <c r="D17" s="6">
        <v>2</v>
      </c>
      <c r="E17" s="34">
        <v>24000</v>
      </c>
      <c r="F17" s="301">
        <f t="shared" si="1"/>
        <v>40677.966101694918</v>
      </c>
      <c r="G17" s="34">
        <f t="shared" si="0"/>
        <v>48000</v>
      </c>
      <c r="H17" s="34">
        <v>48000</v>
      </c>
      <c r="I17" s="34"/>
    </row>
    <row r="18" spans="2:13" x14ac:dyDescent="0.25">
      <c r="B18" s="6" t="s">
        <v>88</v>
      </c>
      <c r="C18" s="6" t="s">
        <v>112</v>
      </c>
      <c r="D18" s="6">
        <v>3</v>
      </c>
      <c r="E18" s="34">
        <v>5251.17</v>
      </c>
      <c r="F18" s="301">
        <f t="shared" si="1"/>
        <v>13350.432203389832</v>
      </c>
      <c r="G18" s="34">
        <f t="shared" si="0"/>
        <v>15753.51</v>
      </c>
      <c r="H18" s="34">
        <v>15753.51</v>
      </c>
      <c r="I18" s="34"/>
    </row>
    <row r="19" spans="2:13" x14ac:dyDescent="0.25">
      <c r="B19" s="6" t="s">
        <v>89</v>
      </c>
      <c r="C19" s="6" t="s">
        <v>98</v>
      </c>
      <c r="D19" s="6">
        <v>1</v>
      </c>
      <c r="E19" s="34">
        <v>500</v>
      </c>
      <c r="F19" s="301">
        <f t="shared" si="1"/>
        <v>423.72881355932208</v>
      </c>
      <c r="G19" s="34">
        <f t="shared" si="0"/>
        <v>500</v>
      </c>
      <c r="H19" s="34">
        <v>500</v>
      </c>
      <c r="I19" s="34"/>
    </row>
    <row r="20" spans="2:13" x14ac:dyDescent="0.25">
      <c r="B20" s="6" t="s">
        <v>90</v>
      </c>
      <c r="C20" s="6" t="s">
        <v>98</v>
      </c>
      <c r="D20" s="6">
        <v>1</v>
      </c>
      <c r="E20" s="34">
        <v>1000</v>
      </c>
      <c r="F20" s="301">
        <f t="shared" si="1"/>
        <v>847.45762711864415</v>
      </c>
      <c r="G20" s="34">
        <f t="shared" si="0"/>
        <v>1000</v>
      </c>
      <c r="H20" s="34">
        <v>1000</v>
      </c>
      <c r="I20" s="34"/>
    </row>
    <row r="21" spans="2:13" x14ac:dyDescent="0.25">
      <c r="B21" s="6" t="s">
        <v>91</v>
      </c>
      <c r="C21" s="6" t="s">
        <v>98</v>
      </c>
      <c r="D21" s="6">
        <v>1</v>
      </c>
      <c r="E21" s="34">
        <v>1500</v>
      </c>
      <c r="F21" s="301">
        <f t="shared" si="1"/>
        <v>1271.1864406779662</v>
      </c>
      <c r="G21" s="34">
        <f t="shared" si="0"/>
        <v>1500</v>
      </c>
      <c r="H21" s="34">
        <v>1500</v>
      </c>
      <c r="I21" s="34"/>
    </row>
    <row r="22" spans="2:13" x14ac:dyDescent="0.25">
      <c r="B22" s="6" t="s">
        <v>92</v>
      </c>
      <c r="C22" s="6" t="s">
        <v>98</v>
      </c>
      <c r="D22" s="6">
        <v>1</v>
      </c>
      <c r="E22" s="34">
        <v>5000</v>
      </c>
      <c r="F22" s="301">
        <f t="shared" si="1"/>
        <v>4237.2881355932204</v>
      </c>
      <c r="G22" s="34">
        <f t="shared" si="0"/>
        <v>5000</v>
      </c>
      <c r="H22" s="34">
        <v>5000</v>
      </c>
      <c r="I22" s="34"/>
    </row>
    <row r="23" spans="2:13" x14ac:dyDescent="0.25">
      <c r="B23" s="6" t="s">
        <v>93</v>
      </c>
      <c r="C23" s="6" t="s">
        <v>98</v>
      </c>
      <c r="D23" s="6">
        <v>1</v>
      </c>
      <c r="E23" s="34">
        <v>8000</v>
      </c>
      <c r="F23" s="301">
        <f t="shared" si="1"/>
        <v>6779.6610169491532</v>
      </c>
      <c r="G23" s="34">
        <f t="shared" si="0"/>
        <v>8000</v>
      </c>
      <c r="H23" s="34">
        <v>8000</v>
      </c>
      <c r="I23" s="34"/>
    </row>
    <row r="24" spans="2:13" x14ac:dyDescent="0.25">
      <c r="B24" s="6" t="s">
        <v>94</v>
      </c>
      <c r="C24" s="6" t="s">
        <v>98</v>
      </c>
      <c r="D24" s="6">
        <v>1</v>
      </c>
      <c r="E24" s="34">
        <v>2000</v>
      </c>
      <c r="F24" s="301">
        <f t="shared" si="1"/>
        <v>1694.9152542372883</v>
      </c>
      <c r="G24" s="34">
        <f t="shared" si="0"/>
        <v>2000</v>
      </c>
      <c r="H24" s="34">
        <v>2000</v>
      </c>
      <c r="I24" s="34"/>
    </row>
    <row r="25" spans="2:13" x14ac:dyDescent="0.25">
      <c r="B25" s="6" t="s">
        <v>95</v>
      </c>
      <c r="C25" s="6" t="s">
        <v>98</v>
      </c>
      <c r="D25" s="6">
        <v>2</v>
      </c>
      <c r="E25" s="34">
        <v>1600</v>
      </c>
      <c r="F25" s="301">
        <f t="shared" si="1"/>
        <v>2711.8644067796613</v>
      </c>
      <c r="G25" s="34">
        <f t="shared" si="0"/>
        <v>3200</v>
      </c>
      <c r="H25" s="34">
        <v>3200</v>
      </c>
      <c r="I25" s="34"/>
    </row>
    <row r="26" spans="2:13" x14ac:dyDescent="0.25">
      <c r="B26" s="6"/>
      <c r="C26" s="6"/>
      <c r="D26" s="6"/>
      <c r="E26" s="34"/>
      <c r="F26" s="34"/>
      <c r="G26" s="34"/>
      <c r="H26" s="34"/>
      <c r="I26" s="34"/>
    </row>
    <row r="27" spans="2:13" x14ac:dyDescent="0.25">
      <c r="B27" s="10" t="s">
        <v>96</v>
      </c>
      <c r="C27" s="10"/>
      <c r="D27" s="10"/>
      <c r="E27" s="36"/>
      <c r="F27" s="36">
        <f>SUM(F28:F31)</f>
        <v>16759.322033898308</v>
      </c>
      <c r="G27" s="36">
        <f>SUM(G28:G31)</f>
        <v>19200</v>
      </c>
      <c r="H27" s="36"/>
      <c r="I27" s="36"/>
      <c r="K27" s="1" t="s">
        <v>413</v>
      </c>
      <c r="L27" s="1" t="s">
        <v>414</v>
      </c>
      <c r="M27" s="1" t="s">
        <v>415</v>
      </c>
    </row>
    <row r="28" spans="2:13" x14ac:dyDescent="0.25">
      <c r="B28" s="6" t="s">
        <v>97</v>
      </c>
      <c r="C28" s="6" t="s">
        <v>98</v>
      </c>
      <c r="D28" s="6">
        <v>1</v>
      </c>
      <c r="E28" s="34">
        <v>16000</v>
      </c>
      <c r="F28" s="301">
        <f>+G28/1.18</f>
        <v>13559.322033898306</v>
      </c>
      <c r="G28" s="34">
        <f>+D28*E28</f>
        <v>16000</v>
      </c>
      <c r="H28" s="34">
        <v>16000</v>
      </c>
      <c r="I28" s="34"/>
      <c r="K28" s="192">
        <f>SUM(F10:F25)+F28</f>
        <v>563784.39104116207</v>
      </c>
      <c r="L28" s="302">
        <f>K28*1.18</f>
        <v>665265.58142857125</v>
      </c>
      <c r="M28" s="302">
        <f>L28-K28</f>
        <v>101481.19038740918</v>
      </c>
    </row>
    <row r="29" spans="2:13" x14ac:dyDescent="0.25">
      <c r="B29" s="6" t="s">
        <v>99</v>
      </c>
      <c r="C29" s="6" t="s">
        <v>98</v>
      </c>
      <c r="D29" s="6">
        <v>1</v>
      </c>
      <c r="E29" s="34">
        <v>700</v>
      </c>
      <c r="F29" s="34">
        <f>+G29/1</f>
        <v>700</v>
      </c>
      <c r="G29" s="34">
        <f t="shared" ref="G29:G31" si="2">+D29*E29</f>
        <v>700</v>
      </c>
      <c r="H29" s="34">
        <v>700</v>
      </c>
      <c r="I29" s="34"/>
    </row>
    <row r="30" spans="2:13" x14ac:dyDescent="0.25">
      <c r="B30" s="6" t="s">
        <v>100</v>
      </c>
      <c r="C30" s="6" t="s">
        <v>98</v>
      </c>
      <c r="D30" s="6">
        <v>1</v>
      </c>
      <c r="E30" s="34">
        <v>1500</v>
      </c>
      <c r="F30" s="34">
        <f t="shared" ref="F30:F31" si="3">+G30/1</f>
        <v>1500</v>
      </c>
      <c r="G30" s="34">
        <f t="shared" si="2"/>
        <v>1500</v>
      </c>
      <c r="H30" s="34">
        <v>1500</v>
      </c>
      <c r="I30" s="34"/>
    </row>
    <row r="31" spans="2:13" x14ac:dyDescent="0.25">
      <c r="B31" s="6" t="s">
        <v>101</v>
      </c>
      <c r="C31" s="6" t="s">
        <v>98</v>
      </c>
      <c r="D31" s="6">
        <v>1</v>
      </c>
      <c r="E31" s="34">
        <v>1000</v>
      </c>
      <c r="F31" s="34">
        <f t="shared" si="3"/>
        <v>1000</v>
      </c>
      <c r="G31" s="34">
        <f t="shared" si="2"/>
        <v>1000</v>
      </c>
      <c r="H31" s="34">
        <v>1000</v>
      </c>
      <c r="I31" s="34"/>
    </row>
    <row r="32" spans="2:13" x14ac:dyDescent="0.25">
      <c r="B32" s="6" t="s">
        <v>102</v>
      </c>
      <c r="C32" s="6"/>
      <c r="D32" s="6"/>
      <c r="E32" s="34"/>
      <c r="F32" s="34"/>
      <c r="G32" s="34"/>
      <c r="H32" s="34"/>
      <c r="I32" s="34"/>
    </row>
    <row r="33" spans="2:9" x14ac:dyDescent="0.25">
      <c r="B33" s="6" t="s">
        <v>103</v>
      </c>
      <c r="C33" s="6"/>
      <c r="D33" s="6"/>
      <c r="E33" s="34"/>
      <c r="F33" s="34"/>
      <c r="G33" s="34"/>
      <c r="H33" s="34"/>
      <c r="I33" s="34"/>
    </row>
    <row r="34" spans="2:9" x14ac:dyDescent="0.25">
      <c r="B34" s="6" t="s">
        <v>104</v>
      </c>
      <c r="C34" s="6"/>
      <c r="D34" s="6"/>
      <c r="E34" s="34"/>
      <c r="F34" s="34"/>
      <c r="G34" s="34"/>
      <c r="H34" s="34"/>
      <c r="I34" s="34"/>
    </row>
    <row r="35" spans="2:9" x14ac:dyDescent="0.25">
      <c r="B35" s="10" t="s">
        <v>105</v>
      </c>
      <c r="C35" s="10"/>
      <c r="D35" s="10"/>
      <c r="E35" s="36"/>
      <c r="F35" s="36">
        <f>SUM(F36:F41)</f>
        <v>63370.572044550114</v>
      </c>
      <c r="G35" s="36">
        <f>SUM(G36:G41)</f>
        <v>74777.275012569124</v>
      </c>
      <c r="H35" s="36"/>
      <c r="I35" s="36"/>
    </row>
    <row r="36" spans="2:9" x14ac:dyDescent="0.25">
      <c r="B36" s="6" t="s">
        <v>403</v>
      </c>
      <c r="C36" s="6" t="s">
        <v>98</v>
      </c>
      <c r="D36" s="6">
        <v>1</v>
      </c>
      <c r="E36" s="34">
        <f>+Capital_Trabajo!P16</f>
        <v>63370.572044550114</v>
      </c>
      <c r="F36" s="34">
        <f>+D36*E36</f>
        <v>63370.572044550114</v>
      </c>
      <c r="G36" s="34">
        <f>+F36*(1+0.18)</f>
        <v>74777.275012569124</v>
      </c>
      <c r="H36" s="34">
        <f>+G36</f>
        <v>74777.275012569124</v>
      </c>
      <c r="I36" s="34"/>
    </row>
    <row r="37" spans="2:9" hidden="1" x14ac:dyDescent="0.25">
      <c r="B37" s="6" t="s">
        <v>106</v>
      </c>
      <c r="C37" s="6"/>
      <c r="D37" s="6"/>
      <c r="E37" s="34"/>
      <c r="F37" s="34"/>
      <c r="G37" s="34"/>
      <c r="H37" s="34"/>
      <c r="I37" s="34"/>
    </row>
    <row r="38" spans="2:9" hidden="1" x14ac:dyDescent="0.25">
      <c r="B38" s="6" t="s">
        <v>107</v>
      </c>
      <c r="C38" s="6"/>
      <c r="D38" s="6"/>
      <c r="E38" s="34"/>
      <c r="F38" s="34"/>
      <c r="G38" s="34"/>
      <c r="H38" s="34"/>
      <c r="I38" s="34"/>
    </row>
    <row r="39" spans="2:9" hidden="1" x14ac:dyDescent="0.25">
      <c r="B39" s="6" t="s">
        <v>108</v>
      </c>
      <c r="C39" s="6"/>
      <c r="D39" s="6"/>
      <c r="E39" s="34"/>
      <c r="F39" s="34"/>
      <c r="G39" s="34"/>
      <c r="H39" s="34"/>
      <c r="I39" s="34"/>
    </row>
    <row r="40" spans="2:9" hidden="1" x14ac:dyDescent="0.25">
      <c r="B40" s="6" t="s">
        <v>109</v>
      </c>
      <c r="C40" s="6"/>
      <c r="D40" s="6"/>
      <c r="E40" s="34"/>
      <c r="F40" s="34"/>
      <c r="G40" s="34"/>
      <c r="H40" s="34"/>
      <c r="I40" s="34"/>
    </row>
    <row r="41" spans="2:9" x14ac:dyDescent="0.25">
      <c r="B41" s="6" t="s">
        <v>110</v>
      </c>
      <c r="C41" s="6"/>
      <c r="D41" s="6"/>
      <c r="E41" s="34"/>
      <c r="F41" s="34"/>
      <c r="G41" s="34"/>
      <c r="H41" s="34"/>
      <c r="I41" s="34"/>
    </row>
    <row r="42" spans="2:9" x14ac:dyDescent="0.25">
      <c r="B42" s="10" t="s">
        <v>111</v>
      </c>
      <c r="C42" s="10"/>
      <c r="D42" s="10"/>
      <c r="E42" s="36"/>
      <c r="F42" s="36">
        <f>793031.535786925*(1+'Análisis de sensibilidad'!F12)</f>
        <v>793031.535786925</v>
      </c>
      <c r="G42" s="36">
        <f>+(G35+G27+G8)</f>
        <v>943242.85644114064</v>
      </c>
      <c r="H42" s="36">
        <f>SUM(H7:H41)</f>
        <v>593242.85644114064</v>
      </c>
      <c r="I42" s="36">
        <f>SUM(I7:I41)</f>
        <v>350000</v>
      </c>
    </row>
    <row r="43" spans="2:9" x14ac:dyDescent="0.25">
      <c r="H43" s="192">
        <f>H42+I42</f>
        <v>943242.85644114064</v>
      </c>
    </row>
  </sheetData>
  <mergeCells count="5">
    <mergeCell ref="B2:I2"/>
    <mergeCell ref="B3:I3"/>
    <mergeCell ref="C5:G5"/>
    <mergeCell ref="H5:I5"/>
    <mergeCell ref="B5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A985-52BF-4DC5-B65B-4D2E1CCE5B7E}">
  <dimension ref="B2:H24"/>
  <sheetViews>
    <sheetView topLeftCell="A13" workbookViewId="0">
      <selection activeCell="D23" sqref="D23"/>
    </sheetView>
  </sheetViews>
  <sheetFormatPr baseColWidth="10" defaultRowHeight="15" x14ac:dyDescent="0.25"/>
  <cols>
    <col min="1" max="1" width="11.42578125" style="1"/>
    <col min="2" max="2" width="30.28515625" style="1" customWidth="1"/>
    <col min="3" max="8" width="13.140625" style="1" customWidth="1"/>
    <col min="9" max="16384" width="11.42578125" style="1"/>
  </cols>
  <sheetData>
    <row r="2" spans="2:8" x14ac:dyDescent="0.25">
      <c r="G2" s="1" t="s">
        <v>121</v>
      </c>
      <c r="H2" s="39">
        <v>10</v>
      </c>
    </row>
    <row r="3" spans="2:8" x14ac:dyDescent="0.25">
      <c r="B3" s="344" t="s">
        <v>113</v>
      </c>
      <c r="C3" s="344"/>
      <c r="D3" s="344"/>
      <c r="E3" s="344"/>
      <c r="F3" s="344"/>
      <c r="G3" s="344"/>
      <c r="H3" s="344"/>
    </row>
    <row r="4" spans="2:8" x14ac:dyDescent="0.25">
      <c r="B4" s="350" t="s">
        <v>114</v>
      </c>
      <c r="C4" s="350"/>
      <c r="D4" s="350"/>
      <c r="E4" s="350"/>
      <c r="F4" s="350"/>
      <c r="G4" s="350"/>
      <c r="H4" s="350"/>
    </row>
    <row r="5" spans="2:8" x14ac:dyDescent="0.25">
      <c r="B5" s="5"/>
      <c r="C5" s="5"/>
      <c r="D5" s="5"/>
      <c r="E5" s="5"/>
      <c r="F5" s="5"/>
      <c r="G5" s="5"/>
      <c r="H5" s="5"/>
    </row>
    <row r="6" spans="2:8" ht="30" x14ac:dyDescent="0.25">
      <c r="B6" s="274" t="s">
        <v>76</v>
      </c>
      <c r="C6" s="275" t="s">
        <v>115</v>
      </c>
      <c r="D6" s="275" t="s">
        <v>116</v>
      </c>
      <c r="E6" s="275" t="s">
        <v>117</v>
      </c>
      <c r="F6" s="275" t="s">
        <v>118</v>
      </c>
      <c r="G6" s="275" t="s">
        <v>119</v>
      </c>
      <c r="H6" s="275" t="s">
        <v>120</v>
      </c>
    </row>
    <row r="7" spans="2:8" x14ac:dyDescent="0.25">
      <c r="B7" s="6" t="s">
        <v>78</v>
      </c>
      <c r="C7" s="34">
        <f>+'Inversión inicial'!F9</f>
        <v>200000</v>
      </c>
      <c r="D7" s="4">
        <v>0</v>
      </c>
      <c r="E7" s="38">
        <v>0</v>
      </c>
      <c r="F7" s="8">
        <v>0</v>
      </c>
      <c r="G7" s="8">
        <v>0</v>
      </c>
      <c r="H7" s="8">
        <v>200000</v>
      </c>
    </row>
    <row r="8" spans="2:8" x14ac:dyDescent="0.25">
      <c r="B8" s="6" t="s">
        <v>80</v>
      </c>
      <c r="C8" s="34">
        <f>+'Inversión inicial'!F10</f>
        <v>296610.16949152545</v>
      </c>
      <c r="D8" s="4">
        <f>1/E8</f>
        <v>33.333333333333336</v>
      </c>
      <c r="E8" s="38">
        <v>0.03</v>
      </c>
      <c r="F8" s="8">
        <f>+C8*E8</f>
        <v>8898.3050847457635</v>
      </c>
      <c r="G8" s="8">
        <f>+F8*$H$2</f>
        <v>88983.050847457635</v>
      </c>
      <c r="H8" s="8">
        <f>+C8-G8</f>
        <v>207627.11864406781</v>
      </c>
    </row>
    <row r="9" spans="2:8" x14ac:dyDescent="0.25">
      <c r="B9" s="6" t="s">
        <v>81</v>
      </c>
      <c r="C9" s="34">
        <f>+'Inversión inicial'!F11</f>
        <v>40793.855932203398</v>
      </c>
      <c r="D9" s="4">
        <f t="shared" ref="D9:D23" si="0">1/E9</f>
        <v>10</v>
      </c>
      <c r="E9" s="38">
        <v>0.1</v>
      </c>
      <c r="F9" s="8">
        <f t="shared" ref="F9:F23" si="1">+C9*E9</f>
        <v>4079.3855932203401</v>
      </c>
      <c r="G9" s="8">
        <f t="shared" ref="G9:G22" si="2">+F9*$H$2</f>
        <v>40793.855932203398</v>
      </c>
      <c r="H9" s="8">
        <f t="shared" ref="H9:H23" si="3">+C9-G9</f>
        <v>0</v>
      </c>
    </row>
    <row r="10" spans="2:8" x14ac:dyDescent="0.25">
      <c r="B10" s="6" t="s">
        <v>82</v>
      </c>
      <c r="C10" s="34">
        <f>+'Inversión inicial'!F12</f>
        <v>88799.067796610165</v>
      </c>
      <c r="D10" s="4">
        <f t="shared" si="0"/>
        <v>10</v>
      </c>
      <c r="E10" s="38">
        <v>0.1</v>
      </c>
      <c r="F10" s="8">
        <f t="shared" si="1"/>
        <v>8879.9067796610161</v>
      </c>
      <c r="G10" s="8">
        <f t="shared" si="2"/>
        <v>88799.067796610165</v>
      </c>
      <c r="H10" s="8">
        <f t="shared" si="3"/>
        <v>0</v>
      </c>
    </row>
    <row r="11" spans="2:8" x14ac:dyDescent="0.25">
      <c r="B11" s="6" t="s">
        <v>83</v>
      </c>
      <c r="C11" s="34">
        <f>+'Inversión inicial'!F13</f>
        <v>13468.153753026638</v>
      </c>
      <c r="D11" s="4">
        <f t="shared" si="0"/>
        <v>10</v>
      </c>
      <c r="E11" s="38">
        <v>0.1</v>
      </c>
      <c r="F11" s="8">
        <f t="shared" si="1"/>
        <v>1346.8153753026638</v>
      </c>
      <c r="G11" s="8">
        <f t="shared" si="2"/>
        <v>13468.153753026638</v>
      </c>
      <c r="H11" s="8">
        <f t="shared" si="3"/>
        <v>0</v>
      </c>
    </row>
    <row r="12" spans="2:8" x14ac:dyDescent="0.25">
      <c r="B12" s="6" t="s">
        <v>84</v>
      </c>
      <c r="C12" s="34">
        <f>+'Inversión inicial'!F14</f>
        <v>847.45762711864415</v>
      </c>
      <c r="D12" s="4">
        <f t="shared" si="0"/>
        <v>10</v>
      </c>
      <c r="E12" s="38">
        <v>0.1</v>
      </c>
      <c r="F12" s="8">
        <f t="shared" si="1"/>
        <v>84.745762711864415</v>
      </c>
      <c r="G12" s="8">
        <f t="shared" si="2"/>
        <v>847.45762711864415</v>
      </c>
      <c r="H12" s="8">
        <f t="shared" si="3"/>
        <v>0</v>
      </c>
    </row>
    <row r="13" spans="2:8" x14ac:dyDescent="0.25">
      <c r="B13" s="6" t="s">
        <v>85</v>
      </c>
      <c r="C13" s="34">
        <f>+'Inversión inicial'!F15</f>
        <v>28813.5593220339</v>
      </c>
      <c r="D13" s="4">
        <f t="shared" si="0"/>
        <v>10</v>
      </c>
      <c r="E13" s="38">
        <v>0.1</v>
      </c>
      <c r="F13" s="8">
        <f t="shared" si="1"/>
        <v>2881.3559322033902</v>
      </c>
      <c r="G13" s="8">
        <f t="shared" si="2"/>
        <v>28813.559322033903</v>
      </c>
      <c r="H13" s="8">
        <f t="shared" si="3"/>
        <v>0</v>
      </c>
    </row>
    <row r="14" spans="2:8" x14ac:dyDescent="0.25">
      <c r="B14" s="6" t="s">
        <v>86</v>
      </c>
      <c r="C14" s="34">
        <f>+'Inversión inicial'!F16</f>
        <v>8898.3050847457635</v>
      </c>
      <c r="D14" s="4">
        <f t="shared" si="0"/>
        <v>10</v>
      </c>
      <c r="E14" s="38">
        <v>0.1</v>
      </c>
      <c r="F14" s="8">
        <f t="shared" si="1"/>
        <v>889.83050847457639</v>
      </c>
      <c r="G14" s="8">
        <f t="shared" si="2"/>
        <v>8898.3050847457635</v>
      </c>
      <c r="H14" s="8">
        <f t="shared" si="3"/>
        <v>0</v>
      </c>
    </row>
    <row r="15" spans="2:8" x14ac:dyDescent="0.25">
      <c r="B15" s="6" t="s">
        <v>87</v>
      </c>
      <c r="C15" s="34">
        <f>+'Inversión inicial'!F17</f>
        <v>40677.966101694918</v>
      </c>
      <c r="D15" s="4">
        <f t="shared" si="0"/>
        <v>10</v>
      </c>
      <c r="E15" s="38">
        <v>0.1</v>
      </c>
      <c r="F15" s="8">
        <f t="shared" si="1"/>
        <v>4067.7966101694919</v>
      </c>
      <c r="G15" s="8">
        <f t="shared" si="2"/>
        <v>40677.966101694918</v>
      </c>
      <c r="H15" s="8">
        <f t="shared" si="3"/>
        <v>0</v>
      </c>
    </row>
    <row r="16" spans="2:8" x14ac:dyDescent="0.25">
      <c r="B16" s="6" t="s">
        <v>88</v>
      </c>
      <c r="C16" s="34">
        <f>+'Inversión inicial'!F18</f>
        <v>13350.432203389832</v>
      </c>
      <c r="D16" s="4">
        <f t="shared" si="0"/>
        <v>10</v>
      </c>
      <c r="E16" s="38">
        <v>0.1</v>
      </c>
      <c r="F16" s="8">
        <f t="shared" si="1"/>
        <v>1335.0432203389832</v>
      </c>
      <c r="G16" s="8">
        <f t="shared" si="2"/>
        <v>13350.432203389832</v>
      </c>
      <c r="H16" s="8">
        <f t="shared" si="3"/>
        <v>0</v>
      </c>
    </row>
    <row r="17" spans="2:8" x14ac:dyDescent="0.25">
      <c r="B17" s="6" t="s">
        <v>89</v>
      </c>
      <c r="C17" s="34">
        <f>+'Inversión inicial'!F19</f>
        <v>423.72881355932208</v>
      </c>
      <c r="D17" s="4">
        <f t="shared" si="0"/>
        <v>10</v>
      </c>
      <c r="E17" s="38">
        <v>0.1</v>
      </c>
      <c r="F17" s="8">
        <f t="shared" si="1"/>
        <v>42.372881355932208</v>
      </c>
      <c r="G17" s="8">
        <f t="shared" si="2"/>
        <v>423.72881355932208</v>
      </c>
      <c r="H17" s="8">
        <f t="shared" si="3"/>
        <v>0</v>
      </c>
    </row>
    <row r="18" spans="2:8" x14ac:dyDescent="0.25">
      <c r="B18" s="6" t="s">
        <v>90</v>
      </c>
      <c r="C18" s="34">
        <f>+'Inversión inicial'!F20</f>
        <v>847.45762711864415</v>
      </c>
      <c r="D18" s="4">
        <f t="shared" si="0"/>
        <v>10</v>
      </c>
      <c r="E18" s="38">
        <v>0.1</v>
      </c>
      <c r="F18" s="8">
        <f t="shared" si="1"/>
        <v>84.745762711864415</v>
      </c>
      <c r="G18" s="8">
        <f t="shared" si="2"/>
        <v>847.45762711864415</v>
      </c>
      <c r="H18" s="8">
        <f t="shared" si="3"/>
        <v>0</v>
      </c>
    </row>
    <row r="19" spans="2:8" x14ac:dyDescent="0.25">
      <c r="B19" s="6" t="s">
        <v>91</v>
      </c>
      <c r="C19" s="34">
        <f>+'Inversión inicial'!F21</f>
        <v>1271.1864406779662</v>
      </c>
      <c r="D19" s="4">
        <f t="shared" si="0"/>
        <v>10</v>
      </c>
      <c r="E19" s="38">
        <v>0.1</v>
      </c>
      <c r="F19" s="8">
        <f t="shared" si="1"/>
        <v>127.11864406779662</v>
      </c>
      <c r="G19" s="8">
        <f t="shared" si="2"/>
        <v>1271.1864406779662</v>
      </c>
      <c r="H19" s="8">
        <f t="shared" si="3"/>
        <v>0</v>
      </c>
    </row>
    <row r="20" spans="2:8" x14ac:dyDescent="0.25">
      <c r="B20" s="6" t="s">
        <v>92</v>
      </c>
      <c r="C20" s="34">
        <f>+'Inversión inicial'!F22</f>
        <v>4237.2881355932204</v>
      </c>
      <c r="D20" s="4">
        <f t="shared" si="0"/>
        <v>10</v>
      </c>
      <c r="E20" s="38">
        <v>0.1</v>
      </c>
      <c r="F20" s="8">
        <f t="shared" si="1"/>
        <v>423.72881355932208</v>
      </c>
      <c r="G20" s="8">
        <f t="shared" si="2"/>
        <v>4237.2881355932204</v>
      </c>
      <c r="H20" s="8">
        <f t="shared" si="3"/>
        <v>0</v>
      </c>
    </row>
    <row r="21" spans="2:8" x14ac:dyDescent="0.25">
      <c r="B21" s="6" t="s">
        <v>93</v>
      </c>
      <c r="C21" s="34">
        <f>+'Inversión inicial'!F23</f>
        <v>6779.6610169491532</v>
      </c>
      <c r="D21" s="4">
        <f t="shared" si="0"/>
        <v>10</v>
      </c>
      <c r="E21" s="38">
        <v>0.1</v>
      </c>
      <c r="F21" s="8">
        <f t="shared" si="1"/>
        <v>677.96610169491532</v>
      </c>
      <c r="G21" s="8">
        <f t="shared" si="2"/>
        <v>6779.6610169491532</v>
      </c>
      <c r="H21" s="8">
        <f t="shared" si="3"/>
        <v>0</v>
      </c>
    </row>
    <row r="22" spans="2:8" x14ac:dyDescent="0.25">
      <c r="B22" s="6" t="s">
        <v>94</v>
      </c>
      <c r="C22" s="34">
        <f>+'Inversión inicial'!F24</f>
        <v>1694.9152542372883</v>
      </c>
      <c r="D22" s="4">
        <f t="shared" si="0"/>
        <v>10</v>
      </c>
      <c r="E22" s="38">
        <v>0.1</v>
      </c>
      <c r="F22" s="8">
        <f t="shared" si="1"/>
        <v>169.49152542372883</v>
      </c>
      <c r="G22" s="8">
        <f t="shared" si="2"/>
        <v>1694.9152542372883</v>
      </c>
      <c r="H22" s="8">
        <f t="shared" si="3"/>
        <v>0</v>
      </c>
    </row>
    <row r="23" spans="2:8" x14ac:dyDescent="0.25">
      <c r="B23" s="6" t="s">
        <v>95</v>
      </c>
      <c r="C23" s="34">
        <f>+'Inversión inicial'!F25</f>
        <v>2711.8644067796613</v>
      </c>
      <c r="D23" s="4">
        <f t="shared" si="0"/>
        <v>4</v>
      </c>
      <c r="E23" s="38">
        <v>0.25</v>
      </c>
      <c r="F23" s="8">
        <f t="shared" si="1"/>
        <v>677.96610169491532</v>
      </c>
      <c r="G23" s="8">
        <f>+F23*2</f>
        <v>1355.9322033898306</v>
      </c>
      <c r="H23" s="8">
        <f t="shared" si="3"/>
        <v>1355.9322033898306</v>
      </c>
    </row>
    <row r="24" spans="2:8" x14ac:dyDescent="0.25">
      <c r="B24" s="276" t="s">
        <v>50</v>
      </c>
      <c r="C24" s="277">
        <f>SUM(C7:C23)</f>
        <v>750225.06900726387</v>
      </c>
      <c r="D24" s="276"/>
      <c r="E24" s="276"/>
      <c r="F24" s="276">
        <v>34666.57469733656</v>
      </c>
      <c r="G24" s="276"/>
      <c r="H24" s="276">
        <v>408983.05084745761</v>
      </c>
    </row>
  </sheetData>
  <mergeCells count="2">
    <mergeCell ref="B3:H3"/>
    <mergeCell ref="B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5BAE-124F-48DB-82A2-8DA062D96393}">
  <dimension ref="B3:AD125"/>
  <sheetViews>
    <sheetView topLeftCell="A70" zoomScaleNormal="100" workbookViewId="0">
      <selection activeCell="F7" sqref="F7"/>
    </sheetView>
  </sheetViews>
  <sheetFormatPr baseColWidth="10" defaultRowHeight="15.75" x14ac:dyDescent="0.25"/>
  <cols>
    <col min="1" max="1" width="4.85546875" style="11" customWidth="1"/>
    <col min="2" max="2" width="12.7109375" style="11" customWidth="1"/>
    <col min="3" max="10" width="8.85546875" style="11" customWidth="1"/>
    <col min="11" max="22" width="9" style="11" customWidth="1"/>
    <col min="23" max="23" width="11.42578125" style="11" customWidth="1"/>
    <col min="24" max="16384" width="11.42578125" style="11"/>
  </cols>
  <sheetData>
    <row r="3" spans="2:30" x14ac:dyDescent="0.25">
      <c r="B3" s="12"/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3" t="s">
        <v>38</v>
      </c>
    </row>
    <row r="4" spans="2:30" x14ac:dyDescent="0.25">
      <c r="B4" s="12" t="s">
        <v>37</v>
      </c>
      <c r="C4" s="113">
        <v>7.0331825037707393E-2</v>
      </c>
      <c r="D4" s="14">
        <v>7.1002178649237496E-2</v>
      </c>
      <c r="E4" s="14">
        <v>7.2007709066532602E-2</v>
      </c>
      <c r="F4" s="14">
        <v>7.2035361153008209E-2</v>
      </c>
      <c r="G4" s="14">
        <v>7.1035361153008209E-2</v>
      </c>
      <c r="H4" s="14">
        <v>6.9859477124183E-2</v>
      </c>
      <c r="I4" s="14">
        <v>0.1273671861907156</v>
      </c>
      <c r="J4" s="14">
        <v>7.5470085470085504E-2</v>
      </c>
      <c r="K4" s="14">
        <v>7.647561588738061E-2</v>
      </c>
      <c r="L4" s="14">
        <v>7.6643204290263098E-2</v>
      </c>
      <c r="M4" s="14">
        <v>8.3701273671861837E-2</v>
      </c>
      <c r="N4" s="14">
        <v>0.13407072230601641</v>
      </c>
      <c r="O4" s="15">
        <v>1</v>
      </c>
    </row>
    <row r="5" spans="2:30" x14ac:dyDescent="0.25">
      <c r="P5" s="114"/>
    </row>
    <row r="6" spans="2:30" x14ac:dyDescent="0.25">
      <c r="B6" s="11" t="s">
        <v>39</v>
      </c>
      <c r="D6" s="16">
        <f>+Resumen!F7</f>
        <v>7.0000000000000007E-2</v>
      </c>
    </row>
    <row r="10" spans="2:30" x14ac:dyDescent="0.25">
      <c r="B10" s="358" t="s">
        <v>40</v>
      </c>
      <c r="C10" s="358"/>
      <c r="D10" s="358"/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</row>
    <row r="11" spans="2:30" x14ac:dyDescent="0.25">
      <c r="Q11" s="360" t="s">
        <v>54</v>
      </c>
      <c r="R11" s="360"/>
      <c r="S11" s="360"/>
      <c r="T11" s="360"/>
      <c r="U11" s="360"/>
      <c r="V11" s="360"/>
      <c r="W11" s="360"/>
      <c r="X11" s="360"/>
      <c r="Y11" s="360"/>
      <c r="Z11" s="360"/>
      <c r="AA11" s="360"/>
      <c r="AB11" s="360"/>
      <c r="AC11" s="360"/>
      <c r="AD11" s="360"/>
    </row>
    <row r="12" spans="2:30" x14ac:dyDescent="0.25">
      <c r="B12" s="17" t="s">
        <v>11</v>
      </c>
      <c r="C12" s="17" t="s">
        <v>12</v>
      </c>
      <c r="D12" s="17" t="s">
        <v>13</v>
      </c>
      <c r="E12" s="17" t="s">
        <v>14</v>
      </c>
      <c r="F12" s="17" t="s">
        <v>15</v>
      </c>
      <c r="G12" s="17" t="s">
        <v>16</v>
      </c>
      <c r="H12" s="17" t="s">
        <v>17</v>
      </c>
      <c r="I12" s="17" t="s">
        <v>18</v>
      </c>
      <c r="J12" s="17" t="s">
        <v>19</v>
      </c>
      <c r="K12" s="17" t="s">
        <v>20</v>
      </c>
      <c r="L12" s="17" t="s">
        <v>21</v>
      </c>
      <c r="M12" s="17" t="s">
        <v>22</v>
      </c>
      <c r="N12" s="17" t="s">
        <v>23</v>
      </c>
      <c r="O12" s="17" t="s">
        <v>24</v>
      </c>
      <c r="Q12" s="17" t="s">
        <v>11</v>
      </c>
      <c r="R12" s="17" t="s">
        <v>12</v>
      </c>
      <c r="S12" s="17" t="s">
        <v>13</v>
      </c>
      <c r="T12" s="17" t="s">
        <v>14</v>
      </c>
      <c r="U12" s="17" t="s">
        <v>15</v>
      </c>
      <c r="V12" s="17" t="s">
        <v>16</v>
      </c>
      <c r="W12" s="17" t="s">
        <v>17</v>
      </c>
      <c r="X12" s="17" t="s">
        <v>18</v>
      </c>
      <c r="Y12" s="17" t="s">
        <v>19</v>
      </c>
      <c r="Z12" s="17" t="s">
        <v>20</v>
      </c>
      <c r="AA12" s="17" t="s">
        <v>21</v>
      </c>
      <c r="AB12" s="17" t="s">
        <v>22</v>
      </c>
      <c r="AC12" s="17" t="s">
        <v>23</v>
      </c>
      <c r="AD12" s="17" t="s">
        <v>24</v>
      </c>
    </row>
    <row r="13" spans="2:30" x14ac:dyDescent="0.25">
      <c r="B13" s="12">
        <v>1</v>
      </c>
      <c r="C13" s="213">
        <f>+$O$13*C4</f>
        <v>4219.9095022624433</v>
      </c>
      <c r="D13" s="213">
        <f t="shared" ref="D13:N13" si="0">+$O$13*D4</f>
        <v>4260.1307189542495</v>
      </c>
      <c r="E13" s="213">
        <f t="shared" si="0"/>
        <v>4320.4625439919564</v>
      </c>
      <c r="F13" s="213">
        <f t="shared" si="0"/>
        <v>4322.121669180493</v>
      </c>
      <c r="G13" s="213">
        <f t="shared" si="0"/>
        <v>4262.1216691804921</v>
      </c>
      <c r="H13" s="213">
        <f t="shared" si="0"/>
        <v>4191.5686274509799</v>
      </c>
      <c r="I13" s="213">
        <f t="shared" si="0"/>
        <v>7642.0311714429363</v>
      </c>
      <c r="J13" s="213">
        <f t="shared" si="0"/>
        <v>4528.2051282051307</v>
      </c>
      <c r="K13" s="213">
        <f t="shared" si="0"/>
        <v>4588.5369532428367</v>
      </c>
      <c r="L13" s="213">
        <f t="shared" si="0"/>
        <v>4598.5922574157858</v>
      </c>
      <c r="M13" s="213">
        <f t="shared" si="0"/>
        <v>5022.0764203117105</v>
      </c>
      <c r="N13" s="213">
        <f t="shared" si="0"/>
        <v>8044.243338360985</v>
      </c>
      <c r="O13" s="214">
        <v>60000</v>
      </c>
      <c r="Q13" s="12">
        <v>1</v>
      </c>
      <c r="R13" s="18">
        <f>+C13*Resumen!$C$4</f>
        <v>46454.766469821305</v>
      </c>
      <c r="S13" s="18">
        <f>+D13*Resumen!$C$4</f>
        <v>46897.540711199748</v>
      </c>
      <c r="T13" s="18">
        <f>+E13*Resumen!$C$4</f>
        <v>47561.702073267385</v>
      </c>
      <c r="U13" s="18">
        <f>+F13*Resumen!$C$4</f>
        <v>47579.96651072424</v>
      </c>
      <c r="V13" s="18">
        <f>+G13*Resumen!$C$4</f>
        <v>46919.45803614796</v>
      </c>
      <c r="W13" s="18">
        <f>+H13*Resumen!$C$4</f>
        <v>46142.776669990024</v>
      </c>
      <c r="X13" s="18">
        <f>+I13*Resumen!$C$4</f>
        <v>84127.10586190148</v>
      </c>
      <c r="Y13" s="18">
        <f>+J13*Resumen!$C$4</f>
        <v>49848.631029986995</v>
      </c>
      <c r="Z13" s="18">
        <f>+K13*Resumen!$C$4</f>
        <v>50512.792392054616</v>
      </c>
      <c r="AA13" s="18">
        <f>+L13*Resumen!$C$4</f>
        <v>50623.485952399205</v>
      </c>
      <c r="AB13" s="18">
        <f>+M13*Resumen!$C$4</f>
        <v>55285.400593092476</v>
      </c>
      <c r="AC13" s="18">
        <f>+N13*Resumen!$C$4</f>
        <v>88554.848275685756</v>
      </c>
      <c r="AD13" s="19">
        <f>SUM(R13:AC13)</f>
        <v>660508.47457627126</v>
      </c>
    </row>
    <row r="14" spans="2:30" x14ac:dyDescent="0.25">
      <c r="B14" s="12">
        <v>2</v>
      </c>
      <c r="C14" s="213">
        <f>+$O$14*C4</f>
        <v>4571.5686274509808</v>
      </c>
      <c r="D14" s="213">
        <f t="shared" ref="D14:N14" si="1">+$O$14*D4</f>
        <v>4615.1416122004375</v>
      </c>
      <c r="E14" s="213">
        <f t="shared" si="1"/>
        <v>4680.501089324619</v>
      </c>
      <c r="F14" s="213">
        <f t="shared" si="1"/>
        <v>4682.2984749455336</v>
      </c>
      <c r="G14" s="213">
        <f t="shared" si="1"/>
        <v>4617.2984749455336</v>
      </c>
      <c r="H14" s="213">
        <f t="shared" si="1"/>
        <v>4540.8660130718954</v>
      </c>
      <c r="I14" s="213">
        <f t="shared" si="1"/>
        <v>8278.8671023965144</v>
      </c>
      <c r="J14" s="213">
        <f t="shared" si="1"/>
        <v>4905.5555555555575</v>
      </c>
      <c r="K14" s="213">
        <f t="shared" si="1"/>
        <v>4970.9150326797399</v>
      </c>
      <c r="L14" s="213">
        <f t="shared" si="1"/>
        <v>4981.8082788671018</v>
      </c>
      <c r="M14" s="213">
        <f t="shared" si="1"/>
        <v>5440.5827886710194</v>
      </c>
      <c r="N14" s="213">
        <f t="shared" si="1"/>
        <v>8714.5969498910672</v>
      </c>
      <c r="O14" s="214">
        <v>65000</v>
      </c>
      <c r="Q14" s="12">
        <v>2</v>
      </c>
      <c r="R14" s="18">
        <f>+C14*Resumen!$C$4</f>
        <v>50325.997008973085</v>
      </c>
      <c r="S14" s="18">
        <f>+D14*Resumen!$C$4</f>
        <v>50805.669103799737</v>
      </c>
      <c r="T14" s="18">
        <f>+E14*Resumen!$C$4</f>
        <v>51525.177246039661</v>
      </c>
      <c r="U14" s="18">
        <f>+F14*Resumen!$C$4</f>
        <v>51544.963719951258</v>
      </c>
      <c r="V14" s="18">
        <f>+G14*Resumen!$C$4</f>
        <v>50829.412872493631</v>
      </c>
      <c r="W14" s="18">
        <f>+H14*Resumen!$C$4</f>
        <v>49988.008059155865</v>
      </c>
      <c r="X14" s="18">
        <f>+I14*Resumen!$C$4</f>
        <v>91137.698017059942</v>
      </c>
      <c r="Y14" s="18">
        <f>+J14*Resumen!$C$4</f>
        <v>54002.683615819231</v>
      </c>
      <c r="Z14" s="18">
        <f>+K14*Resumen!$C$4</f>
        <v>54722.191758059169</v>
      </c>
      <c r="AA14" s="18">
        <f>+L14*Resumen!$C$4</f>
        <v>54842.109781765808</v>
      </c>
      <c r="AB14" s="18">
        <f>+M14*Resumen!$C$4</f>
        <v>59892.517309183509</v>
      </c>
      <c r="AC14" s="18">
        <f>+N14*Resumen!$C$4</f>
        <v>95934.418965326244</v>
      </c>
      <c r="AD14" s="19">
        <f t="shared" ref="AD14:AD22" si="2">SUM(R14:AC14)</f>
        <v>715550.84745762718</v>
      </c>
    </row>
    <row r="15" spans="2:30" x14ac:dyDescent="0.25">
      <c r="B15" s="12">
        <v>3</v>
      </c>
      <c r="C15" s="213">
        <f>+$O$15*C4</f>
        <v>4891.5784313725489</v>
      </c>
      <c r="D15" s="213">
        <f t="shared" ref="D15:N15" si="3">+$O$15*D4</f>
        <v>4938.2015250544682</v>
      </c>
      <c r="E15" s="213">
        <f t="shared" si="3"/>
        <v>5008.1361655773426</v>
      </c>
      <c r="F15" s="213">
        <f t="shared" si="3"/>
        <v>5010.0593681917208</v>
      </c>
      <c r="G15" s="213">
        <f t="shared" si="3"/>
        <v>4940.5093681917206</v>
      </c>
      <c r="H15" s="213">
        <f t="shared" si="3"/>
        <v>4858.7266339869275</v>
      </c>
      <c r="I15" s="213">
        <f t="shared" si="3"/>
        <v>8858.3877995642706</v>
      </c>
      <c r="J15" s="213">
        <f t="shared" si="3"/>
        <v>5248.9444444444471</v>
      </c>
      <c r="K15" s="213">
        <f t="shared" si="3"/>
        <v>5318.8790849673214</v>
      </c>
      <c r="L15" s="213">
        <f t="shared" si="3"/>
        <v>5330.5348583877985</v>
      </c>
      <c r="M15" s="213">
        <f t="shared" si="3"/>
        <v>5821.4235838779905</v>
      </c>
      <c r="N15" s="213">
        <f t="shared" si="3"/>
        <v>9324.6187363834415</v>
      </c>
      <c r="O15" s="214">
        <f t="shared" ref="O15:O22" si="4">+O14*(1+$D$6)</f>
        <v>69550</v>
      </c>
      <c r="Q15" s="12">
        <v>3</v>
      </c>
      <c r="R15" s="18">
        <f>+C15*Resumen!$C$4</f>
        <v>53848.816799601198</v>
      </c>
      <c r="S15" s="18">
        <f>+D15*Resumen!$C$4</f>
        <v>54362.065941065717</v>
      </c>
      <c r="T15" s="18">
        <f>+E15*Resumen!$C$4</f>
        <v>55131.939653262445</v>
      </c>
      <c r="U15" s="18">
        <f>+F15*Resumen!$C$4</f>
        <v>55153.111180347842</v>
      </c>
      <c r="V15" s="18">
        <f>+G15*Resumen!$C$4</f>
        <v>54387.471773568177</v>
      </c>
      <c r="W15" s="18">
        <f>+H15*Resumen!$C$4</f>
        <v>53487.16862329677</v>
      </c>
      <c r="X15" s="18">
        <f>+I15*Resumen!$C$4</f>
        <v>97517.336878254137</v>
      </c>
      <c r="Y15" s="18">
        <f>+J15*Resumen!$C$4</f>
        <v>57782.871468926583</v>
      </c>
      <c r="Z15" s="18">
        <f>+K15*Resumen!$C$4</f>
        <v>58552.745181123311</v>
      </c>
      <c r="AA15" s="18">
        <f>+L15*Resumen!$C$4</f>
        <v>58681.057466489408</v>
      </c>
      <c r="AB15" s="18">
        <f>+M15*Resumen!$C$4</f>
        <v>64084.993520826356</v>
      </c>
      <c r="AC15" s="18">
        <f>+N15*Resumen!$C$4</f>
        <v>102649.82829289908</v>
      </c>
      <c r="AD15" s="19">
        <f t="shared" si="2"/>
        <v>765639.40677966096</v>
      </c>
    </row>
    <row r="16" spans="2:30" x14ac:dyDescent="0.25">
      <c r="B16" s="12">
        <v>4</v>
      </c>
      <c r="C16" s="213">
        <f>+$O$16*C4</f>
        <v>5233.988921568628</v>
      </c>
      <c r="D16" s="213">
        <f t="shared" ref="D16:N16" si="5">+$O$16*D4</f>
        <v>5283.8756318082806</v>
      </c>
      <c r="E16" s="213">
        <f t="shared" si="5"/>
        <v>5358.7056971677566</v>
      </c>
      <c r="F16" s="213">
        <f t="shared" si="5"/>
        <v>5360.7635239651418</v>
      </c>
      <c r="G16" s="213">
        <f t="shared" si="5"/>
        <v>5286.3450239651411</v>
      </c>
      <c r="H16" s="213">
        <f t="shared" si="5"/>
        <v>5198.8374983660124</v>
      </c>
      <c r="I16" s="213">
        <f t="shared" si="5"/>
        <v>9478.4749455337696</v>
      </c>
      <c r="J16" s="213">
        <f t="shared" si="5"/>
        <v>5616.370555555558</v>
      </c>
      <c r="K16" s="213">
        <f t="shared" si="5"/>
        <v>5691.2006209150341</v>
      </c>
      <c r="L16" s="213">
        <f t="shared" si="5"/>
        <v>5703.672298474944</v>
      </c>
      <c r="M16" s="213">
        <f t="shared" si="5"/>
        <v>6228.9232347494499</v>
      </c>
      <c r="N16" s="213">
        <f t="shared" si="5"/>
        <v>9977.3420479302822</v>
      </c>
      <c r="O16" s="214">
        <f t="shared" si="4"/>
        <v>74418.5</v>
      </c>
      <c r="Q16" s="12">
        <v>4</v>
      </c>
      <c r="R16" s="18">
        <f>+C16*Resumen!$C$4</f>
        <v>57618.23397557329</v>
      </c>
      <c r="S16" s="18">
        <f>+D16*Resumen!$C$4</f>
        <v>58167.410556940311</v>
      </c>
      <c r="T16" s="18">
        <f>+E16*Resumen!$C$4</f>
        <v>58991.175428990813</v>
      </c>
      <c r="U16" s="18">
        <f>+F16*Resumen!$C$4</f>
        <v>59013.828962972198</v>
      </c>
      <c r="V16" s="18">
        <f>+G16*Resumen!$C$4</f>
        <v>58194.594797717953</v>
      </c>
      <c r="W16" s="18">
        <f>+H16*Resumen!$C$4</f>
        <v>57231.270426927542</v>
      </c>
      <c r="X16" s="18">
        <f>+I16*Resumen!$C$4</f>
        <v>104343.55045973192</v>
      </c>
      <c r="Y16" s="18">
        <f>+J16*Resumen!$C$4</f>
        <v>61827.672471751444</v>
      </c>
      <c r="Z16" s="18">
        <f>+K16*Resumen!$C$4</f>
        <v>62651.437343801947</v>
      </c>
      <c r="AA16" s="18">
        <f>+L16*Resumen!$C$4</f>
        <v>62788.731489143669</v>
      </c>
      <c r="AB16" s="18">
        <f>+M16*Resumen!$C$4</f>
        <v>68570.943067284199</v>
      </c>
      <c r="AC16" s="18">
        <f>+N16*Resumen!$C$4</f>
        <v>109835.31627340202</v>
      </c>
      <c r="AD16" s="19">
        <f t="shared" si="2"/>
        <v>819234.16525423736</v>
      </c>
    </row>
    <row r="17" spans="2:30" x14ac:dyDescent="0.25">
      <c r="B17" s="12">
        <v>5</v>
      </c>
      <c r="C17" s="213">
        <f>+$O$17*C4</f>
        <v>5600.3681460784319</v>
      </c>
      <c r="D17" s="213">
        <f t="shared" ref="D17:N17" si="6">+$O$17*D4</f>
        <v>5653.7469260348598</v>
      </c>
      <c r="E17" s="213">
        <f t="shared" si="6"/>
        <v>5733.8150959694995</v>
      </c>
      <c r="F17" s="213">
        <f t="shared" si="6"/>
        <v>5736.0169706427014</v>
      </c>
      <c r="G17" s="213">
        <f t="shared" si="6"/>
        <v>5656.389175642701</v>
      </c>
      <c r="H17" s="213">
        <f t="shared" si="6"/>
        <v>5562.7561232516337</v>
      </c>
      <c r="I17" s="213">
        <f t="shared" si="6"/>
        <v>10141.968191721133</v>
      </c>
      <c r="J17" s="213">
        <f t="shared" si="6"/>
        <v>6009.5164944444468</v>
      </c>
      <c r="K17" s="213">
        <f t="shared" si="6"/>
        <v>6089.5846643790865</v>
      </c>
      <c r="L17" s="213">
        <f t="shared" si="6"/>
        <v>6102.9293593681905</v>
      </c>
      <c r="M17" s="213">
        <f t="shared" si="6"/>
        <v>6664.9478611819113</v>
      </c>
      <c r="N17" s="213">
        <f t="shared" si="6"/>
        <v>10675.755991285401</v>
      </c>
      <c r="O17" s="214">
        <f t="shared" si="4"/>
        <v>79627.794999999998</v>
      </c>
      <c r="Q17" s="12">
        <v>5</v>
      </c>
      <c r="R17" s="18">
        <f>+C17*Resumen!$C$4</f>
        <v>61651.510353863421</v>
      </c>
      <c r="S17" s="18">
        <f>+D17*Resumen!$C$4</f>
        <v>62239.129295926126</v>
      </c>
      <c r="T17" s="18">
        <f>+E17*Resumen!$C$4</f>
        <v>63120.55770902017</v>
      </c>
      <c r="U17" s="18">
        <f>+F17*Resumen!$C$4</f>
        <v>63144.796990380251</v>
      </c>
      <c r="V17" s="18">
        <f>+G17*Resumen!$C$4</f>
        <v>62268.216433558213</v>
      </c>
      <c r="W17" s="18">
        <f>+H17*Resumen!$C$4</f>
        <v>61237.459356812476</v>
      </c>
      <c r="X17" s="18">
        <f>+I17*Resumen!$C$4</f>
        <v>111647.59899191315</v>
      </c>
      <c r="Y17" s="18">
        <f>+J17*Resumen!$C$4</f>
        <v>66155.609544774037</v>
      </c>
      <c r="Z17" s="18">
        <f>+K17*Resumen!$C$4</f>
        <v>67037.037957868088</v>
      </c>
      <c r="AA17" s="18">
        <f>+L17*Resumen!$C$4</f>
        <v>67183.942693383724</v>
      </c>
      <c r="AB17" s="18">
        <f>+M17*Resumen!$C$4</f>
        <v>73370.90908199409</v>
      </c>
      <c r="AC17" s="18">
        <f>+N17*Resumen!$C$4</f>
        <v>117523.78841254015</v>
      </c>
      <c r="AD17" s="19">
        <f t="shared" si="2"/>
        <v>876580.55682203372</v>
      </c>
    </row>
    <row r="18" spans="2:30" x14ac:dyDescent="0.25">
      <c r="B18" s="12">
        <v>6</v>
      </c>
      <c r="C18" s="213">
        <f>+$O$18*C4</f>
        <v>5992.3939163039222</v>
      </c>
      <c r="D18" s="213">
        <f t="shared" ref="D18:N18" si="7">+$O$18*D4</f>
        <v>6049.5092108573008</v>
      </c>
      <c r="E18" s="213">
        <f t="shared" si="7"/>
        <v>6135.1821526873646</v>
      </c>
      <c r="F18" s="213">
        <f t="shared" si="7"/>
        <v>6137.5381585876912</v>
      </c>
      <c r="G18" s="213">
        <f t="shared" si="7"/>
        <v>6052.3364179376913</v>
      </c>
      <c r="H18" s="213">
        <f t="shared" si="7"/>
        <v>5952.149051879248</v>
      </c>
      <c r="I18" s="213">
        <f t="shared" si="7"/>
        <v>10851.905965141614</v>
      </c>
      <c r="J18" s="213">
        <f t="shared" si="7"/>
        <v>6430.1826490555586</v>
      </c>
      <c r="K18" s="213">
        <f t="shared" si="7"/>
        <v>6515.8555908856233</v>
      </c>
      <c r="L18" s="213">
        <f t="shared" si="7"/>
        <v>6530.1344145239646</v>
      </c>
      <c r="M18" s="213">
        <f t="shared" si="7"/>
        <v>7131.4942114646456</v>
      </c>
      <c r="N18" s="213">
        <f t="shared" si="7"/>
        <v>11423.058910675381</v>
      </c>
      <c r="O18" s="214">
        <f t="shared" si="4"/>
        <v>85201.740650000007</v>
      </c>
      <c r="Q18" s="12">
        <v>6</v>
      </c>
      <c r="R18" s="18">
        <f>+C18*Resumen!$C$4</f>
        <v>65967.116078633859</v>
      </c>
      <c r="S18" s="18">
        <f>+D18*Resumen!$C$4</f>
        <v>66595.868346640971</v>
      </c>
      <c r="T18" s="18">
        <f>+E18*Resumen!$C$4</f>
        <v>67538.996748651582</v>
      </c>
      <c r="U18" s="18">
        <f>+F18*Resumen!$C$4</f>
        <v>67564.932779706869</v>
      </c>
      <c r="V18" s="18">
        <f>+G18*Resumen!$C$4</f>
        <v>66626.991583907293</v>
      </c>
      <c r="W18" s="18">
        <f>+H18*Resumen!$C$4</f>
        <v>65524.081511789351</v>
      </c>
      <c r="X18" s="18">
        <f>+I18*Resumen!$C$4</f>
        <v>119462.93092134708</v>
      </c>
      <c r="Y18" s="18">
        <f>+J18*Resumen!$C$4</f>
        <v>70786.502212908235</v>
      </c>
      <c r="Z18" s="18">
        <f>+K18*Resumen!$C$4</f>
        <v>71729.63061491886</v>
      </c>
      <c r="AA18" s="18">
        <f>+L18*Resumen!$C$4</f>
        <v>71886.818681920602</v>
      </c>
      <c r="AB18" s="18">
        <f>+M18*Resumen!$C$4</f>
        <v>78506.872717733684</v>
      </c>
      <c r="AC18" s="18">
        <f>+N18*Resumen!$C$4</f>
        <v>125750.45360141798</v>
      </c>
      <c r="AD18" s="19">
        <f t="shared" si="2"/>
        <v>937941.19579957647</v>
      </c>
    </row>
    <row r="19" spans="2:30" x14ac:dyDescent="0.25">
      <c r="B19" s="12">
        <v>7</v>
      </c>
      <c r="C19" s="213">
        <f>+$O$19*C4</f>
        <v>6411.861490445197</v>
      </c>
      <c r="D19" s="213">
        <f t="shared" ref="D19:N19" si="8">+$O$19*D4</f>
        <v>6472.9748556173126</v>
      </c>
      <c r="E19" s="213">
        <f t="shared" si="8"/>
        <v>6564.6449033754807</v>
      </c>
      <c r="F19" s="213">
        <f t="shared" si="8"/>
        <v>6567.1658296888299</v>
      </c>
      <c r="G19" s="213">
        <f t="shared" si="8"/>
        <v>6475.9999671933292</v>
      </c>
      <c r="H19" s="213">
        <f t="shared" si="8"/>
        <v>6368.7994855107963</v>
      </c>
      <c r="I19" s="213">
        <f t="shared" si="8"/>
        <v>11611.539382701527</v>
      </c>
      <c r="J19" s="213">
        <f t="shared" si="8"/>
        <v>6880.2954344894488</v>
      </c>
      <c r="K19" s="213">
        <f t="shared" si="8"/>
        <v>6971.9654822476168</v>
      </c>
      <c r="L19" s="213">
        <f t="shared" si="8"/>
        <v>6987.2438235406426</v>
      </c>
      <c r="M19" s="213">
        <f t="shared" si="8"/>
        <v>7630.6988062671717</v>
      </c>
      <c r="N19" s="213">
        <f t="shared" si="8"/>
        <v>12222.673034422658</v>
      </c>
      <c r="O19" s="214">
        <f t="shared" si="4"/>
        <v>91165.862495500012</v>
      </c>
      <c r="Q19" s="12">
        <v>7</v>
      </c>
      <c r="R19" s="18">
        <f>+C19*Resumen!$C$4</f>
        <v>70584.814204138223</v>
      </c>
      <c r="S19" s="18">
        <f>+D19*Resumen!$C$4</f>
        <v>71257.57913090584</v>
      </c>
      <c r="T19" s="18">
        <f>+E19*Resumen!$C$4</f>
        <v>72266.726521057208</v>
      </c>
      <c r="U19" s="18">
        <f>+F19*Resumen!$C$4</f>
        <v>72294.478074286366</v>
      </c>
      <c r="V19" s="18">
        <f>+G19*Resumen!$C$4</f>
        <v>71290.880994780804</v>
      </c>
      <c r="W19" s="18">
        <f>+H19*Resumen!$C$4</f>
        <v>70110.767217614615</v>
      </c>
      <c r="X19" s="18">
        <f>+I19*Resumen!$C$4</f>
        <v>127825.33608584139</v>
      </c>
      <c r="Y19" s="18">
        <f>+J19*Resumen!$C$4</f>
        <v>75741.557367811809</v>
      </c>
      <c r="Z19" s="18">
        <f>+K19*Resumen!$C$4</f>
        <v>76750.704757963176</v>
      </c>
      <c r="AA19" s="18">
        <f>+L19*Resumen!$C$4</f>
        <v>76918.895989655037</v>
      </c>
      <c r="AB19" s="18">
        <f>+M19*Resumen!$C$4</f>
        <v>84002.353807975058</v>
      </c>
      <c r="AC19" s="18">
        <f>+N19*Resumen!$C$4</f>
        <v>134552.98535351723</v>
      </c>
      <c r="AD19" s="19">
        <f t="shared" si="2"/>
        <v>1003597.0795055468</v>
      </c>
    </row>
    <row r="20" spans="2:30" x14ac:dyDescent="0.25">
      <c r="B20" s="12">
        <v>8</v>
      </c>
      <c r="C20" s="213">
        <f>+$O$20*C4</f>
        <v>6860.6917947763623</v>
      </c>
      <c r="D20" s="213">
        <f t="shared" ref="D20:N20" si="9">+$O$20*D4</f>
        <v>6926.0830955105248</v>
      </c>
      <c r="E20" s="213">
        <f t="shared" si="9"/>
        <v>7024.1700466117654</v>
      </c>
      <c r="F20" s="213">
        <f t="shared" si="9"/>
        <v>7026.8674377670486</v>
      </c>
      <c r="G20" s="213">
        <f t="shared" si="9"/>
        <v>6929.3199648968639</v>
      </c>
      <c r="H20" s="213">
        <f t="shared" si="9"/>
        <v>6814.6154494965522</v>
      </c>
      <c r="I20" s="213">
        <f t="shared" si="9"/>
        <v>12424.347139490636</v>
      </c>
      <c r="J20" s="213">
        <f t="shared" si="9"/>
        <v>7361.9161149037109</v>
      </c>
      <c r="K20" s="213">
        <f t="shared" si="9"/>
        <v>7460.0030660049506</v>
      </c>
      <c r="L20" s="213">
        <f t="shared" si="9"/>
        <v>7476.3508911884883</v>
      </c>
      <c r="M20" s="213">
        <f t="shared" si="9"/>
        <v>8164.8477227058747</v>
      </c>
      <c r="N20" s="213">
        <f t="shared" si="9"/>
        <v>13078.260146832246</v>
      </c>
      <c r="O20" s="214">
        <f t="shared" si="4"/>
        <v>97547.472870185025</v>
      </c>
      <c r="Q20" s="12">
        <v>8</v>
      </c>
      <c r="R20" s="18">
        <f>+C20*Resumen!$C$4</f>
        <v>75525.751198427926</v>
      </c>
      <c r="S20" s="18">
        <f>+D20*Resumen!$C$4</f>
        <v>76245.609670069258</v>
      </c>
      <c r="T20" s="18">
        <f>+E20*Resumen!$C$4</f>
        <v>77325.397377531219</v>
      </c>
      <c r="U20" s="18">
        <f>+F20*Resumen!$C$4</f>
        <v>77355.091539486413</v>
      </c>
      <c r="V20" s="18">
        <f>+G20*Resumen!$C$4</f>
        <v>76281.242664415477</v>
      </c>
      <c r="W20" s="18">
        <f>+H20*Resumen!$C$4</f>
        <v>75018.520922847645</v>
      </c>
      <c r="X20" s="18">
        <f>+I20*Resumen!$C$4</f>
        <v>136773.10961185032</v>
      </c>
      <c r="Y20" s="18">
        <f>+J20*Resumen!$C$4</f>
        <v>81043.466383558654</v>
      </c>
      <c r="Z20" s="18">
        <f>+K20*Resumen!$C$4</f>
        <v>82123.254091020601</v>
      </c>
      <c r="AA20" s="18">
        <f>+L20*Resumen!$C$4</f>
        <v>82303.218708930901</v>
      </c>
      <c r="AB20" s="18">
        <f>+M20*Resumen!$C$4</f>
        <v>89882.518574533315</v>
      </c>
      <c r="AC20" s="18">
        <f>+N20*Resumen!$C$4</f>
        <v>143971.69432826346</v>
      </c>
      <c r="AD20" s="19">
        <f t="shared" si="2"/>
        <v>1073848.8750709351</v>
      </c>
    </row>
    <row r="21" spans="2:30" x14ac:dyDescent="0.25">
      <c r="B21" s="12">
        <v>9</v>
      </c>
      <c r="C21" s="213">
        <f>+$O$21*C4</f>
        <v>7340.9402204107073</v>
      </c>
      <c r="D21" s="213">
        <f t="shared" ref="D21:N21" si="10">+$O$21*D4</f>
        <v>7410.9089121962616</v>
      </c>
      <c r="E21" s="213">
        <f t="shared" si="10"/>
        <v>7515.8619498745893</v>
      </c>
      <c r="F21" s="213">
        <f t="shared" si="10"/>
        <v>7518.7481584107418</v>
      </c>
      <c r="G21" s="213">
        <f t="shared" si="10"/>
        <v>7414.3723624396443</v>
      </c>
      <c r="H21" s="213">
        <f t="shared" si="10"/>
        <v>7291.6385309613115</v>
      </c>
      <c r="I21" s="213">
        <f t="shared" si="10"/>
        <v>13294.051439254979</v>
      </c>
      <c r="J21" s="213">
        <f t="shared" si="10"/>
        <v>7877.2502429469705</v>
      </c>
      <c r="K21" s="213">
        <f t="shared" si="10"/>
        <v>7982.2032806252973</v>
      </c>
      <c r="L21" s="213">
        <f t="shared" si="10"/>
        <v>7999.6954535716823</v>
      </c>
      <c r="M21" s="213">
        <f t="shared" si="10"/>
        <v>8736.3870632952858</v>
      </c>
      <c r="N21" s="213">
        <f t="shared" si="10"/>
        <v>13993.738357110504</v>
      </c>
      <c r="O21" s="214">
        <f t="shared" si="4"/>
        <v>104375.79597109798</v>
      </c>
      <c r="Q21" s="12">
        <v>9</v>
      </c>
      <c r="R21" s="18">
        <f>+C21*Resumen!$C$4</f>
        <v>80812.553782317875</v>
      </c>
      <c r="S21" s="18">
        <f>+D21*Resumen!$C$4</f>
        <v>81582.802346974102</v>
      </c>
      <c r="T21" s="18">
        <f>+E21*Resumen!$C$4</f>
        <v>82738.175193958406</v>
      </c>
      <c r="U21" s="18">
        <f>+F21*Resumen!$C$4</f>
        <v>82769.947947250461</v>
      </c>
      <c r="V21" s="18">
        <f>+G21*Resumen!$C$4</f>
        <v>81620.929650924561</v>
      </c>
      <c r="W21" s="18">
        <f>+H21*Resumen!$C$4</f>
        <v>80269.817387446979</v>
      </c>
      <c r="X21" s="18">
        <f>+I21*Resumen!$C$4</f>
        <v>146347.22728467983</v>
      </c>
      <c r="Y21" s="18">
        <f>+J21*Resumen!$C$4</f>
        <v>86716.50903040776</v>
      </c>
      <c r="Z21" s="18">
        <f>+K21*Resumen!$C$4</f>
        <v>87871.88187739205</v>
      </c>
      <c r="AA21" s="18">
        <f>+L21*Resumen!$C$4</f>
        <v>88064.444018556067</v>
      </c>
      <c r="AB21" s="18">
        <f>+M21*Resumen!$C$4</f>
        <v>96174.294874750645</v>
      </c>
      <c r="AC21" s="18">
        <f>+N21*Resumen!$C$4</f>
        <v>154049.7129312419</v>
      </c>
      <c r="AD21" s="19">
        <f t="shared" si="2"/>
        <v>1149018.2963259006</v>
      </c>
    </row>
    <row r="22" spans="2:30" x14ac:dyDescent="0.25">
      <c r="B22" s="12">
        <v>10</v>
      </c>
      <c r="C22" s="213">
        <f>+$O$22*C4</f>
        <v>7854.8060358394569</v>
      </c>
      <c r="D22" s="213">
        <f t="shared" ref="D22:N22" si="11">+$O$22*D4</f>
        <v>7929.6725360500004</v>
      </c>
      <c r="E22" s="213">
        <f t="shared" si="11"/>
        <v>8041.9722863658108</v>
      </c>
      <c r="F22" s="213">
        <f t="shared" si="11"/>
        <v>8045.0605294994948</v>
      </c>
      <c r="G22" s="213">
        <f t="shared" si="11"/>
        <v>7933.3784278104195</v>
      </c>
      <c r="H22" s="213">
        <f t="shared" si="11"/>
        <v>7802.0532281286032</v>
      </c>
      <c r="I22" s="213">
        <f t="shared" si="11"/>
        <v>14224.63504000283</v>
      </c>
      <c r="J22" s="213">
        <f t="shared" si="11"/>
        <v>8428.6577599532593</v>
      </c>
      <c r="K22" s="213">
        <f t="shared" si="11"/>
        <v>8540.9575102690687</v>
      </c>
      <c r="L22" s="213">
        <f t="shared" si="11"/>
        <v>8559.6741353217003</v>
      </c>
      <c r="M22" s="213">
        <f t="shared" si="11"/>
        <v>9347.9341577259565</v>
      </c>
      <c r="N22" s="213">
        <f t="shared" si="11"/>
        <v>14973.30004210824</v>
      </c>
      <c r="O22" s="214">
        <f t="shared" si="4"/>
        <v>111682.10168907484</v>
      </c>
      <c r="Q22" s="12">
        <v>10</v>
      </c>
      <c r="R22" s="18">
        <f>+C22*Resumen!$C$4</f>
        <v>86469.432547080127</v>
      </c>
      <c r="S22" s="18">
        <f>+D22*Resumen!$C$4</f>
        <v>87293.598511262302</v>
      </c>
      <c r="T22" s="18">
        <f>+E22*Resumen!$C$4</f>
        <v>88529.847457535492</v>
      </c>
      <c r="U22" s="18">
        <f>+F22*Resumen!$C$4</f>
        <v>88563.844303557999</v>
      </c>
      <c r="V22" s="18">
        <f>+G22*Resumen!$C$4</f>
        <v>87334.394726489278</v>
      </c>
      <c r="W22" s="18">
        <f>+H22*Resumen!$C$4</f>
        <v>85888.704604568265</v>
      </c>
      <c r="X22" s="18">
        <f>+I22*Resumen!$C$4</f>
        <v>156591.53319460741</v>
      </c>
      <c r="Y22" s="18">
        <f>+J22*Resumen!$C$4</f>
        <v>92786.664662536306</v>
      </c>
      <c r="Z22" s="18">
        <f>+K22*Resumen!$C$4</f>
        <v>94022.913608809497</v>
      </c>
      <c r="AA22" s="18">
        <f>+L22*Resumen!$C$4</f>
        <v>94228.955099854997</v>
      </c>
      <c r="AB22" s="18">
        <f>+M22*Resumen!$C$4</f>
        <v>102906.4955159832</v>
      </c>
      <c r="AC22" s="18">
        <f>+N22*Resumen!$C$4</f>
        <v>164833.19283642885</v>
      </c>
      <c r="AD22" s="19">
        <f t="shared" si="2"/>
        <v>1229449.5770687137</v>
      </c>
    </row>
    <row r="23" spans="2:30" x14ac:dyDescent="0.25">
      <c r="B23" s="20"/>
    </row>
    <row r="24" spans="2:30" x14ac:dyDescent="0.25">
      <c r="B24" s="20"/>
    </row>
    <row r="25" spans="2:30" x14ac:dyDescent="0.25">
      <c r="B25" s="359" t="s">
        <v>41</v>
      </c>
      <c r="C25" s="359"/>
      <c r="D25" s="359"/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Q25" s="359" t="s">
        <v>55</v>
      </c>
      <c r="R25" s="359"/>
      <c r="S25" s="359"/>
      <c r="T25" s="359"/>
      <c r="U25" s="359"/>
      <c r="V25" s="359"/>
      <c r="W25" s="359"/>
      <c r="X25" s="359"/>
      <c r="Y25" s="359"/>
      <c r="Z25" s="359"/>
      <c r="AA25" s="359"/>
      <c r="AB25" s="359"/>
      <c r="AC25" s="359"/>
      <c r="AD25" s="359"/>
    </row>
    <row r="26" spans="2:30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2:30" x14ac:dyDescent="0.25">
      <c r="B27" s="17" t="s">
        <v>11</v>
      </c>
      <c r="C27" s="17" t="s">
        <v>12</v>
      </c>
      <c r="D27" s="17" t="s">
        <v>13</v>
      </c>
      <c r="E27" s="17" t="s">
        <v>14</v>
      </c>
      <c r="F27" s="17" t="s">
        <v>15</v>
      </c>
      <c r="G27" s="17" t="s">
        <v>16</v>
      </c>
      <c r="H27" s="17" t="s">
        <v>17</v>
      </c>
      <c r="I27" s="17" t="s">
        <v>18</v>
      </c>
      <c r="J27" s="17" t="s">
        <v>19</v>
      </c>
      <c r="K27" s="17" t="s">
        <v>20</v>
      </c>
      <c r="L27" s="17" t="s">
        <v>21</v>
      </c>
      <c r="M27" s="17" t="s">
        <v>22</v>
      </c>
      <c r="N27" s="17" t="s">
        <v>23</v>
      </c>
      <c r="O27" s="17" t="s">
        <v>24</v>
      </c>
      <c r="Q27" s="17" t="s">
        <v>11</v>
      </c>
      <c r="R27" s="17" t="s">
        <v>12</v>
      </c>
      <c r="S27" s="17" t="s">
        <v>13</v>
      </c>
      <c r="T27" s="17" t="s">
        <v>14</v>
      </c>
      <c r="U27" s="17" t="s">
        <v>15</v>
      </c>
      <c r="V27" s="17" t="s">
        <v>16</v>
      </c>
      <c r="W27" s="17" t="s">
        <v>17</v>
      </c>
      <c r="X27" s="17" t="s">
        <v>18</v>
      </c>
      <c r="Y27" s="17" t="s">
        <v>19</v>
      </c>
      <c r="Z27" s="17" t="s">
        <v>20</v>
      </c>
      <c r="AA27" s="17" t="s">
        <v>21</v>
      </c>
      <c r="AB27" s="17" t="s">
        <v>22</v>
      </c>
      <c r="AC27" s="17" t="s">
        <v>23</v>
      </c>
      <c r="AD27" s="17" t="s">
        <v>24</v>
      </c>
    </row>
    <row r="28" spans="2:30" x14ac:dyDescent="0.25">
      <c r="B28" s="12">
        <v>1</v>
      </c>
      <c r="C28" s="215">
        <f t="shared" ref="C28:N28" si="12">+$O$28*C4</f>
        <v>3164.9321266968327</v>
      </c>
      <c r="D28" s="215">
        <f t="shared" si="12"/>
        <v>3195.0980392156875</v>
      </c>
      <c r="E28" s="215">
        <f t="shared" si="12"/>
        <v>3240.3469079939673</v>
      </c>
      <c r="F28" s="215">
        <f t="shared" si="12"/>
        <v>3241.5912518853693</v>
      </c>
      <c r="G28" s="215">
        <f t="shared" si="12"/>
        <v>3196.5912518853693</v>
      </c>
      <c r="H28" s="215">
        <f t="shared" si="12"/>
        <v>3143.6764705882351</v>
      </c>
      <c r="I28" s="215">
        <f t="shared" si="12"/>
        <v>5731.523378582202</v>
      </c>
      <c r="J28" s="215">
        <f t="shared" si="12"/>
        <v>3396.1538461538476</v>
      </c>
      <c r="K28" s="215">
        <f t="shared" si="12"/>
        <v>3441.4027149321273</v>
      </c>
      <c r="L28" s="215">
        <f t="shared" si="12"/>
        <v>3448.9441930618395</v>
      </c>
      <c r="M28" s="215">
        <f t="shared" si="12"/>
        <v>3766.5573152337824</v>
      </c>
      <c r="N28" s="215">
        <f t="shared" si="12"/>
        <v>6033.1825037707385</v>
      </c>
      <c r="O28" s="216">
        <v>45000</v>
      </c>
      <c r="Q28" s="12">
        <v>1</v>
      </c>
      <c r="R28" s="22">
        <f>+C28*Resumen!$C$5</f>
        <v>34959.089270649594</v>
      </c>
      <c r="S28" s="22">
        <f>+D28*Resumen!$C$5</f>
        <v>35292.294782319725</v>
      </c>
      <c r="T28" s="22">
        <f>+E28*Resumen!$C$5</f>
        <v>35792.103049824895</v>
      </c>
      <c r="U28" s="22">
        <f>+F28*Resumen!$C$5</f>
        <v>35805.847777181276</v>
      </c>
      <c r="V28" s="22">
        <f>+G28*Resumen!$C$5</f>
        <v>35308.788455147376</v>
      </c>
      <c r="W28" s="22">
        <f>+H28*Resumen!$C$5</f>
        <v>34724.304336989029</v>
      </c>
      <c r="X28" s="22">
        <f>+I28*Resumen!$C$5</f>
        <v>63309.04721732239</v>
      </c>
      <c r="Y28" s="22">
        <f>+J28*Resumen!$C$5</f>
        <v>37513.109517601057</v>
      </c>
      <c r="Z28" s="22">
        <f>+K28*Resumen!$C$5</f>
        <v>38012.917785106227</v>
      </c>
      <c r="AA28" s="22">
        <f>+L28*Resumen!$C$5</f>
        <v>38096.219163023743</v>
      </c>
      <c r="AB28" s="22">
        <f>+M28*Resumen!$C$5</f>
        <v>41604.498344709427</v>
      </c>
      <c r="AC28" s="22">
        <f>+N28*Resumen!$C$5</f>
        <v>66641.10233402357</v>
      </c>
      <c r="AD28" s="23">
        <f>SUM(R28:AC28)</f>
        <v>497059.32203389832</v>
      </c>
    </row>
    <row r="29" spans="2:30" x14ac:dyDescent="0.25">
      <c r="B29" s="12">
        <v>2</v>
      </c>
      <c r="C29" s="215">
        <f t="shared" ref="C29:N29" si="13">+$O$29*C4</f>
        <v>3657.2549019607845</v>
      </c>
      <c r="D29" s="215">
        <f t="shared" si="13"/>
        <v>3692.1132897603497</v>
      </c>
      <c r="E29" s="215">
        <f t="shared" si="13"/>
        <v>3744.4008714596953</v>
      </c>
      <c r="F29" s="215">
        <f t="shared" si="13"/>
        <v>3745.8387799564271</v>
      </c>
      <c r="G29" s="215">
        <f t="shared" si="13"/>
        <v>3693.8387799564271</v>
      </c>
      <c r="H29" s="215">
        <f t="shared" si="13"/>
        <v>3632.6928104575159</v>
      </c>
      <c r="I29" s="215">
        <f t="shared" si="13"/>
        <v>6623.0936819172111</v>
      </c>
      <c r="J29" s="215">
        <f t="shared" si="13"/>
        <v>3924.4444444444462</v>
      </c>
      <c r="K29" s="215">
        <f t="shared" si="13"/>
        <v>3976.7320261437917</v>
      </c>
      <c r="L29" s="215">
        <f t="shared" si="13"/>
        <v>3985.446623093681</v>
      </c>
      <c r="M29" s="215">
        <f t="shared" si="13"/>
        <v>4352.4662309368159</v>
      </c>
      <c r="N29" s="215">
        <f t="shared" si="13"/>
        <v>6971.6775599128532</v>
      </c>
      <c r="O29" s="216">
        <v>52000</v>
      </c>
      <c r="Q29" s="12">
        <v>2</v>
      </c>
      <c r="R29" s="22">
        <f>+C29*Resumen!$C$5</f>
        <v>40397.169823861754</v>
      </c>
      <c r="S29" s="22">
        <f>+D29*Resumen!$C$5</f>
        <v>40782.2073040139</v>
      </c>
      <c r="T29" s="22">
        <f>+E29*Resumen!$C$5</f>
        <v>41359.763524242095</v>
      </c>
      <c r="U29" s="22">
        <f>+F29*Resumen!$C$5</f>
        <v>41375.646320298365</v>
      </c>
      <c r="V29" s="22">
        <f>+G29*Resumen!$C$5</f>
        <v>40801.26665928142</v>
      </c>
      <c r="W29" s="22">
        <f>+H29*Resumen!$C$5</f>
        <v>40125.862789409548</v>
      </c>
      <c r="X29" s="22">
        <f>+I29*Resumen!$C$5</f>
        <v>73157.121228905875</v>
      </c>
      <c r="Y29" s="22">
        <f>+J29*Resumen!$C$5</f>
        <v>43348.482109227894</v>
      </c>
      <c r="Z29" s="22">
        <f>+K29*Resumen!$C$5</f>
        <v>43926.038329456089</v>
      </c>
      <c r="AA29" s="22">
        <f>+L29*Resumen!$C$5</f>
        <v>44022.297699494098</v>
      </c>
      <c r="AB29" s="22">
        <f>+M29*Resumen!$C$5</f>
        <v>48076.309198330899</v>
      </c>
      <c r="AC29" s="22">
        <f>+N29*Resumen!$C$5</f>
        <v>77007.496030427224</v>
      </c>
      <c r="AD29" s="23">
        <f t="shared" ref="AD29:AD37" si="14">SUM(R29:AC29)</f>
        <v>574379.66101694922</v>
      </c>
    </row>
    <row r="30" spans="2:30" x14ac:dyDescent="0.25">
      <c r="B30" s="12">
        <v>3</v>
      </c>
      <c r="C30" s="215">
        <f t="shared" ref="C30:N30" si="15">+$O$30*C4</f>
        <v>3913.2627450980394</v>
      </c>
      <c r="D30" s="215">
        <f t="shared" si="15"/>
        <v>3950.5612200435744</v>
      </c>
      <c r="E30" s="215">
        <f t="shared" si="15"/>
        <v>4006.5089324618739</v>
      </c>
      <c r="F30" s="215">
        <f t="shared" si="15"/>
        <v>4008.047494553377</v>
      </c>
      <c r="G30" s="215">
        <f t="shared" si="15"/>
        <v>3952.4074945533766</v>
      </c>
      <c r="H30" s="215">
        <f t="shared" si="15"/>
        <v>3886.9813071895423</v>
      </c>
      <c r="I30" s="215">
        <f t="shared" si="15"/>
        <v>7086.7102396514165</v>
      </c>
      <c r="J30" s="215">
        <f t="shared" si="15"/>
        <v>4199.1555555555578</v>
      </c>
      <c r="K30" s="215">
        <f t="shared" si="15"/>
        <v>4255.1032679738573</v>
      </c>
      <c r="L30" s="215">
        <f t="shared" si="15"/>
        <v>4264.4278867102385</v>
      </c>
      <c r="M30" s="215">
        <f t="shared" si="15"/>
        <v>4657.1388671023924</v>
      </c>
      <c r="N30" s="215">
        <f t="shared" si="15"/>
        <v>7459.6949891067534</v>
      </c>
      <c r="O30" s="216">
        <f t="shared" ref="O30:O37" si="16">+O29*(1+$D$6)</f>
        <v>55640</v>
      </c>
      <c r="Q30" s="12">
        <v>3</v>
      </c>
      <c r="R30" s="22">
        <f>+C30*Resumen!$C$5</f>
        <v>43224.971711532075</v>
      </c>
      <c r="S30" s="22">
        <f>+D30*Resumen!$C$5</f>
        <v>43636.961815294875</v>
      </c>
      <c r="T30" s="22">
        <f>+E30*Resumen!$C$5</f>
        <v>44254.94697093904</v>
      </c>
      <c r="U30" s="22">
        <f>+F30*Resumen!$C$5</f>
        <v>44271.94156271925</v>
      </c>
      <c r="V30" s="22">
        <f>+G30*Resumen!$C$5</f>
        <v>43657.355325431112</v>
      </c>
      <c r="W30" s="22">
        <f>+H30*Resumen!$C$5</f>
        <v>42934.673184668216</v>
      </c>
      <c r="X30" s="22">
        <f>+I30*Resumen!$C$5</f>
        <v>78278.1197149293</v>
      </c>
      <c r="Y30" s="22">
        <f>+J30*Resumen!$C$5</f>
        <v>46382.875856873849</v>
      </c>
      <c r="Z30" s="22">
        <f>+K30*Resumen!$C$5</f>
        <v>47000.861012518013</v>
      </c>
      <c r="AA30" s="22">
        <f>+L30*Resumen!$C$5</f>
        <v>47103.858538458684</v>
      </c>
      <c r="AB30" s="22">
        <f>+M30*Resumen!$C$5</f>
        <v>51441.650842214054</v>
      </c>
      <c r="AC30" s="22">
        <f>+N30*Resumen!$C$5</f>
        <v>82398.020752557146</v>
      </c>
      <c r="AD30" s="23">
        <f t="shared" si="14"/>
        <v>614586.23728813557</v>
      </c>
    </row>
    <row r="31" spans="2:30" x14ac:dyDescent="0.25">
      <c r="B31" s="12">
        <v>4</v>
      </c>
      <c r="C31" s="215">
        <f t="shared" ref="C31:N31" si="17">+$O$31*C4</f>
        <v>4187.1911372549021</v>
      </c>
      <c r="D31" s="215">
        <f t="shared" si="17"/>
        <v>4227.100505446625</v>
      </c>
      <c r="E31" s="215">
        <f t="shared" si="17"/>
        <v>4286.9645577342053</v>
      </c>
      <c r="F31" s="215">
        <f t="shared" si="17"/>
        <v>4288.6108191721132</v>
      </c>
      <c r="G31" s="215">
        <f t="shared" si="17"/>
        <v>4229.0760191721129</v>
      </c>
      <c r="H31" s="215">
        <f t="shared" si="17"/>
        <v>4159.0699986928103</v>
      </c>
      <c r="I31" s="215">
        <f t="shared" si="17"/>
        <v>7582.7799564270153</v>
      </c>
      <c r="J31" s="215">
        <f t="shared" si="17"/>
        <v>4493.0964444444471</v>
      </c>
      <c r="K31" s="215">
        <f t="shared" si="17"/>
        <v>4552.9604967320274</v>
      </c>
      <c r="L31" s="215">
        <f t="shared" si="17"/>
        <v>4562.9378387799561</v>
      </c>
      <c r="M31" s="215">
        <f t="shared" si="17"/>
        <v>4983.1385877995599</v>
      </c>
      <c r="N31" s="215">
        <f t="shared" si="17"/>
        <v>7981.8736383442265</v>
      </c>
      <c r="O31" s="216">
        <f t="shared" si="16"/>
        <v>59534.8</v>
      </c>
      <c r="Q31" s="12">
        <v>4</v>
      </c>
      <c r="R31" s="22">
        <f>+C31*Resumen!$C$5</f>
        <v>46250.719731339319</v>
      </c>
      <c r="S31" s="22">
        <f>+D31*Resumen!$C$5</f>
        <v>46691.549142365518</v>
      </c>
      <c r="T31" s="22">
        <f>+E31*Resumen!$C$5</f>
        <v>47352.793258904778</v>
      </c>
      <c r="U31" s="22">
        <f>+F31*Resumen!$C$5</f>
        <v>47370.977472109596</v>
      </c>
      <c r="V31" s="22">
        <f>+G31*Resumen!$C$5</f>
        <v>46713.370198211291</v>
      </c>
      <c r="W31" s="22">
        <f>+H31*Resumen!$C$5</f>
        <v>45940.100307594992</v>
      </c>
      <c r="X31" s="22">
        <f>+I31*Resumen!$C$5</f>
        <v>83757.588094974344</v>
      </c>
      <c r="Y31" s="22">
        <f>+J31*Resumen!$C$5</f>
        <v>49629.677166855021</v>
      </c>
      <c r="Z31" s="22">
        <f>+K31*Resumen!$C$5</f>
        <v>50290.92128339428</v>
      </c>
      <c r="AA31" s="22">
        <f>+L31*Resumen!$C$5</f>
        <v>50401.128636150803</v>
      </c>
      <c r="AB31" s="22">
        <f>+M31*Resumen!$C$5</f>
        <v>55042.566401169039</v>
      </c>
      <c r="AC31" s="22">
        <f>+N31*Resumen!$C$5</f>
        <v>88165.88220523615</v>
      </c>
      <c r="AD31" s="23">
        <f t="shared" si="14"/>
        <v>657607.27389830502</v>
      </c>
    </row>
    <row r="32" spans="2:30" x14ac:dyDescent="0.25">
      <c r="B32" s="12">
        <v>5</v>
      </c>
      <c r="C32" s="215">
        <f t="shared" ref="C32:N32" si="18">+$O$32*C4</f>
        <v>4480.2945168627457</v>
      </c>
      <c r="D32" s="215">
        <f t="shared" si="18"/>
        <v>4522.9975408278888</v>
      </c>
      <c r="E32" s="215">
        <f t="shared" si="18"/>
        <v>4587.0520767755997</v>
      </c>
      <c r="F32" s="215">
        <f t="shared" si="18"/>
        <v>4588.8135765141615</v>
      </c>
      <c r="G32" s="215">
        <f t="shared" si="18"/>
        <v>4525.1113405141614</v>
      </c>
      <c r="H32" s="215">
        <f t="shared" si="18"/>
        <v>4450.2048986013069</v>
      </c>
      <c r="I32" s="215">
        <f t="shared" si="18"/>
        <v>8113.5745533769068</v>
      </c>
      <c r="J32" s="215">
        <f t="shared" si="18"/>
        <v>4807.6131955555584</v>
      </c>
      <c r="K32" s="215">
        <f t="shared" si="18"/>
        <v>4871.6677315032694</v>
      </c>
      <c r="L32" s="215">
        <f t="shared" si="18"/>
        <v>4882.3434874945524</v>
      </c>
      <c r="M32" s="215">
        <f t="shared" si="18"/>
        <v>5331.9582889455296</v>
      </c>
      <c r="N32" s="215">
        <f t="shared" si="18"/>
        <v>8540.6047930283221</v>
      </c>
      <c r="O32" s="216">
        <f t="shared" si="16"/>
        <v>63702.236000000004</v>
      </c>
      <c r="Q32" s="12">
        <v>5</v>
      </c>
      <c r="R32" s="22">
        <f>+C32*Resumen!$C$5</f>
        <v>49488.270112533079</v>
      </c>
      <c r="S32" s="22">
        <f>+D32*Resumen!$C$5</f>
        <v>49959.957582331102</v>
      </c>
      <c r="T32" s="22">
        <f>+E32*Resumen!$C$5</f>
        <v>50667.488787028109</v>
      </c>
      <c r="U32" s="22">
        <f>+F32*Resumen!$C$5</f>
        <v>50686.945895157274</v>
      </c>
      <c r="V32" s="22">
        <f>+G32*Resumen!$C$5</f>
        <v>49983.306112086088</v>
      </c>
      <c r="W32" s="22">
        <f>+H32*Resumen!$C$5</f>
        <v>49155.90732912664</v>
      </c>
      <c r="X32" s="22">
        <f>+I32*Resumen!$C$5</f>
        <v>89620.619261622545</v>
      </c>
      <c r="Y32" s="22">
        <f>+J32*Resumen!$C$5</f>
        <v>53103.754568534874</v>
      </c>
      <c r="Z32" s="22">
        <f>+K32*Resumen!$C$5</f>
        <v>53811.285773231881</v>
      </c>
      <c r="AA32" s="22">
        <f>+L32*Resumen!$C$5</f>
        <v>53929.207640681358</v>
      </c>
      <c r="AB32" s="22">
        <f>+M32*Resumen!$C$5</f>
        <v>58895.546049250879</v>
      </c>
      <c r="AC32" s="22">
        <f>+N32*Resumen!$C$5</f>
        <v>94337.493959602667</v>
      </c>
      <c r="AD32" s="23">
        <f t="shared" si="14"/>
        <v>703639.78307118651</v>
      </c>
    </row>
    <row r="33" spans="2:30" x14ac:dyDescent="0.25">
      <c r="B33" s="12">
        <v>6</v>
      </c>
      <c r="C33" s="215">
        <f t="shared" ref="C33:N33" si="19">+$O$33*C4</f>
        <v>4793.9151330431378</v>
      </c>
      <c r="D33" s="215">
        <f t="shared" si="19"/>
        <v>4839.6073686858408</v>
      </c>
      <c r="E33" s="215">
        <f t="shared" si="19"/>
        <v>4908.1457221498922</v>
      </c>
      <c r="F33" s="215">
        <f t="shared" si="19"/>
        <v>4910.0305268701532</v>
      </c>
      <c r="G33" s="215">
        <f t="shared" si="19"/>
        <v>4841.8691343501532</v>
      </c>
      <c r="H33" s="215">
        <f t="shared" si="19"/>
        <v>4761.7192415033987</v>
      </c>
      <c r="I33" s="215">
        <f t="shared" si="19"/>
        <v>8681.524772113291</v>
      </c>
      <c r="J33" s="215">
        <f t="shared" si="19"/>
        <v>5144.1461192444476</v>
      </c>
      <c r="K33" s="215">
        <f t="shared" si="19"/>
        <v>5212.6844727084981</v>
      </c>
      <c r="L33" s="215">
        <f t="shared" si="19"/>
        <v>5224.1075316191718</v>
      </c>
      <c r="M33" s="215">
        <f t="shared" si="19"/>
        <v>5705.1953691717172</v>
      </c>
      <c r="N33" s="215">
        <f t="shared" si="19"/>
        <v>9138.4471285403051</v>
      </c>
      <c r="O33" s="216">
        <f t="shared" si="16"/>
        <v>68161.392520000009</v>
      </c>
      <c r="Q33" s="12">
        <v>6</v>
      </c>
      <c r="R33" s="22">
        <f>+C33*Resumen!$C$5</f>
        <v>52952.449020410393</v>
      </c>
      <c r="S33" s="22">
        <f>+D33*Resumen!$C$5</f>
        <v>53457.154613094281</v>
      </c>
      <c r="T33" s="22">
        <f>+E33*Resumen!$C$5</f>
        <v>54214.213002120086</v>
      </c>
      <c r="U33" s="22">
        <f>+F33*Resumen!$C$5</f>
        <v>54235.03210781829</v>
      </c>
      <c r="V33" s="22">
        <f>+G33*Resumen!$C$5</f>
        <v>53482.137539932119</v>
      </c>
      <c r="W33" s="22">
        <f>+H33*Resumen!$C$5</f>
        <v>52596.820842165507</v>
      </c>
      <c r="X33" s="22">
        <f>+I33*Resumen!$C$5</f>
        <v>95894.06260993614</v>
      </c>
      <c r="Y33" s="22">
        <f>+J33*Resumen!$C$5</f>
        <v>56821.017388332315</v>
      </c>
      <c r="Z33" s="22">
        <f>+K33*Resumen!$C$5</f>
        <v>57578.075777358106</v>
      </c>
      <c r="AA33" s="22">
        <f>+L33*Resumen!$C$5</f>
        <v>57704.252175529058</v>
      </c>
      <c r="AB33" s="22">
        <f>+M33*Resumen!$C$5</f>
        <v>63018.234272698443</v>
      </c>
      <c r="AC33" s="22">
        <f>+N33*Resumen!$C$5</f>
        <v>100941.11853677487</v>
      </c>
      <c r="AD33" s="23">
        <f t="shared" si="14"/>
        <v>752894.56788616953</v>
      </c>
    </row>
    <row r="34" spans="2:30" x14ac:dyDescent="0.25">
      <c r="B34" s="12">
        <v>7</v>
      </c>
      <c r="C34" s="215">
        <f t="shared" ref="C34:N34" si="20">+$O$34*C4</f>
        <v>5129.4891923561581</v>
      </c>
      <c r="D34" s="215">
        <f t="shared" si="20"/>
        <v>5178.3798844938501</v>
      </c>
      <c r="E34" s="215">
        <f t="shared" si="20"/>
        <v>5251.7159227003849</v>
      </c>
      <c r="F34" s="215">
        <f t="shared" si="20"/>
        <v>5253.7326637510641</v>
      </c>
      <c r="G34" s="215">
        <f t="shared" si="20"/>
        <v>5180.7999737546643</v>
      </c>
      <c r="H34" s="215">
        <f t="shared" si="20"/>
        <v>5095.0395884086374</v>
      </c>
      <c r="I34" s="215">
        <f t="shared" si="20"/>
        <v>9289.2315061612226</v>
      </c>
      <c r="J34" s="215">
        <f t="shared" si="20"/>
        <v>5504.236347591559</v>
      </c>
      <c r="K34" s="215">
        <f t="shared" si="20"/>
        <v>5577.5723857980938</v>
      </c>
      <c r="L34" s="215">
        <f t="shared" si="20"/>
        <v>5589.7950588325148</v>
      </c>
      <c r="M34" s="215">
        <f t="shared" si="20"/>
        <v>6104.5590450137379</v>
      </c>
      <c r="N34" s="215">
        <f t="shared" si="20"/>
        <v>9778.1384275381279</v>
      </c>
      <c r="O34" s="216">
        <f t="shared" si="16"/>
        <v>72932.689996400019</v>
      </c>
      <c r="Q34" s="12">
        <v>7</v>
      </c>
      <c r="R34" s="22">
        <f>+C34*Resumen!$C$5</f>
        <v>56659.120451839124</v>
      </c>
      <c r="S34" s="22">
        <f>+D34*Resumen!$C$5</f>
        <v>57199.155436010886</v>
      </c>
      <c r="T34" s="22">
        <f>+E34*Resumen!$C$5</f>
        <v>58009.207912268488</v>
      </c>
      <c r="U34" s="22">
        <f>+F34*Resumen!$C$5</f>
        <v>58031.484355365574</v>
      </c>
      <c r="V34" s="22">
        <f>+G34*Resumen!$C$5</f>
        <v>57225.887167727371</v>
      </c>
      <c r="W34" s="22">
        <f>+H34*Resumen!$C$5</f>
        <v>56278.598301117105</v>
      </c>
      <c r="X34" s="22">
        <f>+I34*Resumen!$C$5</f>
        <v>102606.64699263168</v>
      </c>
      <c r="Y34" s="22">
        <f>+J34*Resumen!$C$5</f>
        <v>60798.48860551558</v>
      </c>
      <c r="Z34" s="22">
        <f>+K34*Resumen!$C$5</f>
        <v>61608.541081773183</v>
      </c>
      <c r="AA34" s="22">
        <f>+L34*Resumen!$C$5</f>
        <v>61743.549827816103</v>
      </c>
      <c r="AB34" s="22">
        <f>+M34*Resumen!$C$5</f>
        <v>67429.510671787342</v>
      </c>
      <c r="AC34" s="22">
        <f>+N34*Resumen!$C$5</f>
        <v>108006.99683434912</v>
      </c>
      <c r="AD34" s="23">
        <f t="shared" si="14"/>
        <v>805597.1876382014</v>
      </c>
    </row>
    <row r="35" spans="2:30" x14ac:dyDescent="0.25">
      <c r="B35" s="12">
        <v>8</v>
      </c>
      <c r="C35" s="215">
        <f t="shared" ref="C35:N35" si="21">+$O$35*C4</f>
        <v>5488.5534358210898</v>
      </c>
      <c r="D35" s="215">
        <f t="shared" si="21"/>
        <v>5540.8664764084206</v>
      </c>
      <c r="E35" s="215">
        <f t="shared" si="21"/>
        <v>5619.3360372894122</v>
      </c>
      <c r="F35" s="215">
        <f t="shared" si="21"/>
        <v>5621.4939502136394</v>
      </c>
      <c r="G35" s="215">
        <f t="shared" si="21"/>
        <v>5543.4559719174913</v>
      </c>
      <c r="H35" s="215">
        <f t="shared" si="21"/>
        <v>5451.6923595972421</v>
      </c>
      <c r="I35" s="215">
        <f t="shared" si="21"/>
        <v>9939.4777115925081</v>
      </c>
      <c r="J35" s="215">
        <f t="shared" si="21"/>
        <v>5889.5328919229687</v>
      </c>
      <c r="K35" s="215">
        <f t="shared" si="21"/>
        <v>5968.0024528039612</v>
      </c>
      <c r="L35" s="215">
        <f t="shared" si="21"/>
        <v>5981.0807129507903</v>
      </c>
      <c r="M35" s="215">
        <f t="shared" si="21"/>
        <v>6531.8781781647003</v>
      </c>
      <c r="N35" s="215">
        <f t="shared" si="21"/>
        <v>10462.608117465797</v>
      </c>
      <c r="O35" s="216">
        <f t="shared" si="16"/>
        <v>78037.978296148023</v>
      </c>
      <c r="Q35" s="12">
        <v>8</v>
      </c>
      <c r="R35" s="22">
        <f>+C35*Resumen!$C$5</f>
        <v>60625.258883467868</v>
      </c>
      <c r="S35" s="22">
        <f>+D35*Resumen!$C$5</f>
        <v>61203.096316531657</v>
      </c>
      <c r="T35" s="22">
        <f>+E35*Resumen!$C$5</f>
        <v>62069.85246612729</v>
      </c>
      <c r="U35" s="22">
        <f>+F35*Resumen!$C$5</f>
        <v>62093.688260241172</v>
      </c>
      <c r="V35" s="22">
        <f>+G35*Resumen!$C$5</f>
        <v>61231.699269468292</v>
      </c>
      <c r="W35" s="22">
        <f>+H35*Resumen!$C$5</f>
        <v>60218.100182195303</v>
      </c>
      <c r="X35" s="22">
        <f>+I35*Resumen!$C$5</f>
        <v>109789.11228211589</v>
      </c>
      <c r="Y35" s="22">
        <f>+J35*Resumen!$C$5</f>
        <v>65054.382807901675</v>
      </c>
      <c r="Z35" s="22">
        <f>+K35*Resumen!$C$5</f>
        <v>65921.138957497315</v>
      </c>
      <c r="AA35" s="22">
        <f>+L35*Resumen!$C$5</f>
        <v>66065.598315763229</v>
      </c>
      <c r="AB35" s="22">
        <f>+M35*Resumen!$C$5</f>
        <v>72149.576418812459</v>
      </c>
      <c r="AC35" s="22">
        <f>+N35*Resumen!$C$5</f>
        <v>115567.48661275356</v>
      </c>
      <c r="AD35" s="23">
        <f t="shared" si="14"/>
        <v>861988.99077287572</v>
      </c>
    </row>
    <row r="36" spans="2:30" x14ac:dyDescent="0.25">
      <c r="B36" s="12">
        <v>9</v>
      </c>
      <c r="C36" s="215">
        <f t="shared" ref="C36:N36" si="22">+$O$36*C4</f>
        <v>5872.7521763285667</v>
      </c>
      <c r="D36" s="215">
        <f t="shared" si="22"/>
        <v>5928.7271297570105</v>
      </c>
      <c r="E36" s="215">
        <f t="shared" si="22"/>
        <v>6012.6895598996725</v>
      </c>
      <c r="F36" s="215">
        <f t="shared" si="22"/>
        <v>6014.9985267285947</v>
      </c>
      <c r="G36" s="215">
        <f t="shared" si="22"/>
        <v>5931.4978899517164</v>
      </c>
      <c r="H36" s="215">
        <f t="shared" si="22"/>
        <v>5833.3108247690498</v>
      </c>
      <c r="I36" s="215">
        <f t="shared" si="22"/>
        <v>10635.241151403985</v>
      </c>
      <c r="J36" s="215">
        <f t="shared" si="22"/>
        <v>6301.8001943575773</v>
      </c>
      <c r="K36" s="215">
        <f t="shared" si="22"/>
        <v>6385.7626245002393</v>
      </c>
      <c r="L36" s="215">
        <f t="shared" si="22"/>
        <v>6399.7563628573471</v>
      </c>
      <c r="M36" s="215">
        <f t="shared" si="22"/>
        <v>6989.1096506362301</v>
      </c>
      <c r="N36" s="215">
        <f t="shared" si="22"/>
        <v>11194.990685688404</v>
      </c>
      <c r="O36" s="216">
        <f t="shared" si="16"/>
        <v>83500.636776878397</v>
      </c>
      <c r="Q36" s="12">
        <v>9</v>
      </c>
      <c r="R36" s="22">
        <f>+C36*Resumen!$C$5</f>
        <v>64869.027005310629</v>
      </c>
      <c r="S36" s="22">
        <f>+D36*Resumen!$C$5</f>
        <v>65487.31305868888</v>
      </c>
      <c r="T36" s="22">
        <f>+E36*Resumen!$C$5</f>
        <v>66414.742138756221</v>
      </c>
      <c r="U36" s="22">
        <f>+F36*Resumen!$C$5</f>
        <v>66440.246438458053</v>
      </c>
      <c r="V36" s="22">
        <f>+G36*Resumen!$C$5</f>
        <v>65517.918218331077</v>
      </c>
      <c r="W36" s="22">
        <f>+H36*Resumen!$C$5</f>
        <v>64433.36719494898</v>
      </c>
      <c r="X36" s="22">
        <f>+I36*Resumen!$C$5</f>
        <v>117474.35014186402</v>
      </c>
      <c r="Y36" s="22">
        <f>+J36*Resumen!$C$5</f>
        <v>69608.189604454805</v>
      </c>
      <c r="Z36" s="22">
        <f>+K36*Resumen!$C$5</f>
        <v>70535.618684522138</v>
      </c>
      <c r="AA36" s="22">
        <f>+L36*Resumen!$C$5</f>
        <v>70690.190197866672</v>
      </c>
      <c r="AB36" s="22">
        <f>+M36*Resumen!$C$5</f>
        <v>77200.046768129338</v>
      </c>
      <c r="AC36" s="22">
        <f>+N36*Resumen!$C$5</f>
        <v>123657.21067564633</v>
      </c>
      <c r="AD36" s="23">
        <f t="shared" si="14"/>
        <v>922328.22012697707</v>
      </c>
    </row>
    <row r="37" spans="2:30" x14ac:dyDescent="0.25">
      <c r="B37" s="12">
        <v>10</v>
      </c>
      <c r="C37" s="215">
        <f t="shared" ref="C37:N37" si="23">+$O$37*C4</f>
        <v>6283.8448286715666</v>
      </c>
      <c r="D37" s="215">
        <f t="shared" si="23"/>
        <v>6343.7380288400018</v>
      </c>
      <c r="E37" s="215">
        <f t="shared" si="23"/>
        <v>6433.5778290926492</v>
      </c>
      <c r="F37" s="215">
        <f t="shared" si="23"/>
        <v>6436.0484235995964</v>
      </c>
      <c r="G37" s="215">
        <f t="shared" si="23"/>
        <v>6346.702742248337</v>
      </c>
      <c r="H37" s="215">
        <f t="shared" si="23"/>
        <v>6241.6425825028837</v>
      </c>
      <c r="I37" s="215">
        <f t="shared" si="23"/>
        <v>11379.708032002265</v>
      </c>
      <c r="J37" s="215">
        <f t="shared" si="23"/>
        <v>6742.9262079626087</v>
      </c>
      <c r="K37" s="215">
        <f t="shared" si="23"/>
        <v>6832.7660082152561</v>
      </c>
      <c r="L37" s="215">
        <f t="shared" si="23"/>
        <v>6847.7393082573617</v>
      </c>
      <c r="M37" s="215">
        <f t="shared" si="23"/>
        <v>7478.3473261807667</v>
      </c>
      <c r="N37" s="215">
        <f t="shared" si="23"/>
        <v>11978.640033686594</v>
      </c>
      <c r="O37" s="216">
        <f t="shared" si="16"/>
        <v>89345.681351259889</v>
      </c>
      <c r="Q37" s="12">
        <v>10</v>
      </c>
      <c r="R37" s="22">
        <f>+C37*Resumen!$C$5</f>
        <v>69409.858895682381</v>
      </c>
      <c r="S37" s="22">
        <f>+D37*Resumen!$C$5</f>
        <v>70071.424972797104</v>
      </c>
      <c r="T37" s="22">
        <f>+E37*Resumen!$C$5</f>
        <v>71063.774088469145</v>
      </c>
      <c r="U37" s="22">
        <f>+F37*Resumen!$C$5</f>
        <v>71091.06368915012</v>
      </c>
      <c r="V37" s="22">
        <f>+G37*Resumen!$C$5</f>
        <v>70104.172493614256</v>
      </c>
      <c r="W37" s="22">
        <f>+H37*Resumen!$C$5</f>
        <v>68943.702898595409</v>
      </c>
      <c r="X37" s="22">
        <f>+I37*Resumen!$C$5</f>
        <v>125697.55465179452</v>
      </c>
      <c r="Y37" s="22">
        <f>+J37*Resumen!$C$5</f>
        <v>74480.762876766647</v>
      </c>
      <c r="Z37" s="22">
        <f>+K37*Resumen!$C$5</f>
        <v>75473.111992438688</v>
      </c>
      <c r="AA37" s="22">
        <f>+L37*Resumen!$C$5</f>
        <v>75638.503511717339</v>
      </c>
      <c r="AB37" s="22">
        <f>+M37*Resumen!$C$5</f>
        <v>82604.050041898401</v>
      </c>
      <c r="AC37" s="22">
        <f>+N37*Resumen!$C$5</f>
        <v>132313.21542294158</v>
      </c>
      <c r="AD37" s="23">
        <f t="shared" si="14"/>
        <v>986891.19553586561</v>
      </c>
    </row>
    <row r="40" spans="2:30" x14ac:dyDescent="0.25">
      <c r="B40" s="358" t="s">
        <v>42</v>
      </c>
      <c r="C40" s="358"/>
      <c r="D40" s="358"/>
      <c r="E40" s="358"/>
      <c r="F40" s="358"/>
      <c r="G40" s="358"/>
      <c r="H40" s="358"/>
      <c r="I40" s="358"/>
      <c r="J40" s="358"/>
      <c r="K40" s="358"/>
      <c r="L40" s="358"/>
      <c r="M40" s="358"/>
      <c r="N40" s="358"/>
      <c r="O40" s="358"/>
      <c r="Q40" s="358" t="s">
        <v>56</v>
      </c>
      <c r="R40" s="358"/>
      <c r="S40" s="358"/>
      <c r="T40" s="358"/>
      <c r="U40" s="358"/>
      <c r="V40" s="358"/>
      <c r="W40" s="358"/>
      <c r="X40" s="358"/>
      <c r="Y40" s="358"/>
      <c r="Z40" s="358"/>
      <c r="AA40" s="358"/>
      <c r="AB40" s="358"/>
      <c r="AC40" s="358"/>
      <c r="AD40" s="358"/>
    </row>
    <row r="42" spans="2:30" x14ac:dyDescent="0.25">
      <c r="B42" s="24" t="s">
        <v>11</v>
      </c>
      <c r="C42" s="24" t="s">
        <v>12</v>
      </c>
      <c r="D42" s="24" t="s">
        <v>13</v>
      </c>
      <c r="E42" s="24" t="s">
        <v>14</v>
      </c>
      <c r="F42" s="24" t="s">
        <v>15</v>
      </c>
      <c r="G42" s="24" t="s">
        <v>16</v>
      </c>
      <c r="H42" s="24" t="s">
        <v>17</v>
      </c>
      <c r="I42" s="24" t="s">
        <v>18</v>
      </c>
      <c r="J42" s="24" t="s">
        <v>19</v>
      </c>
      <c r="K42" s="24" t="s">
        <v>20</v>
      </c>
      <c r="L42" s="24" t="s">
        <v>21</v>
      </c>
      <c r="M42" s="24" t="s">
        <v>22</v>
      </c>
      <c r="N42" s="24" t="s">
        <v>23</v>
      </c>
      <c r="O42" s="24" t="s">
        <v>24</v>
      </c>
      <c r="Q42" s="24" t="s">
        <v>11</v>
      </c>
      <c r="R42" s="24" t="s">
        <v>12</v>
      </c>
      <c r="S42" s="24" t="s">
        <v>13</v>
      </c>
      <c r="T42" s="24" t="s">
        <v>14</v>
      </c>
      <c r="U42" s="24" t="s">
        <v>15</v>
      </c>
      <c r="V42" s="24" t="s">
        <v>16</v>
      </c>
      <c r="W42" s="24" t="s">
        <v>17</v>
      </c>
      <c r="X42" s="24" t="s">
        <v>18</v>
      </c>
      <c r="Y42" s="24" t="s">
        <v>19</v>
      </c>
      <c r="Z42" s="24" t="s">
        <v>20</v>
      </c>
      <c r="AA42" s="24" t="s">
        <v>21</v>
      </c>
      <c r="AB42" s="24" t="s">
        <v>22</v>
      </c>
      <c r="AC42" s="24" t="s">
        <v>23</v>
      </c>
      <c r="AD42" s="24" t="s">
        <v>24</v>
      </c>
    </row>
    <row r="43" spans="2:30" x14ac:dyDescent="0.25">
      <c r="B43" s="12">
        <v>1</v>
      </c>
      <c r="C43" s="215">
        <f t="shared" ref="C43:N43" si="24">+$O$43*C4</f>
        <v>773.65007541478133</v>
      </c>
      <c r="D43" s="215">
        <f t="shared" si="24"/>
        <v>781.02396514161251</v>
      </c>
      <c r="E43" s="215">
        <f t="shared" si="24"/>
        <v>792.08479973185865</v>
      </c>
      <c r="F43" s="215">
        <f t="shared" si="24"/>
        <v>792.38897268309029</v>
      </c>
      <c r="G43" s="215">
        <f t="shared" si="24"/>
        <v>781.38897268309029</v>
      </c>
      <c r="H43" s="215">
        <f t="shared" si="24"/>
        <v>768.45424836601296</v>
      </c>
      <c r="I43" s="215">
        <f t="shared" si="24"/>
        <v>1401.0390480978717</v>
      </c>
      <c r="J43" s="215">
        <f t="shared" si="24"/>
        <v>830.17094017094053</v>
      </c>
      <c r="K43" s="215">
        <f t="shared" si="24"/>
        <v>841.23177476118667</v>
      </c>
      <c r="L43" s="215">
        <f t="shared" si="24"/>
        <v>843.07524719289404</v>
      </c>
      <c r="M43" s="215">
        <f t="shared" si="24"/>
        <v>920.71401039048021</v>
      </c>
      <c r="N43" s="215">
        <f t="shared" si="24"/>
        <v>1474.7779453661806</v>
      </c>
      <c r="O43" s="216">
        <v>11000</v>
      </c>
      <c r="Q43" s="12">
        <v>1</v>
      </c>
      <c r="R43" s="22">
        <f>+C43*Resumen!$C$6</f>
        <v>9174.2441866707559</v>
      </c>
      <c r="S43" s="22">
        <f>+D43*Resumen!$C$6</f>
        <v>9261.6866456187017</v>
      </c>
      <c r="T43" s="22">
        <f>+E43*Resumen!$C$6</f>
        <v>9392.8503340406132</v>
      </c>
      <c r="U43" s="22">
        <f>+F43*Resumen!$C$6</f>
        <v>9396.4573354722143</v>
      </c>
      <c r="V43" s="22">
        <f>+G43*Resumen!$C$6</f>
        <v>9266.0150473366211</v>
      </c>
      <c r="W43" s="22">
        <f>+H43*Resumen!$C$6</f>
        <v>9112.6300440345603</v>
      </c>
      <c r="X43" s="22">
        <f>+I43*Resumen!$C$6</f>
        <v>16614.067200109075</v>
      </c>
      <c r="Y43" s="22">
        <f>+J43*Resumen!$C$6</f>
        <v>9844.4906345067393</v>
      </c>
      <c r="Z43" s="22">
        <f>+K43*Resumen!$C$6</f>
        <v>9975.6543229286508</v>
      </c>
      <c r="AA43" s="22">
        <f>+L43*Resumen!$C$6</f>
        <v>9997.5149376656318</v>
      </c>
      <c r="AB43" s="22">
        <f>+M43*Resumen!$C$6</f>
        <v>10918.185657621143</v>
      </c>
      <c r="AC43" s="22">
        <f>+N43*Resumen!$C$6</f>
        <v>17488.491789588497</v>
      </c>
      <c r="AD43" s="25">
        <f>SUM(R43:AC43)</f>
        <v>130442.2881355932</v>
      </c>
    </row>
    <row r="44" spans="2:30" x14ac:dyDescent="0.25">
      <c r="B44" s="12">
        <v>2</v>
      </c>
      <c r="C44" s="215">
        <f t="shared" ref="C44:N44" si="25">+$O$44*C4</f>
        <v>843.98190045248873</v>
      </c>
      <c r="D44" s="215">
        <f t="shared" si="25"/>
        <v>852.02614379084991</v>
      </c>
      <c r="E44" s="215">
        <f t="shared" si="25"/>
        <v>864.09250879839124</v>
      </c>
      <c r="F44" s="215">
        <f t="shared" si="25"/>
        <v>864.42433383609853</v>
      </c>
      <c r="G44" s="215">
        <f t="shared" si="25"/>
        <v>852.42433383609853</v>
      </c>
      <c r="H44" s="215">
        <f t="shared" si="25"/>
        <v>838.31372549019602</v>
      </c>
      <c r="I44" s="215">
        <f t="shared" si="25"/>
        <v>1528.4062342885873</v>
      </c>
      <c r="J44" s="215">
        <f t="shared" si="25"/>
        <v>905.64102564102609</v>
      </c>
      <c r="K44" s="215">
        <f t="shared" si="25"/>
        <v>917.7073906485673</v>
      </c>
      <c r="L44" s="215">
        <f t="shared" si="25"/>
        <v>919.7184514831572</v>
      </c>
      <c r="M44" s="215">
        <f t="shared" si="25"/>
        <v>1004.415284062342</v>
      </c>
      <c r="N44" s="215">
        <f t="shared" si="25"/>
        <v>1608.8486676721968</v>
      </c>
      <c r="O44" s="216">
        <v>12000</v>
      </c>
      <c r="Q44" s="12">
        <v>2</v>
      </c>
      <c r="R44" s="22">
        <f>+C44*Resumen!$C$6</f>
        <v>10008.266385459006</v>
      </c>
      <c r="S44" s="22">
        <f>+D44*Resumen!$C$6</f>
        <v>10103.658158856764</v>
      </c>
      <c r="T44" s="22">
        <f>+E44*Resumen!$C$6</f>
        <v>10246.745818953395</v>
      </c>
      <c r="U44" s="22">
        <f>+F44*Resumen!$C$6</f>
        <v>10250.680729606052</v>
      </c>
      <c r="V44" s="22">
        <f>+G44*Resumen!$C$6</f>
        <v>10108.380051639951</v>
      </c>
      <c r="W44" s="22">
        <f>+H44*Resumen!$C$6</f>
        <v>9941.0509571286129</v>
      </c>
      <c r="X44" s="22">
        <f>+I44*Resumen!$C$6</f>
        <v>18124.436945573536</v>
      </c>
      <c r="Y44" s="22">
        <f>+J44*Resumen!$C$6</f>
        <v>10739.444328552807</v>
      </c>
      <c r="Z44" s="22">
        <f>+K44*Resumen!$C$6</f>
        <v>10882.531988649438</v>
      </c>
      <c r="AA44" s="22">
        <f>+L44*Resumen!$C$6</f>
        <v>10906.379931998872</v>
      </c>
      <c r="AB44" s="22">
        <f>+M44*Resumen!$C$6</f>
        <v>11910.747990132157</v>
      </c>
      <c r="AC44" s="22">
        <f>+N44*Resumen!$C$6</f>
        <v>19078.354679551085</v>
      </c>
      <c r="AD44" s="25">
        <f t="shared" ref="AD44:AD52" si="26">SUM(R44:AC44)</f>
        <v>142300.67796610168</v>
      </c>
    </row>
    <row r="45" spans="2:30" x14ac:dyDescent="0.25">
      <c r="B45" s="12">
        <v>3</v>
      </c>
      <c r="C45" s="215">
        <f t="shared" ref="C45:N45" si="27">+$O$45*C4</f>
        <v>903.06063348416296</v>
      </c>
      <c r="D45" s="215">
        <f t="shared" si="27"/>
        <v>911.66797385620941</v>
      </c>
      <c r="E45" s="215">
        <f t="shared" si="27"/>
        <v>924.57898441427858</v>
      </c>
      <c r="F45" s="215">
        <f t="shared" si="27"/>
        <v>924.93403720462538</v>
      </c>
      <c r="G45" s="215">
        <f t="shared" si="27"/>
        <v>912.09403720462535</v>
      </c>
      <c r="H45" s="215">
        <f t="shared" si="27"/>
        <v>896.99568627450969</v>
      </c>
      <c r="I45" s="215">
        <f t="shared" si="27"/>
        <v>1635.3946706887884</v>
      </c>
      <c r="J45" s="215">
        <f t="shared" si="27"/>
        <v>969.03589743589782</v>
      </c>
      <c r="K45" s="215">
        <f t="shared" si="27"/>
        <v>981.94690799396699</v>
      </c>
      <c r="L45" s="215">
        <f t="shared" si="27"/>
        <v>984.09874308697817</v>
      </c>
      <c r="M45" s="215">
        <f t="shared" si="27"/>
        <v>1074.7243539467061</v>
      </c>
      <c r="N45" s="215">
        <f t="shared" si="27"/>
        <v>1721.4680744092507</v>
      </c>
      <c r="O45" s="216">
        <f t="shared" ref="O45:O52" si="28">+O44*(1+$D$6)</f>
        <v>12840</v>
      </c>
      <c r="Q45" s="12">
        <v>3</v>
      </c>
      <c r="R45" s="22">
        <f>+C45*Resumen!$C$6</f>
        <v>10708.845032441139</v>
      </c>
      <c r="S45" s="22">
        <f>+D45*Resumen!$C$6</f>
        <v>10810.914229976739</v>
      </c>
      <c r="T45" s="22">
        <f>+E45*Resumen!$C$6</f>
        <v>10964.018026280133</v>
      </c>
      <c r="U45" s="22">
        <f>+F45*Resumen!$C$6</f>
        <v>10968.228380678476</v>
      </c>
      <c r="V45" s="22">
        <f>+G45*Resumen!$C$6</f>
        <v>10815.966655254746</v>
      </c>
      <c r="W45" s="22">
        <f>+H45*Resumen!$C$6</f>
        <v>10636.924524127615</v>
      </c>
      <c r="X45" s="22">
        <f>+I45*Resumen!$C$6</f>
        <v>19393.147531763683</v>
      </c>
      <c r="Y45" s="22">
        <f>+J45*Resumen!$C$6</f>
        <v>11491.205431551503</v>
      </c>
      <c r="Z45" s="22">
        <f>+K45*Resumen!$C$6</f>
        <v>11644.309227854897</v>
      </c>
      <c r="AA45" s="22">
        <f>+L45*Resumen!$C$6</f>
        <v>11669.826527238793</v>
      </c>
      <c r="AB45" s="22">
        <f>+M45*Resumen!$C$6</f>
        <v>12744.500349441409</v>
      </c>
      <c r="AC45" s="22">
        <f>+N45*Resumen!$C$6</f>
        <v>20413.839507119661</v>
      </c>
      <c r="AD45" s="25">
        <f t="shared" si="26"/>
        <v>152261.72542372881</v>
      </c>
    </row>
    <row r="46" spans="2:30" x14ac:dyDescent="0.25">
      <c r="B46" s="12">
        <v>4</v>
      </c>
      <c r="C46" s="215">
        <f t="shared" ref="C46:N46" si="29">+$O$46*C4</f>
        <v>966.2748778280544</v>
      </c>
      <c r="D46" s="215">
        <f t="shared" si="29"/>
        <v>975.48473202614423</v>
      </c>
      <c r="E46" s="215">
        <f t="shared" si="29"/>
        <v>989.29951332327823</v>
      </c>
      <c r="F46" s="215">
        <f t="shared" si="29"/>
        <v>989.67941980894932</v>
      </c>
      <c r="G46" s="215">
        <f t="shared" si="29"/>
        <v>975.94061980894924</v>
      </c>
      <c r="H46" s="215">
        <f t="shared" si="29"/>
        <v>959.78538431372544</v>
      </c>
      <c r="I46" s="215">
        <f t="shared" si="29"/>
        <v>1749.8722976370036</v>
      </c>
      <c r="J46" s="215">
        <f t="shared" si="29"/>
        <v>1036.8684102564107</v>
      </c>
      <c r="K46" s="215">
        <f t="shared" si="29"/>
        <v>1050.6831915535447</v>
      </c>
      <c r="L46" s="215">
        <f t="shared" si="29"/>
        <v>1052.9856551030666</v>
      </c>
      <c r="M46" s="215">
        <f t="shared" si="29"/>
        <v>1149.9550587229755</v>
      </c>
      <c r="N46" s="215">
        <f t="shared" si="29"/>
        <v>1841.9708396178985</v>
      </c>
      <c r="O46" s="216">
        <f t="shared" si="28"/>
        <v>13738.800000000001</v>
      </c>
      <c r="Q46" s="12">
        <v>4</v>
      </c>
      <c r="R46" s="22">
        <f>+C46*Resumen!$C$6</f>
        <v>11458.464184712018</v>
      </c>
      <c r="S46" s="22">
        <f>+D46*Resumen!$C$6</f>
        <v>11567.678226075112</v>
      </c>
      <c r="T46" s="22">
        <f>+E46*Resumen!$C$6</f>
        <v>11731.499288119745</v>
      </c>
      <c r="U46" s="22">
        <f>+F46*Resumen!$C$6</f>
        <v>11736.004367325972</v>
      </c>
      <c r="V46" s="22">
        <f>+G46*Resumen!$C$6</f>
        <v>11573.08432112258</v>
      </c>
      <c r="W46" s="22">
        <f>+H46*Resumen!$C$6</f>
        <v>11381.509240816549</v>
      </c>
      <c r="X46" s="22">
        <f>+I46*Resumen!$C$6</f>
        <v>20750.667858987141</v>
      </c>
      <c r="Y46" s="22">
        <f>+J46*Resumen!$C$6</f>
        <v>12295.589811760108</v>
      </c>
      <c r="Z46" s="22">
        <f>+K46*Resumen!$C$6</f>
        <v>12459.410873804742</v>
      </c>
      <c r="AA46" s="22">
        <f>+L46*Resumen!$C$6</f>
        <v>12486.714384145507</v>
      </c>
      <c r="AB46" s="22">
        <f>+M46*Resumen!$C$6</f>
        <v>13636.615373902307</v>
      </c>
      <c r="AC46" s="22">
        <f>+N46*Resumen!$C$6</f>
        <v>21842.80827261804</v>
      </c>
      <c r="AD46" s="25">
        <f t="shared" si="26"/>
        <v>162920.04620338982</v>
      </c>
    </row>
    <row r="47" spans="2:30" x14ac:dyDescent="0.25">
      <c r="B47" s="12">
        <v>5</v>
      </c>
      <c r="C47" s="215">
        <f t="shared" ref="C47:N47" si="30">+$O$47*C4</f>
        <v>1033.9141192760183</v>
      </c>
      <c r="D47" s="215">
        <f t="shared" si="30"/>
        <v>1043.7686632679743</v>
      </c>
      <c r="E47" s="215">
        <f t="shared" si="30"/>
        <v>1058.5504792559077</v>
      </c>
      <c r="F47" s="215">
        <f t="shared" si="30"/>
        <v>1058.9569791955757</v>
      </c>
      <c r="G47" s="215">
        <f t="shared" si="30"/>
        <v>1044.2564631955756</v>
      </c>
      <c r="H47" s="215">
        <f t="shared" si="30"/>
        <v>1026.9703612156864</v>
      </c>
      <c r="I47" s="215">
        <f t="shared" si="30"/>
        <v>1872.363358471594</v>
      </c>
      <c r="J47" s="215">
        <f t="shared" si="30"/>
        <v>1109.4491989743597</v>
      </c>
      <c r="K47" s="215">
        <f t="shared" si="30"/>
        <v>1124.2310149622929</v>
      </c>
      <c r="L47" s="215">
        <f t="shared" si="30"/>
        <v>1126.6946509602815</v>
      </c>
      <c r="M47" s="215">
        <f t="shared" si="30"/>
        <v>1230.4519128335837</v>
      </c>
      <c r="N47" s="215">
        <f t="shared" si="30"/>
        <v>1970.9087983911513</v>
      </c>
      <c r="O47" s="216">
        <f t="shared" si="28"/>
        <v>14700.516000000001</v>
      </c>
      <c r="Q47" s="12">
        <v>5</v>
      </c>
      <c r="R47" s="22">
        <f>+C47*Resumen!$C$6</f>
        <v>12260.55667764186</v>
      </c>
      <c r="S47" s="22">
        <f>+D47*Resumen!$C$6</f>
        <v>12377.415701900369</v>
      </c>
      <c r="T47" s="22">
        <f>+E47*Resumen!$C$6</f>
        <v>12552.704238288126</v>
      </c>
      <c r="U47" s="22">
        <f>+F47*Resumen!$C$6</f>
        <v>12557.524673038788</v>
      </c>
      <c r="V47" s="22">
        <f>+G47*Resumen!$C$6</f>
        <v>12383.200223601159</v>
      </c>
      <c r="W47" s="22">
        <f>+H47*Resumen!$C$6</f>
        <v>12178.214887673708</v>
      </c>
      <c r="X47" s="22">
        <f>+I47*Resumen!$C$6</f>
        <v>22203.214609116243</v>
      </c>
      <c r="Y47" s="22">
        <f>+J47*Resumen!$C$6</f>
        <v>13156.281098583318</v>
      </c>
      <c r="Z47" s="22">
        <f>+K47*Resumen!$C$6</f>
        <v>13331.569634971072</v>
      </c>
      <c r="AA47" s="22">
        <f>+L47*Resumen!$C$6</f>
        <v>13360.784391035695</v>
      </c>
      <c r="AB47" s="22">
        <f>+M47*Resumen!$C$6</f>
        <v>14591.178450075467</v>
      </c>
      <c r="AC47" s="22">
        <f>+N47*Resumen!$C$6</f>
        <v>23371.804851701305</v>
      </c>
      <c r="AD47" s="25">
        <f t="shared" si="26"/>
        <v>174324.44943762713</v>
      </c>
    </row>
    <row r="48" spans="2:30" x14ac:dyDescent="0.25">
      <c r="B48" s="12">
        <v>6</v>
      </c>
      <c r="C48" s="215">
        <f t="shared" ref="C48:N48" si="31">+$O$48*C4</f>
        <v>1106.2881076253395</v>
      </c>
      <c r="D48" s="215">
        <f t="shared" si="31"/>
        <v>1116.8324696967325</v>
      </c>
      <c r="E48" s="215">
        <f t="shared" si="31"/>
        <v>1132.6490128038213</v>
      </c>
      <c r="F48" s="215">
        <f t="shared" si="31"/>
        <v>1133.083967739266</v>
      </c>
      <c r="G48" s="215">
        <f t="shared" si="31"/>
        <v>1117.3544156192661</v>
      </c>
      <c r="H48" s="215">
        <f t="shared" si="31"/>
        <v>1098.8582865007843</v>
      </c>
      <c r="I48" s="215">
        <f t="shared" si="31"/>
        <v>2003.4287935646057</v>
      </c>
      <c r="J48" s="215">
        <f t="shared" si="31"/>
        <v>1187.1106429025649</v>
      </c>
      <c r="K48" s="215">
        <f t="shared" si="31"/>
        <v>1202.9271860096535</v>
      </c>
      <c r="L48" s="215">
        <f t="shared" si="31"/>
        <v>1205.5632765275011</v>
      </c>
      <c r="M48" s="215">
        <f t="shared" si="31"/>
        <v>1316.5835467319348</v>
      </c>
      <c r="N48" s="215">
        <f t="shared" si="31"/>
        <v>2108.8724142785318</v>
      </c>
      <c r="O48" s="216">
        <f t="shared" si="28"/>
        <v>15729.552120000002</v>
      </c>
      <c r="Q48" s="12">
        <v>6</v>
      </c>
      <c r="R48" s="22">
        <f>+C48*Resumen!$C$6</f>
        <v>13118.795645076791</v>
      </c>
      <c r="S48" s="22">
        <f>+D48*Resumen!$C$6</f>
        <v>13243.834801033396</v>
      </c>
      <c r="T48" s="22">
        <f>+E48*Resumen!$C$6</f>
        <v>13431.393534968296</v>
      </c>
      <c r="U48" s="22">
        <f>+F48*Resumen!$C$6</f>
        <v>13436.551400151502</v>
      </c>
      <c r="V48" s="22">
        <f>+G48*Resumen!$C$6</f>
        <v>13250.024239253244</v>
      </c>
      <c r="W48" s="22">
        <f>+H48*Resumen!$C$6</f>
        <v>13030.689929810867</v>
      </c>
      <c r="X48" s="22">
        <f>+I48*Resumen!$C$6</f>
        <v>23757.43963175438</v>
      </c>
      <c r="Y48" s="22">
        <f>+J48*Resumen!$C$6</f>
        <v>14077.220775484151</v>
      </c>
      <c r="Z48" s="22">
        <f>+K48*Resumen!$C$6</f>
        <v>14264.77950941905</v>
      </c>
      <c r="AA48" s="22">
        <f>+L48*Resumen!$C$6</f>
        <v>14296.039298408194</v>
      </c>
      <c r="AB48" s="22">
        <f>+M48*Resumen!$C$6</f>
        <v>15612.560941580754</v>
      </c>
      <c r="AC48" s="22">
        <f>+N48*Resumen!$C$6</f>
        <v>25007.831191320394</v>
      </c>
      <c r="AD48" s="25">
        <f t="shared" si="26"/>
        <v>186527.16089826101</v>
      </c>
    </row>
    <row r="49" spans="2:30" x14ac:dyDescent="0.25">
      <c r="B49" s="12">
        <v>7</v>
      </c>
      <c r="C49" s="215">
        <f t="shared" ref="C49:N49" si="32">+$O$49*C4</f>
        <v>1183.7282751591135</v>
      </c>
      <c r="D49" s="215">
        <f t="shared" si="32"/>
        <v>1195.0107425755039</v>
      </c>
      <c r="E49" s="215">
        <f t="shared" si="32"/>
        <v>1211.9344437000889</v>
      </c>
      <c r="F49" s="215">
        <f t="shared" si="32"/>
        <v>1212.3998454810148</v>
      </c>
      <c r="G49" s="215">
        <f t="shared" si="32"/>
        <v>1195.5692247126149</v>
      </c>
      <c r="H49" s="215">
        <f t="shared" si="32"/>
        <v>1175.7783665558393</v>
      </c>
      <c r="I49" s="215">
        <f t="shared" si="32"/>
        <v>2143.6688091141282</v>
      </c>
      <c r="J49" s="215">
        <f t="shared" si="32"/>
        <v>1270.2083879057445</v>
      </c>
      <c r="K49" s="215">
        <f t="shared" si="32"/>
        <v>1287.1320890303293</v>
      </c>
      <c r="L49" s="215">
        <f t="shared" si="32"/>
        <v>1289.9527058844265</v>
      </c>
      <c r="M49" s="215">
        <f t="shared" si="32"/>
        <v>1408.7443950031702</v>
      </c>
      <c r="N49" s="215">
        <f t="shared" si="32"/>
        <v>2256.4934832780295</v>
      </c>
      <c r="O49" s="216">
        <f t="shared" si="28"/>
        <v>16830.620768400004</v>
      </c>
      <c r="Q49" s="12">
        <v>7</v>
      </c>
      <c r="R49" s="22">
        <f>+C49*Resumen!$C$6</f>
        <v>14037.111340232168</v>
      </c>
      <c r="S49" s="22">
        <f>+D49*Resumen!$C$6</f>
        <v>14170.903237105735</v>
      </c>
      <c r="T49" s="22">
        <f>+E49*Resumen!$C$6</f>
        <v>14371.591082416078</v>
      </c>
      <c r="U49" s="22">
        <f>+F49*Resumen!$C$6</f>
        <v>14377.10999816211</v>
      </c>
      <c r="V49" s="22">
        <f>+G49*Resumen!$C$6</f>
        <v>14177.525936000971</v>
      </c>
      <c r="W49" s="22">
        <f>+H49*Resumen!$C$6</f>
        <v>13942.838224897629</v>
      </c>
      <c r="X49" s="22">
        <f>+I49*Resumen!$C$6</f>
        <v>25420.460405977188</v>
      </c>
      <c r="Y49" s="22">
        <f>+J49*Resumen!$C$6</f>
        <v>15062.626229768042</v>
      </c>
      <c r="Z49" s="22">
        <f>+K49*Resumen!$C$6</f>
        <v>15263.314075078384</v>
      </c>
      <c r="AA49" s="22">
        <f>+L49*Resumen!$C$6</f>
        <v>15296.762049296771</v>
      </c>
      <c r="AB49" s="22">
        <f>+M49*Resumen!$C$6</f>
        <v>16705.440207491407</v>
      </c>
      <c r="AC49" s="22">
        <f>+N49*Resumen!$C$6</f>
        <v>26758.379374712829</v>
      </c>
      <c r="AD49" s="25">
        <f t="shared" si="26"/>
        <v>199584.0621611393</v>
      </c>
    </row>
    <row r="50" spans="2:30" x14ac:dyDescent="0.25">
      <c r="B50" s="12">
        <v>8</v>
      </c>
      <c r="C50" s="215">
        <f t="shared" ref="C50:N50" si="33">+$O$50*C4</f>
        <v>1266.5892544202513</v>
      </c>
      <c r="D50" s="215">
        <f t="shared" si="33"/>
        <v>1278.6614945557892</v>
      </c>
      <c r="E50" s="215">
        <f t="shared" si="33"/>
        <v>1296.7698547590951</v>
      </c>
      <c r="F50" s="215">
        <f t="shared" si="33"/>
        <v>1297.267834664686</v>
      </c>
      <c r="G50" s="215">
        <f t="shared" si="33"/>
        <v>1279.2590704424979</v>
      </c>
      <c r="H50" s="215">
        <f t="shared" si="33"/>
        <v>1258.0828522147483</v>
      </c>
      <c r="I50" s="215">
        <f t="shared" si="33"/>
        <v>2293.7256257521171</v>
      </c>
      <c r="J50" s="215">
        <f t="shared" si="33"/>
        <v>1359.1229750591467</v>
      </c>
      <c r="K50" s="215">
        <f t="shared" si="33"/>
        <v>1377.2313352624526</v>
      </c>
      <c r="L50" s="215">
        <f t="shared" si="33"/>
        <v>1380.2493952963364</v>
      </c>
      <c r="M50" s="215">
        <f t="shared" si="33"/>
        <v>1507.3565026533922</v>
      </c>
      <c r="N50" s="215">
        <f t="shared" si="33"/>
        <v>2414.4480271074917</v>
      </c>
      <c r="O50" s="216">
        <f t="shared" si="28"/>
        <v>18008.764222188005</v>
      </c>
      <c r="Q50" s="12">
        <v>8</v>
      </c>
      <c r="R50" s="22">
        <f>+C50*Resumen!$C$6</f>
        <v>15019.709134048418</v>
      </c>
      <c r="S50" s="22">
        <f>+D50*Resumen!$C$6</f>
        <v>15162.866463703136</v>
      </c>
      <c r="T50" s="22">
        <f>+E50*Resumen!$C$6</f>
        <v>15377.602458185203</v>
      </c>
      <c r="U50" s="22">
        <f>+F50*Resumen!$C$6</f>
        <v>15383.50769803346</v>
      </c>
      <c r="V50" s="22">
        <f>+G50*Resumen!$C$6</f>
        <v>15169.952751521039</v>
      </c>
      <c r="W50" s="22">
        <f>+H50*Resumen!$C$6</f>
        <v>14918.836900640466</v>
      </c>
      <c r="X50" s="22">
        <f>+I50*Resumen!$C$6</f>
        <v>27199.89263439559</v>
      </c>
      <c r="Y50" s="22">
        <f>+J50*Resumen!$C$6</f>
        <v>16117.010065851808</v>
      </c>
      <c r="Z50" s="22">
        <f>+K50*Resumen!$C$6</f>
        <v>16331.746060333873</v>
      </c>
      <c r="AA50" s="22">
        <f>+L50*Resumen!$C$6</f>
        <v>16367.535392747546</v>
      </c>
      <c r="AB50" s="22">
        <f>+M50*Resumen!$C$6</f>
        <v>17874.821022015803</v>
      </c>
      <c r="AC50" s="22">
        <f>+N50*Resumen!$C$6</f>
        <v>28631.465930942726</v>
      </c>
      <c r="AD50" s="25">
        <f t="shared" si="26"/>
        <v>213554.94651241909</v>
      </c>
    </row>
    <row r="51" spans="2:30" x14ac:dyDescent="0.25">
      <c r="B51" s="12">
        <v>9</v>
      </c>
      <c r="C51" s="215">
        <f t="shared" ref="C51:N51" si="34">+$O$51*C4</f>
        <v>1355.2505022296691</v>
      </c>
      <c r="D51" s="215">
        <f t="shared" si="34"/>
        <v>1368.1677991746944</v>
      </c>
      <c r="E51" s="215">
        <f t="shared" si="34"/>
        <v>1387.5437445922319</v>
      </c>
      <c r="F51" s="215">
        <f t="shared" si="34"/>
        <v>1388.0765830912139</v>
      </c>
      <c r="G51" s="215">
        <f t="shared" si="34"/>
        <v>1368.8072053734727</v>
      </c>
      <c r="H51" s="215">
        <f t="shared" si="34"/>
        <v>1346.1486518697805</v>
      </c>
      <c r="I51" s="215">
        <f t="shared" si="34"/>
        <v>2454.2864195547654</v>
      </c>
      <c r="J51" s="215">
        <f t="shared" si="34"/>
        <v>1454.2615833132868</v>
      </c>
      <c r="K51" s="215">
        <f t="shared" si="34"/>
        <v>1473.6375287308242</v>
      </c>
      <c r="L51" s="215">
        <f t="shared" si="34"/>
        <v>1476.8668529670797</v>
      </c>
      <c r="M51" s="215">
        <f t="shared" si="34"/>
        <v>1612.8714578391298</v>
      </c>
      <c r="N51" s="215">
        <f t="shared" si="34"/>
        <v>2583.459389005016</v>
      </c>
      <c r="O51" s="216">
        <f t="shared" si="28"/>
        <v>19269.377717741165</v>
      </c>
      <c r="Q51" s="12">
        <v>9</v>
      </c>
      <c r="R51" s="22">
        <f>+C51*Resumen!$C$6</f>
        <v>16071.088773431809</v>
      </c>
      <c r="S51" s="22">
        <f>+D51*Resumen!$C$6</f>
        <v>16224.267116162357</v>
      </c>
      <c r="T51" s="22">
        <f>+E51*Resumen!$C$6</f>
        <v>16454.034630258167</v>
      </c>
      <c r="U51" s="22">
        <f>+F51*Resumen!$C$6</f>
        <v>16460.3532368958</v>
      </c>
      <c r="V51" s="22">
        <f>+G51*Resumen!$C$6</f>
        <v>16231.849444127512</v>
      </c>
      <c r="W51" s="22">
        <f>+H51*Resumen!$C$6</f>
        <v>15963.155483685296</v>
      </c>
      <c r="X51" s="22">
        <f>+I51*Resumen!$C$6</f>
        <v>29103.885118803282</v>
      </c>
      <c r="Y51" s="22">
        <f>+J51*Resumen!$C$6</f>
        <v>17245.20077046143</v>
      </c>
      <c r="Z51" s="22">
        <f>+K51*Resumen!$C$6</f>
        <v>17474.968284557242</v>
      </c>
      <c r="AA51" s="22">
        <f>+L51*Resumen!$C$6</f>
        <v>17513.262870239872</v>
      </c>
      <c r="AB51" s="22">
        <f>+M51*Resumen!$C$6</f>
        <v>19126.058493556913</v>
      </c>
      <c r="AC51" s="22">
        <f>+N51*Resumen!$C$6</f>
        <v>30635.668546108715</v>
      </c>
      <c r="AD51" s="25">
        <f t="shared" si="26"/>
        <v>228503.7927682884</v>
      </c>
    </row>
    <row r="52" spans="2:30" x14ac:dyDescent="0.25">
      <c r="B52" s="12">
        <v>10</v>
      </c>
      <c r="C52" s="215">
        <f t="shared" ref="C52:N52" si="35">+$O$52*C4</f>
        <v>1450.1180373857458</v>
      </c>
      <c r="D52" s="215">
        <f t="shared" si="35"/>
        <v>1463.939545116923</v>
      </c>
      <c r="E52" s="215">
        <f t="shared" si="35"/>
        <v>1484.6718067136881</v>
      </c>
      <c r="F52" s="215">
        <f t="shared" si="35"/>
        <v>1485.2419439075989</v>
      </c>
      <c r="G52" s="215">
        <f t="shared" si="35"/>
        <v>1464.6237097496157</v>
      </c>
      <c r="H52" s="215">
        <f t="shared" si="35"/>
        <v>1440.3790575006651</v>
      </c>
      <c r="I52" s="215">
        <f t="shared" si="35"/>
        <v>2626.0864689235991</v>
      </c>
      <c r="J52" s="215">
        <f t="shared" si="35"/>
        <v>1556.059894145217</v>
      </c>
      <c r="K52" s="215">
        <f t="shared" si="35"/>
        <v>1576.7921557419818</v>
      </c>
      <c r="L52" s="215">
        <f t="shared" si="35"/>
        <v>1580.2475326747754</v>
      </c>
      <c r="M52" s="215">
        <f t="shared" si="35"/>
        <v>1725.7724598878688</v>
      </c>
      <c r="N52" s="215">
        <f t="shared" si="35"/>
        <v>2764.3015462353669</v>
      </c>
      <c r="O52" s="216">
        <f t="shared" si="28"/>
        <v>20618.234157983046</v>
      </c>
      <c r="Q52" s="12">
        <v>10</v>
      </c>
      <c r="R52" s="22">
        <f>+C52*Resumen!$C$6</f>
        <v>17196.064987572034</v>
      </c>
      <c r="S52" s="22">
        <f>+D52*Resumen!$C$6</f>
        <v>17359.965814293719</v>
      </c>
      <c r="T52" s="22">
        <f>+E52*Resumen!$C$6</f>
        <v>17605.817054376239</v>
      </c>
      <c r="U52" s="22">
        <f>+F52*Resumen!$C$6</f>
        <v>17612.577963478507</v>
      </c>
      <c r="V52" s="22">
        <f>+G52*Resumen!$C$6</f>
        <v>17368.078905216436</v>
      </c>
      <c r="W52" s="22">
        <f>+H52*Resumen!$C$6</f>
        <v>17080.576367543268</v>
      </c>
      <c r="X52" s="22">
        <f>+I52*Resumen!$C$6</f>
        <v>31141.157077119515</v>
      </c>
      <c r="Y52" s="22">
        <f>+J52*Resumen!$C$6</f>
        <v>18452.364824393731</v>
      </c>
      <c r="Z52" s="22">
        <f>+K52*Resumen!$C$6</f>
        <v>18698.216064476248</v>
      </c>
      <c r="AA52" s="22">
        <f>+L52*Resumen!$C$6</f>
        <v>18739.191271156662</v>
      </c>
      <c r="AB52" s="22">
        <f>+M52*Resumen!$C$6</f>
        <v>20464.882588105895</v>
      </c>
      <c r="AC52" s="22">
        <f>+N52*Resumen!$C$6</f>
        <v>32780.165344336325</v>
      </c>
      <c r="AD52" s="25">
        <f t="shared" si="26"/>
        <v>244499.05826206855</v>
      </c>
    </row>
    <row r="55" spans="2:30" x14ac:dyDescent="0.25">
      <c r="B55" s="359" t="s">
        <v>60</v>
      </c>
      <c r="C55" s="35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Q55" s="359" t="s">
        <v>59</v>
      </c>
      <c r="R55" s="359"/>
      <c r="S55" s="359"/>
      <c r="T55" s="359"/>
      <c r="U55" s="359"/>
      <c r="V55" s="359"/>
      <c r="W55" s="359"/>
      <c r="X55" s="359"/>
      <c r="Y55" s="359"/>
      <c r="Z55" s="359"/>
      <c r="AA55" s="359"/>
      <c r="AB55" s="359"/>
      <c r="AC55" s="359"/>
      <c r="AD55" s="359"/>
    </row>
    <row r="56" spans="2:30" x14ac:dyDescent="0.25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</row>
    <row r="57" spans="2:30" x14ac:dyDescent="0.25">
      <c r="B57" s="24" t="s">
        <v>11</v>
      </c>
      <c r="C57" s="24" t="s">
        <v>12</v>
      </c>
      <c r="D57" s="24" t="s">
        <v>13</v>
      </c>
      <c r="E57" s="24" t="s">
        <v>14</v>
      </c>
      <c r="F57" s="24" t="s">
        <v>15</v>
      </c>
      <c r="G57" s="24" t="s">
        <v>16</v>
      </c>
      <c r="H57" s="24" t="s">
        <v>17</v>
      </c>
      <c r="I57" s="24" t="s">
        <v>18</v>
      </c>
      <c r="J57" s="24" t="s">
        <v>19</v>
      </c>
      <c r="K57" s="24" t="s">
        <v>20</v>
      </c>
      <c r="L57" s="24" t="s">
        <v>21</v>
      </c>
      <c r="M57" s="24" t="s">
        <v>22</v>
      </c>
      <c r="N57" s="24" t="s">
        <v>23</v>
      </c>
      <c r="O57" s="24" t="s">
        <v>24</v>
      </c>
      <c r="Q57" s="24" t="s">
        <v>11</v>
      </c>
      <c r="R57" s="24" t="s">
        <v>12</v>
      </c>
      <c r="S57" s="24" t="s">
        <v>13</v>
      </c>
      <c r="T57" s="24" t="s">
        <v>14</v>
      </c>
      <c r="U57" s="24" t="s">
        <v>15</v>
      </c>
      <c r="V57" s="24" t="s">
        <v>16</v>
      </c>
      <c r="W57" s="24" t="s">
        <v>17</v>
      </c>
      <c r="X57" s="24" t="s">
        <v>18</v>
      </c>
      <c r="Y57" s="24" t="s">
        <v>19</v>
      </c>
      <c r="Z57" s="24" t="s">
        <v>20</v>
      </c>
      <c r="AA57" s="24" t="s">
        <v>21</v>
      </c>
      <c r="AB57" s="24" t="s">
        <v>22</v>
      </c>
      <c r="AC57" s="24" t="s">
        <v>23</v>
      </c>
      <c r="AD57" s="24" t="s">
        <v>24</v>
      </c>
    </row>
    <row r="58" spans="2:30" x14ac:dyDescent="0.25">
      <c r="B58" s="12">
        <v>1</v>
      </c>
      <c r="C58" s="22">
        <f t="shared" ref="C58:N58" si="36">+C13+C28+C43</f>
        <v>8158.491704374057</v>
      </c>
      <c r="D58" s="22">
        <f t="shared" si="36"/>
        <v>8236.2527233115488</v>
      </c>
      <c r="E58" s="22">
        <f t="shared" si="36"/>
        <v>8352.894251717782</v>
      </c>
      <c r="F58" s="22">
        <f t="shared" si="36"/>
        <v>8356.1018937489534</v>
      </c>
      <c r="G58" s="22">
        <f t="shared" si="36"/>
        <v>8240.1018937489516</v>
      </c>
      <c r="H58" s="22">
        <f t="shared" si="36"/>
        <v>8103.6993464052284</v>
      </c>
      <c r="I58" s="22">
        <f t="shared" si="36"/>
        <v>14774.59359812301</v>
      </c>
      <c r="J58" s="22">
        <f t="shared" si="36"/>
        <v>8754.5299145299196</v>
      </c>
      <c r="K58" s="22">
        <f t="shared" si="36"/>
        <v>8871.1714429361509</v>
      </c>
      <c r="L58" s="22">
        <f t="shared" si="36"/>
        <v>8890.6116976705198</v>
      </c>
      <c r="M58" s="22">
        <f t="shared" si="36"/>
        <v>9709.3477459359729</v>
      </c>
      <c r="N58" s="22">
        <f t="shared" si="36"/>
        <v>15552.203787497905</v>
      </c>
      <c r="O58" s="25">
        <f>SUM(C58:N58)</f>
        <v>115999.99999999999</v>
      </c>
      <c r="Q58" s="12">
        <v>1</v>
      </c>
      <c r="R58" s="22">
        <f t="shared" ref="R58:AC58" si="37">+R13+R28+R43</f>
        <v>90588.099927141651</v>
      </c>
      <c r="S58" s="22">
        <f t="shared" si="37"/>
        <v>91451.522139138164</v>
      </c>
      <c r="T58" s="22">
        <f t="shared" si="37"/>
        <v>92746.655457132903</v>
      </c>
      <c r="U58" s="22">
        <f t="shared" si="37"/>
        <v>92782.271623377732</v>
      </c>
      <c r="V58" s="22">
        <f t="shared" si="37"/>
        <v>91494.261538631967</v>
      </c>
      <c r="W58" s="22">
        <f t="shared" si="37"/>
        <v>89979.711051013612</v>
      </c>
      <c r="X58" s="22">
        <f t="shared" si="37"/>
        <v>164050.22027933295</v>
      </c>
      <c r="Y58" s="22">
        <f t="shared" si="37"/>
        <v>97206.231182094794</v>
      </c>
      <c r="Z58" s="22">
        <f t="shared" si="37"/>
        <v>98501.36450008949</v>
      </c>
      <c r="AA58" s="22">
        <f t="shared" si="37"/>
        <v>98717.220053088589</v>
      </c>
      <c r="AB58" s="22">
        <f t="shared" si="37"/>
        <v>107808.08459542305</v>
      </c>
      <c r="AC58" s="22">
        <f t="shared" si="37"/>
        <v>172684.44239929781</v>
      </c>
      <c r="AD58" s="25">
        <f>SUM(R58:AC58)</f>
        <v>1288010.0847457626</v>
      </c>
    </row>
    <row r="59" spans="2:30" x14ac:dyDescent="0.25">
      <c r="B59" s="12">
        <v>2</v>
      </c>
      <c r="C59" s="22">
        <f t="shared" ref="C59:N59" si="38">+C14+C29+C44</f>
        <v>9072.8054298642546</v>
      </c>
      <c r="D59" s="22">
        <f t="shared" si="38"/>
        <v>9159.2810457516371</v>
      </c>
      <c r="E59" s="22">
        <f t="shared" si="38"/>
        <v>9288.9944695827053</v>
      </c>
      <c r="F59" s="22">
        <f t="shared" si="38"/>
        <v>9292.5615887380609</v>
      </c>
      <c r="G59" s="22">
        <f t="shared" si="38"/>
        <v>9163.5615887380609</v>
      </c>
      <c r="H59" s="22">
        <f t="shared" si="38"/>
        <v>9011.8725490196066</v>
      </c>
      <c r="I59" s="22">
        <f t="shared" si="38"/>
        <v>16430.367018602312</v>
      </c>
      <c r="J59" s="22">
        <f t="shared" si="38"/>
        <v>9735.641025641029</v>
      </c>
      <c r="K59" s="22">
        <f t="shared" si="38"/>
        <v>9865.3544494720991</v>
      </c>
      <c r="L59" s="22">
        <f t="shared" si="38"/>
        <v>9886.9733534439401</v>
      </c>
      <c r="M59" s="22">
        <f t="shared" si="38"/>
        <v>10797.464303670178</v>
      </c>
      <c r="N59" s="22">
        <f t="shared" si="38"/>
        <v>17295.123177476118</v>
      </c>
      <c r="O59" s="25">
        <f t="shared" ref="O59:O67" si="39">SUM(C59:N59)</f>
        <v>129000</v>
      </c>
      <c r="P59" s="304"/>
      <c r="Q59" s="12">
        <v>2</v>
      </c>
      <c r="R59" s="22">
        <f t="shared" ref="R59:AC59" si="40">+R14+R29+R44</f>
        <v>100731.43321829384</v>
      </c>
      <c r="S59" s="22">
        <f t="shared" si="40"/>
        <v>101691.53456667039</v>
      </c>
      <c r="T59" s="22">
        <f t="shared" si="40"/>
        <v>103131.68658923515</v>
      </c>
      <c r="U59" s="22">
        <f t="shared" si="40"/>
        <v>103171.29076985568</v>
      </c>
      <c r="V59" s="22">
        <f t="shared" si="40"/>
        <v>101739.059583415</v>
      </c>
      <c r="W59" s="22">
        <f t="shared" si="40"/>
        <v>100054.92180569403</v>
      </c>
      <c r="X59" s="22">
        <f t="shared" si="40"/>
        <v>182419.25619153935</v>
      </c>
      <c r="Y59" s="22">
        <f t="shared" si="40"/>
        <v>108090.61005359993</v>
      </c>
      <c r="Z59" s="22">
        <f t="shared" si="40"/>
        <v>109530.7620761647</v>
      </c>
      <c r="AA59" s="22">
        <f t="shared" si="40"/>
        <v>109770.78741325877</v>
      </c>
      <c r="AB59" s="22">
        <f t="shared" si="40"/>
        <v>119879.57449764656</v>
      </c>
      <c r="AC59" s="22">
        <f t="shared" si="40"/>
        <v>192020.26967530456</v>
      </c>
      <c r="AD59" s="25">
        <f t="shared" ref="AD59:AD67" si="41">SUM(R59:AC59)</f>
        <v>1432231.1864406781</v>
      </c>
    </row>
    <row r="60" spans="2:30" x14ac:dyDescent="0.25">
      <c r="B60" s="12">
        <v>3</v>
      </c>
      <c r="C60" s="22">
        <f t="shared" ref="C60:N60" si="42">+C15+C30+C45</f>
        <v>9707.901809954752</v>
      </c>
      <c r="D60" s="22">
        <f t="shared" si="42"/>
        <v>9800.4307189542524</v>
      </c>
      <c r="E60" s="22">
        <f t="shared" si="42"/>
        <v>9939.2240824534947</v>
      </c>
      <c r="F60" s="22">
        <f t="shared" si="42"/>
        <v>9943.0408999497231</v>
      </c>
      <c r="G60" s="22">
        <f t="shared" si="42"/>
        <v>9805.0108999497224</v>
      </c>
      <c r="H60" s="22">
        <f t="shared" si="42"/>
        <v>9642.7036274509792</v>
      </c>
      <c r="I60" s="22">
        <f t="shared" si="42"/>
        <v>17580.492709904476</v>
      </c>
      <c r="J60" s="22">
        <f t="shared" si="42"/>
        <v>10417.135897435903</v>
      </c>
      <c r="K60" s="22">
        <f t="shared" si="42"/>
        <v>10555.929260935145</v>
      </c>
      <c r="L60" s="22">
        <f t="shared" si="42"/>
        <v>10579.061488185016</v>
      </c>
      <c r="M60" s="22">
        <f t="shared" si="42"/>
        <v>11553.286804927087</v>
      </c>
      <c r="N60" s="22">
        <f t="shared" si="42"/>
        <v>18505.781799899447</v>
      </c>
      <c r="O60" s="25">
        <f t="shared" si="39"/>
        <v>138030</v>
      </c>
      <c r="P60" s="304"/>
      <c r="Q60" s="12">
        <v>3</v>
      </c>
      <c r="R60" s="22">
        <f t="shared" ref="R60:AC60" si="43">+R15+R30+R45</f>
        <v>107782.63354357441</v>
      </c>
      <c r="S60" s="22">
        <f t="shared" si="43"/>
        <v>108809.94198633733</v>
      </c>
      <c r="T60" s="22">
        <f t="shared" si="43"/>
        <v>110350.90465048162</v>
      </c>
      <c r="U60" s="22">
        <f t="shared" si="43"/>
        <v>110393.28112374558</v>
      </c>
      <c r="V60" s="22">
        <f t="shared" si="43"/>
        <v>108860.79375425403</v>
      </c>
      <c r="W60" s="22">
        <f t="shared" si="43"/>
        <v>107058.76633209261</v>
      </c>
      <c r="X60" s="22">
        <f t="shared" si="43"/>
        <v>195188.60412494713</v>
      </c>
      <c r="Y60" s="22">
        <f t="shared" si="43"/>
        <v>115656.95275735193</v>
      </c>
      <c r="Z60" s="22">
        <f t="shared" si="43"/>
        <v>117197.91542149622</v>
      </c>
      <c r="AA60" s="22">
        <f t="shared" si="43"/>
        <v>117454.74253218688</v>
      </c>
      <c r="AB60" s="22">
        <f t="shared" si="43"/>
        <v>128271.14471248182</v>
      </c>
      <c r="AC60" s="22">
        <f t="shared" si="43"/>
        <v>205461.68855257588</v>
      </c>
      <c r="AD60" s="25">
        <f t="shared" si="41"/>
        <v>1532487.3694915255</v>
      </c>
    </row>
    <row r="61" spans="2:30" x14ac:dyDescent="0.25">
      <c r="B61" s="12">
        <v>4</v>
      </c>
      <c r="C61" s="22">
        <f t="shared" ref="C61:N61" si="44">+C16+C31+C46</f>
        <v>10387.454936651586</v>
      </c>
      <c r="D61" s="22">
        <f t="shared" si="44"/>
        <v>10486.460869281051</v>
      </c>
      <c r="E61" s="22">
        <f t="shared" si="44"/>
        <v>10634.969768225239</v>
      </c>
      <c r="F61" s="22">
        <f t="shared" si="44"/>
        <v>10639.053762946205</v>
      </c>
      <c r="G61" s="22">
        <f t="shared" si="44"/>
        <v>10491.361662946203</v>
      </c>
      <c r="H61" s="22">
        <f t="shared" si="44"/>
        <v>10317.692881372548</v>
      </c>
      <c r="I61" s="22">
        <f t="shared" si="44"/>
        <v>18811.127199597788</v>
      </c>
      <c r="J61" s="22">
        <f t="shared" si="44"/>
        <v>11146.335410256415</v>
      </c>
      <c r="K61" s="22">
        <f t="shared" si="44"/>
        <v>11294.844309200605</v>
      </c>
      <c r="L61" s="22">
        <f t="shared" si="44"/>
        <v>11319.595792357966</v>
      </c>
      <c r="M61" s="22">
        <f t="shared" si="44"/>
        <v>12362.016881271986</v>
      </c>
      <c r="N61" s="22">
        <f t="shared" si="44"/>
        <v>19801.186525892408</v>
      </c>
      <c r="O61" s="25">
        <f t="shared" si="39"/>
        <v>147692.1</v>
      </c>
      <c r="P61" s="304"/>
      <c r="Q61" s="12">
        <v>4</v>
      </c>
      <c r="R61" s="22">
        <f t="shared" ref="R61:AC61" si="45">+R16+R31+R46</f>
        <v>115327.41789162463</v>
      </c>
      <c r="S61" s="22">
        <f t="shared" si="45"/>
        <v>116426.63792538093</v>
      </c>
      <c r="T61" s="22">
        <f t="shared" si="45"/>
        <v>118075.46797601534</v>
      </c>
      <c r="U61" s="22">
        <f t="shared" si="45"/>
        <v>118120.81080240777</v>
      </c>
      <c r="V61" s="22">
        <f t="shared" si="45"/>
        <v>116481.04931705183</v>
      </c>
      <c r="W61" s="22">
        <f t="shared" si="45"/>
        <v>114552.87997533908</v>
      </c>
      <c r="X61" s="22">
        <f t="shared" si="45"/>
        <v>208851.80641369341</v>
      </c>
      <c r="Y61" s="22">
        <f t="shared" si="45"/>
        <v>123752.93945036657</v>
      </c>
      <c r="Z61" s="22">
        <f t="shared" si="45"/>
        <v>125401.76950100096</v>
      </c>
      <c r="AA61" s="22">
        <f t="shared" si="45"/>
        <v>125676.57450943999</v>
      </c>
      <c r="AB61" s="22">
        <f t="shared" si="45"/>
        <v>137250.12484235555</v>
      </c>
      <c r="AC61" s="22">
        <f t="shared" si="45"/>
        <v>219844.00675125621</v>
      </c>
      <c r="AD61" s="25">
        <f t="shared" si="41"/>
        <v>1639761.4853559323</v>
      </c>
    </row>
    <row r="62" spans="2:30" x14ac:dyDescent="0.25">
      <c r="B62" s="12">
        <v>5</v>
      </c>
      <c r="C62" s="22">
        <f t="shared" ref="C62:N62" si="46">+C17+C32+C47</f>
        <v>11114.576782217195</v>
      </c>
      <c r="D62" s="22">
        <f t="shared" si="46"/>
        <v>11220.513130130723</v>
      </c>
      <c r="E62" s="22">
        <f t="shared" si="46"/>
        <v>11379.417652001008</v>
      </c>
      <c r="F62" s="22">
        <f t="shared" si="46"/>
        <v>11383.78752635244</v>
      </c>
      <c r="G62" s="22">
        <f t="shared" si="46"/>
        <v>11225.756979352438</v>
      </c>
      <c r="H62" s="22">
        <f t="shared" si="46"/>
        <v>11039.931383068628</v>
      </c>
      <c r="I62" s="22">
        <f t="shared" si="46"/>
        <v>20127.906103569632</v>
      </c>
      <c r="J62" s="22">
        <f t="shared" si="46"/>
        <v>11926.578888974365</v>
      </c>
      <c r="K62" s="22">
        <f t="shared" si="46"/>
        <v>12085.483410844648</v>
      </c>
      <c r="L62" s="22">
        <f t="shared" si="46"/>
        <v>12111.967497823025</v>
      </c>
      <c r="M62" s="22">
        <f t="shared" si="46"/>
        <v>13227.358062961024</v>
      </c>
      <c r="N62" s="22">
        <f t="shared" si="46"/>
        <v>21187.269582704874</v>
      </c>
      <c r="O62" s="25">
        <f t="shared" si="39"/>
        <v>158030.54700000002</v>
      </c>
      <c r="P62" s="304"/>
      <c r="Q62" s="12">
        <v>5</v>
      </c>
      <c r="R62" s="22">
        <f t="shared" ref="R62:AC62" si="47">+R17+R32+R47</f>
        <v>123400.33714403836</v>
      </c>
      <c r="S62" s="22">
        <f t="shared" si="47"/>
        <v>124576.5025801576</v>
      </c>
      <c r="T62" s="22">
        <f t="shared" si="47"/>
        <v>126340.75073433641</v>
      </c>
      <c r="U62" s="22">
        <f t="shared" si="47"/>
        <v>126389.26755857632</v>
      </c>
      <c r="V62" s="22">
        <f t="shared" si="47"/>
        <v>124634.72276924546</v>
      </c>
      <c r="W62" s="22">
        <f t="shared" si="47"/>
        <v>122571.58157361281</v>
      </c>
      <c r="X62" s="22">
        <f t="shared" si="47"/>
        <v>223471.43286265194</v>
      </c>
      <c r="Y62" s="22">
        <f t="shared" si="47"/>
        <v>132415.64521189223</v>
      </c>
      <c r="Z62" s="22">
        <f t="shared" si="47"/>
        <v>134179.89336607105</v>
      </c>
      <c r="AA62" s="22">
        <f t="shared" si="47"/>
        <v>134473.93472510079</v>
      </c>
      <c r="AB62" s="22">
        <f t="shared" si="47"/>
        <v>146857.63358132044</v>
      </c>
      <c r="AC62" s="22">
        <f t="shared" si="47"/>
        <v>235233.08722384414</v>
      </c>
      <c r="AD62" s="25">
        <f t="shared" si="41"/>
        <v>1754544.7893308476</v>
      </c>
    </row>
    <row r="63" spans="2:30" x14ac:dyDescent="0.25">
      <c r="B63" s="12">
        <v>6</v>
      </c>
      <c r="C63" s="22">
        <f t="shared" ref="C63:N63" si="48">+C18+C33+C48</f>
        <v>11892.597156972399</v>
      </c>
      <c r="D63" s="22">
        <f t="shared" si="48"/>
        <v>12005.949049239873</v>
      </c>
      <c r="E63" s="22">
        <f t="shared" si="48"/>
        <v>12175.976887641078</v>
      </c>
      <c r="F63" s="22">
        <f t="shared" si="48"/>
        <v>12180.65265319711</v>
      </c>
      <c r="G63" s="22">
        <f t="shared" si="48"/>
        <v>12011.559967907109</v>
      </c>
      <c r="H63" s="22">
        <f t="shared" si="48"/>
        <v>11812.726579883431</v>
      </c>
      <c r="I63" s="22">
        <f t="shared" si="48"/>
        <v>21536.859530819511</v>
      </c>
      <c r="J63" s="22">
        <f t="shared" si="48"/>
        <v>12761.439411202569</v>
      </c>
      <c r="K63" s="22">
        <f t="shared" si="48"/>
        <v>12931.467249603777</v>
      </c>
      <c r="L63" s="22">
        <f t="shared" si="48"/>
        <v>12959.805222670637</v>
      </c>
      <c r="M63" s="22">
        <f t="shared" si="48"/>
        <v>14153.273127368298</v>
      </c>
      <c r="N63" s="22">
        <f t="shared" si="48"/>
        <v>22670.378453494221</v>
      </c>
      <c r="O63" s="25">
        <f t="shared" si="39"/>
        <v>169092.68529000002</v>
      </c>
      <c r="P63" s="304"/>
      <c r="Q63" s="12">
        <v>6</v>
      </c>
      <c r="R63" s="22">
        <f t="shared" ref="R63:AC63" si="49">+R18+R33+R48</f>
        <v>132038.36074412105</v>
      </c>
      <c r="S63" s="22">
        <f t="shared" si="49"/>
        <v>133296.85776076865</v>
      </c>
      <c r="T63" s="22">
        <f t="shared" si="49"/>
        <v>135184.60328573996</v>
      </c>
      <c r="U63" s="22">
        <f t="shared" si="49"/>
        <v>135236.51628767667</v>
      </c>
      <c r="V63" s="22">
        <f t="shared" si="49"/>
        <v>133359.15336309266</v>
      </c>
      <c r="W63" s="22">
        <f t="shared" si="49"/>
        <v>131151.59228376573</v>
      </c>
      <c r="X63" s="22">
        <f t="shared" si="49"/>
        <v>239114.43316303761</v>
      </c>
      <c r="Y63" s="22">
        <f t="shared" si="49"/>
        <v>141684.74037672469</v>
      </c>
      <c r="Z63" s="22">
        <f t="shared" si="49"/>
        <v>143572.48590169603</v>
      </c>
      <c r="AA63" s="22">
        <f t="shared" si="49"/>
        <v>143887.11015585787</v>
      </c>
      <c r="AB63" s="22">
        <f t="shared" si="49"/>
        <v>157137.66793201288</v>
      </c>
      <c r="AC63" s="22">
        <f t="shared" si="49"/>
        <v>251699.40332951321</v>
      </c>
      <c r="AD63" s="25">
        <f t="shared" si="41"/>
        <v>1877362.9245840071</v>
      </c>
    </row>
    <row r="64" spans="2:30" x14ac:dyDescent="0.25">
      <c r="B64" s="12">
        <v>7</v>
      </c>
      <c r="C64" s="22">
        <f t="shared" ref="C64:N64" si="50">+C19+C34+C49</f>
        <v>12725.07895796047</v>
      </c>
      <c r="D64" s="22">
        <f t="shared" si="50"/>
        <v>12846.365482686666</v>
      </c>
      <c r="E64" s="22">
        <f t="shared" si="50"/>
        <v>13028.295269775956</v>
      </c>
      <c r="F64" s="22">
        <f t="shared" si="50"/>
        <v>13033.298338920909</v>
      </c>
      <c r="G64" s="22">
        <f t="shared" si="50"/>
        <v>12852.369165660608</v>
      </c>
      <c r="H64" s="22">
        <f t="shared" si="50"/>
        <v>12639.617440475273</v>
      </c>
      <c r="I64" s="22">
        <f t="shared" si="50"/>
        <v>23044.439697976879</v>
      </c>
      <c r="J64" s="22">
        <f t="shared" si="50"/>
        <v>13654.740169986753</v>
      </c>
      <c r="K64" s="22">
        <f t="shared" si="50"/>
        <v>13836.669957076039</v>
      </c>
      <c r="L64" s="22">
        <f t="shared" si="50"/>
        <v>13866.991588257584</v>
      </c>
      <c r="M64" s="22">
        <f t="shared" si="50"/>
        <v>15144.002246284079</v>
      </c>
      <c r="N64" s="22">
        <f t="shared" si="50"/>
        <v>24257.304945238819</v>
      </c>
      <c r="O64" s="25">
        <f t="shared" si="39"/>
        <v>180929.17326030001</v>
      </c>
      <c r="P64" s="304"/>
      <c r="Q64" s="12">
        <v>7</v>
      </c>
      <c r="R64" s="22">
        <f t="shared" ref="R64:AC64" si="51">+R19+R34+R49</f>
        <v>141281.04599620952</v>
      </c>
      <c r="S64" s="22">
        <f t="shared" si="51"/>
        <v>142627.63780402247</v>
      </c>
      <c r="T64" s="22">
        <f t="shared" si="51"/>
        <v>144647.52551574176</v>
      </c>
      <c r="U64" s="22">
        <f t="shared" si="51"/>
        <v>144703.07242781404</v>
      </c>
      <c r="V64" s="22">
        <f t="shared" si="51"/>
        <v>142694.29409850916</v>
      </c>
      <c r="W64" s="22">
        <f t="shared" si="51"/>
        <v>140332.20374362936</v>
      </c>
      <c r="X64" s="22">
        <f t="shared" si="51"/>
        <v>255852.44348445025</v>
      </c>
      <c r="Y64" s="22">
        <f t="shared" si="51"/>
        <v>151602.67220309543</v>
      </c>
      <c r="Z64" s="22">
        <f t="shared" si="51"/>
        <v>153622.55991481474</v>
      </c>
      <c r="AA64" s="22">
        <f t="shared" si="51"/>
        <v>153959.20786676792</v>
      </c>
      <c r="AB64" s="22">
        <f t="shared" si="51"/>
        <v>168137.30468725378</v>
      </c>
      <c r="AC64" s="22">
        <f t="shared" si="51"/>
        <v>269318.36156257917</v>
      </c>
      <c r="AD64" s="25">
        <f t="shared" si="41"/>
        <v>2008778.3293048877</v>
      </c>
    </row>
    <row r="65" spans="2:30" x14ac:dyDescent="0.25">
      <c r="B65" s="12">
        <v>8</v>
      </c>
      <c r="C65" s="22">
        <f t="shared" ref="C65:N65" si="52">+C20+C35+C50</f>
        <v>13615.834485017702</v>
      </c>
      <c r="D65" s="22">
        <f t="shared" si="52"/>
        <v>13745.611066474734</v>
      </c>
      <c r="E65" s="22">
        <f t="shared" si="52"/>
        <v>13940.275938660274</v>
      </c>
      <c r="F65" s="22">
        <f t="shared" si="52"/>
        <v>13945.629222645373</v>
      </c>
      <c r="G65" s="22">
        <f t="shared" si="52"/>
        <v>13752.035007256854</v>
      </c>
      <c r="H65" s="22">
        <f t="shared" si="52"/>
        <v>13524.390661308542</v>
      </c>
      <c r="I65" s="22">
        <f t="shared" si="52"/>
        <v>24657.550476835262</v>
      </c>
      <c r="J65" s="22">
        <f t="shared" si="52"/>
        <v>14610.571981885825</v>
      </c>
      <c r="K65" s="22">
        <f t="shared" si="52"/>
        <v>14805.236854071365</v>
      </c>
      <c r="L65" s="22">
        <f t="shared" si="52"/>
        <v>14837.680999435614</v>
      </c>
      <c r="M65" s="22">
        <f t="shared" si="52"/>
        <v>16204.082403523968</v>
      </c>
      <c r="N65" s="22">
        <f t="shared" si="52"/>
        <v>25955.316291405536</v>
      </c>
      <c r="O65" s="25">
        <f t="shared" si="39"/>
        <v>193594.21538852103</v>
      </c>
      <c r="P65" s="304"/>
      <c r="Q65" s="12">
        <v>8</v>
      </c>
      <c r="R65" s="22">
        <f t="shared" ref="R65:AC65" si="53">+R20+R35+R50</f>
        <v>151170.71921594423</v>
      </c>
      <c r="S65" s="22">
        <f t="shared" si="53"/>
        <v>152611.57245030405</v>
      </c>
      <c r="T65" s="22">
        <f t="shared" si="53"/>
        <v>154772.8523018437</v>
      </c>
      <c r="U65" s="22">
        <f t="shared" si="53"/>
        <v>154832.28749776105</v>
      </c>
      <c r="V65" s="22">
        <f t="shared" si="53"/>
        <v>152682.89468540481</v>
      </c>
      <c r="W65" s="22">
        <f t="shared" si="53"/>
        <v>150155.45800568341</v>
      </c>
      <c r="X65" s="22">
        <f t="shared" si="53"/>
        <v>273762.11452836177</v>
      </c>
      <c r="Y65" s="22">
        <f t="shared" si="53"/>
        <v>162214.85925731214</v>
      </c>
      <c r="Z65" s="22">
        <f t="shared" si="53"/>
        <v>164376.13910885181</v>
      </c>
      <c r="AA65" s="22">
        <f t="shared" si="53"/>
        <v>164736.35241744167</v>
      </c>
      <c r="AB65" s="22">
        <f t="shared" si="53"/>
        <v>179906.91601536158</v>
      </c>
      <c r="AC65" s="22">
        <f t="shared" si="53"/>
        <v>288170.64687195973</v>
      </c>
      <c r="AD65" s="25">
        <f t="shared" si="41"/>
        <v>2149392.8123562299</v>
      </c>
    </row>
    <row r="66" spans="2:30" x14ac:dyDescent="0.25">
      <c r="B66" s="12">
        <v>9</v>
      </c>
      <c r="C66" s="22">
        <f t="shared" ref="C66:N66" si="54">+C21+C36+C51</f>
        <v>14568.942898968944</v>
      </c>
      <c r="D66" s="22">
        <f t="shared" si="54"/>
        <v>14707.803841127967</v>
      </c>
      <c r="E66" s="22">
        <f t="shared" si="54"/>
        <v>14916.095254366493</v>
      </c>
      <c r="F66" s="22">
        <f t="shared" si="54"/>
        <v>14921.82326823055</v>
      </c>
      <c r="G66" s="22">
        <f t="shared" si="54"/>
        <v>14714.677457764832</v>
      </c>
      <c r="H66" s="22">
        <f t="shared" si="54"/>
        <v>14471.098007600142</v>
      </c>
      <c r="I66" s="22">
        <f t="shared" si="54"/>
        <v>26383.579010213733</v>
      </c>
      <c r="J66" s="22">
        <f t="shared" si="54"/>
        <v>15633.312020617836</v>
      </c>
      <c r="K66" s="22">
        <f t="shared" si="54"/>
        <v>15841.60343385636</v>
      </c>
      <c r="L66" s="22">
        <f t="shared" si="54"/>
        <v>15876.318669396109</v>
      </c>
      <c r="M66" s="22">
        <f t="shared" si="54"/>
        <v>17338.368171770646</v>
      </c>
      <c r="N66" s="22">
        <f t="shared" si="54"/>
        <v>27772.188431803923</v>
      </c>
      <c r="O66" s="25">
        <f t="shared" si="39"/>
        <v>207145.81046571754</v>
      </c>
      <c r="P66" s="304"/>
      <c r="Q66" s="12">
        <v>9</v>
      </c>
      <c r="R66" s="22">
        <f t="shared" ref="R66:AC66" si="55">+R21+R36+R51</f>
        <v>161752.66956106032</v>
      </c>
      <c r="S66" s="22">
        <f t="shared" si="55"/>
        <v>163294.38252182532</v>
      </c>
      <c r="T66" s="22">
        <f t="shared" si="55"/>
        <v>165606.95196297279</v>
      </c>
      <c r="U66" s="22">
        <f t="shared" si="55"/>
        <v>165670.54762260432</v>
      </c>
      <c r="V66" s="22">
        <f t="shared" si="55"/>
        <v>163370.69731338316</v>
      </c>
      <c r="W66" s="22">
        <f t="shared" si="55"/>
        <v>160666.34006608123</v>
      </c>
      <c r="X66" s="22">
        <f t="shared" si="55"/>
        <v>292925.46254534717</v>
      </c>
      <c r="Y66" s="22">
        <f t="shared" si="55"/>
        <v>173569.89940532399</v>
      </c>
      <c r="Z66" s="22">
        <f t="shared" si="55"/>
        <v>175882.46884647143</v>
      </c>
      <c r="AA66" s="22">
        <f t="shared" si="55"/>
        <v>176267.89708666262</v>
      </c>
      <c r="AB66" s="22">
        <f t="shared" si="55"/>
        <v>192500.40013643692</v>
      </c>
      <c r="AC66" s="22">
        <f t="shared" si="55"/>
        <v>308342.59215299692</v>
      </c>
      <c r="AD66" s="25">
        <f t="shared" si="41"/>
        <v>2299850.3092211662</v>
      </c>
    </row>
    <row r="67" spans="2:30" x14ac:dyDescent="0.25">
      <c r="B67" s="12">
        <v>10</v>
      </c>
      <c r="C67" s="22">
        <f t="shared" ref="C67:N67" si="56">+C22+C37+C52</f>
        <v>15588.768901896769</v>
      </c>
      <c r="D67" s="22">
        <f t="shared" si="56"/>
        <v>15737.350110006926</v>
      </c>
      <c r="E67" s="22">
        <f t="shared" si="56"/>
        <v>15960.221922172148</v>
      </c>
      <c r="F67" s="22">
        <f t="shared" si="56"/>
        <v>15966.350897006689</v>
      </c>
      <c r="G67" s="22">
        <f t="shared" si="56"/>
        <v>15744.704879808372</v>
      </c>
      <c r="H67" s="22">
        <f t="shared" si="56"/>
        <v>15484.074868132153</v>
      </c>
      <c r="I67" s="22">
        <f t="shared" si="56"/>
        <v>28230.429540928697</v>
      </c>
      <c r="J67" s="22">
        <f t="shared" si="56"/>
        <v>16727.643862061082</v>
      </c>
      <c r="K67" s="22">
        <f t="shared" si="56"/>
        <v>16950.515674226306</v>
      </c>
      <c r="L67" s="22">
        <f t="shared" si="56"/>
        <v>16987.660976253836</v>
      </c>
      <c r="M67" s="22">
        <f t="shared" si="56"/>
        <v>18552.053943794592</v>
      </c>
      <c r="N67" s="22">
        <f t="shared" si="56"/>
        <v>29716.241622030197</v>
      </c>
      <c r="O67" s="25">
        <f t="shared" si="39"/>
        <v>221646.0171983178</v>
      </c>
      <c r="P67" s="304"/>
      <c r="Q67" s="12">
        <v>10</v>
      </c>
      <c r="R67" s="22">
        <f t="shared" ref="R67:AC67" si="57">+R22+R37+R52</f>
        <v>173075.35643033453</v>
      </c>
      <c r="S67" s="22">
        <f t="shared" si="57"/>
        <v>174724.98929835312</v>
      </c>
      <c r="T67" s="22">
        <f t="shared" si="57"/>
        <v>177199.43860038088</v>
      </c>
      <c r="U67" s="22">
        <f t="shared" si="57"/>
        <v>177267.48595618663</v>
      </c>
      <c r="V67" s="22">
        <f t="shared" si="57"/>
        <v>174806.64612531997</v>
      </c>
      <c r="W67" s="22">
        <f t="shared" si="57"/>
        <v>171912.98387070693</v>
      </c>
      <c r="X67" s="22">
        <f t="shared" si="57"/>
        <v>313430.24492352147</v>
      </c>
      <c r="Y67" s="22">
        <f t="shared" si="57"/>
        <v>185719.7923636967</v>
      </c>
      <c r="Z67" s="22">
        <f t="shared" si="57"/>
        <v>188194.24166572443</v>
      </c>
      <c r="AA67" s="22">
        <f t="shared" si="57"/>
        <v>188606.64988272899</v>
      </c>
      <c r="AB67" s="22">
        <f t="shared" si="57"/>
        <v>205975.42814598748</v>
      </c>
      <c r="AC67" s="22">
        <f t="shared" si="57"/>
        <v>329926.57360370673</v>
      </c>
      <c r="AD67" s="25">
        <f t="shared" si="41"/>
        <v>2460839.8308666483</v>
      </c>
    </row>
    <row r="70" spans="2:30" x14ac:dyDescent="0.25">
      <c r="R70" s="358" t="s">
        <v>58</v>
      </c>
      <c r="S70" s="358"/>
      <c r="T70" s="358"/>
      <c r="U70" s="358"/>
      <c r="V70" s="358"/>
      <c r="W70" s="358"/>
      <c r="X70" s="358"/>
      <c r="Y70" s="358"/>
      <c r="Z70" s="358"/>
      <c r="AA70" s="358"/>
      <c r="AB70" s="358"/>
      <c r="AC70" s="358"/>
    </row>
    <row r="71" spans="2:30" x14ac:dyDescent="0.25">
      <c r="C71" s="358" t="s">
        <v>57</v>
      </c>
      <c r="D71" s="358"/>
      <c r="E71" s="358"/>
      <c r="F71" s="358"/>
      <c r="G71" s="358"/>
      <c r="H71" s="358"/>
      <c r="I71" s="358"/>
      <c r="J71" s="358"/>
      <c r="K71" s="358"/>
      <c r="L71" s="358"/>
      <c r="M71" s="358"/>
      <c r="N71" s="358"/>
    </row>
    <row r="72" spans="2:30" x14ac:dyDescent="0.25">
      <c r="R72" s="24" t="s">
        <v>46</v>
      </c>
      <c r="S72" s="24">
        <v>1</v>
      </c>
      <c r="T72" s="24">
        <v>2</v>
      </c>
      <c r="U72" s="24">
        <v>3</v>
      </c>
      <c r="V72" s="24">
        <v>4</v>
      </c>
      <c r="W72" s="24">
        <v>5</v>
      </c>
      <c r="X72" s="24">
        <v>6</v>
      </c>
      <c r="Y72" s="24">
        <v>7</v>
      </c>
      <c r="Z72" s="24">
        <v>8</v>
      </c>
      <c r="AA72" s="24">
        <v>9</v>
      </c>
      <c r="AB72" s="24">
        <v>10</v>
      </c>
      <c r="AC72" s="26" t="s">
        <v>52</v>
      </c>
    </row>
    <row r="73" spans="2:30" x14ac:dyDescent="0.25">
      <c r="C73" s="24" t="s">
        <v>46</v>
      </c>
      <c r="D73" s="24">
        <v>1</v>
      </c>
      <c r="E73" s="24">
        <v>2</v>
      </c>
      <c r="F73" s="24">
        <v>3</v>
      </c>
      <c r="G73" s="24">
        <v>4</v>
      </c>
      <c r="H73" s="24">
        <v>5</v>
      </c>
      <c r="I73" s="24">
        <v>6</v>
      </c>
      <c r="J73" s="24">
        <v>7</v>
      </c>
      <c r="K73" s="24">
        <v>8</v>
      </c>
      <c r="L73" s="24">
        <v>9</v>
      </c>
      <c r="M73" s="24">
        <v>10</v>
      </c>
      <c r="N73" s="24" t="s">
        <v>47</v>
      </c>
      <c r="R73" s="12" t="s">
        <v>43</v>
      </c>
      <c r="S73" s="22">
        <f>+D74*Resumen!$C$4</f>
        <v>660508.47457627126</v>
      </c>
      <c r="T73" s="22">
        <f>+E74*Resumen!$C$4</f>
        <v>715550.84745762718</v>
      </c>
      <c r="U73" s="22">
        <f>+F74*Resumen!$C$4</f>
        <v>765639.40677966108</v>
      </c>
      <c r="V73" s="22">
        <f>+G74*Resumen!$C$4</f>
        <v>819234.16525423736</v>
      </c>
      <c r="W73" s="22">
        <f>+H74*Resumen!$C$4</f>
        <v>876580.55682203395</v>
      </c>
      <c r="X73" s="22">
        <f>+I74*Resumen!$C$4</f>
        <v>937941.19579957635</v>
      </c>
      <c r="Y73" s="22">
        <f>+J74*Resumen!$C$4</f>
        <v>1003597.0795055468</v>
      </c>
      <c r="Z73" s="22">
        <f>+K74*Resumen!$C$4</f>
        <v>1073848.8750709351</v>
      </c>
      <c r="AA73" s="22">
        <f>+L74*Resumen!$C$4</f>
        <v>1149018.2963259006</v>
      </c>
      <c r="AB73" s="22">
        <f>+M74*Resumen!$C$4</f>
        <v>1229449.5770687137</v>
      </c>
      <c r="AC73" s="25">
        <f>SUM(S73:AB73)</f>
        <v>9231368.4746605046</v>
      </c>
    </row>
    <row r="74" spans="2:30" x14ac:dyDescent="0.25">
      <c r="C74" s="12" t="s">
        <v>43</v>
      </c>
      <c r="D74" s="22">
        <f>+O13</f>
        <v>60000</v>
      </c>
      <c r="E74" s="22">
        <f>+O14</f>
        <v>65000</v>
      </c>
      <c r="F74" s="22">
        <f>+O15</f>
        <v>69550</v>
      </c>
      <c r="G74" s="22">
        <f>+O16</f>
        <v>74418.5</v>
      </c>
      <c r="H74" s="22">
        <f>+O17</f>
        <v>79627.794999999998</v>
      </c>
      <c r="I74" s="22">
        <f>+O18</f>
        <v>85201.740650000007</v>
      </c>
      <c r="J74" s="22">
        <f>+O19</f>
        <v>91165.862495500012</v>
      </c>
      <c r="K74" s="22">
        <f>+O20</f>
        <v>97547.472870185025</v>
      </c>
      <c r="L74" s="22">
        <f>+O21</f>
        <v>104375.79597109798</v>
      </c>
      <c r="M74" s="22">
        <f>+O22</f>
        <v>111682.10168907484</v>
      </c>
      <c r="N74" s="25">
        <f>SUM(D74:M74)</f>
        <v>838569.26867585792</v>
      </c>
      <c r="R74" s="12" t="s">
        <v>44</v>
      </c>
      <c r="S74" s="22">
        <f>+D75*Resumen!$C$5</f>
        <v>497059.32203389832</v>
      </c>
      <c r="T74" s="22">
        <f>+E75*Resumen!$C$5</f>
        <v>574379.66101694922</v>
      </c>
      <c r="U74" s="22">
        <f>+F75*Resumen!$C$5</f>
        <v>614586.23728813557</v>
      </c>
      <c r="V74" s="22">
        <f>+G75*Resumen!$C$5</f>
        <v>657607.27389830514</v>
      </c>
      <c r="W74" s="22">
        <f>+H75*Resumen!$C$5</f>
        <v>703639.78307118651</v>
      </c>
      <c r="X74" s="22">
        <f>+I75*Resumen!$C$5</f>
        <v>752894.56788616965</v>
      </c>
      <c r="Y74" s="22">
        <f>+J75*Resumen!$C$5</f>
        <v>805597.18763820163</v>
      </c>
      <c r="Z74" s="22">
        <f>+K75*Resumen!$C$5</f>
        <v>861988.99077287572</v>
      </c>
      <c r="AA74" s="22">
        <f>+L75*Resumen!$C$5</f>
        <v>922328.22012697719</v>
      </c>
      <c r="AB74" s="22">
        <f>+M75*Resumen!$C$5</f>
        <v>986891.19553586561</v>
      </c>
      <c r="AC74" s="25">
        <f>SUM(S74:AB74)</f>
        <v>7376972.4392685639</v>
      </c>
    </row>
    <row r="75" spans="2:30" x14ac:dyDescent="0.25">
      <c r="C75" s="12" t="s">
        <v>44</v>
      </c>
      <c r="D75" s="22">
        <f>+O28</f>
        <v>45000</v>
      </c>
      <c r="E75" s="22">
        <f>+O29</f>
        <v>52000</v>
      </c>
      <c r="F75" s="22">
        <f>+O30</f>
        <v>55640</v>
      </c>
      <c r="G75" s="22">
        <f>+O31</f>
        <v>59534.8</v>
      </c>
      <c r="H75" s="22">
        <f>+O32</f>
        <v>63702.236000000004</v>
      </c>
      <c r="I75" s="22">
        <f>+O33</f>
        <v>68161.392520000009</v>
      </c>
      <c r="J75" s="22">
        <f>+O34</f>
        <v>72932.689996400019</v>
      </c>
      <c r="K75" s="22">
        <f>+O35</f>
        <v>78037.978296148023</v>
      </c>
      <c r="L75" s="22">
        <f>+O36</f>
        <v>83500.636776878397</v>
      </c>
      <c r="M75" s="22">
        <f>+O37</f>
        <v>89345.681351259889</v>
      </c>
      <c r="N75" s="25">
        <f>SUM(D75:M75)</f>
        <v>667855.41494068631</v>
      </c>
      <c r="R75" s="12" t="s">
        <v>45</v>
      </c>
      <c r="S75" s="22">
        <f>+D76*Resumen!$C$6</f>
        <v>130442.2881355932</v>
      </c>
      <c r="T75" s="22">
        <f>+E76*Resumen!$C$6</f>
        <v>142300.67796610168</v>
      </c>
      <c r="U75" s="22">
        <f>+F76*Resumen!$C$6</f>
        <v>152261.72542372879</v>
      </c>
      <c r="V75" s="22">
        <f>+G76*Resumen!$C$6</f>
        <v>162920.04620338982</v>
      </c>
      <c r="W75" s="22">
        <f>+H76*Resumen!$C$6</f>
        <v>174324.44943762713</v>
      </c>
      <c r="X75" s="22">
        <f>+I76*Resumen!$C$6</f>
        <v>186527.16089826103</v>
      </c>
      <c r="Y75" s="22">
        <f>+J76*Resumen!$C$6</f>
        <v>199584.0621611393</v>
      </c>
      <c r="Z75" s="22">
        <f>+K76*Resumen!$C$6</f>
        <v>213554.94651241909</v>
      </c>
      <c r="AA75" s="22">
        <f>+L76*Resumen!$C$6</f>
        <v>228503.7927682884</v>
      </c>
      <c r="AB75" s="22">
        <f>+M76*Resumen!$C$6</f>
        <v>244499.0582620686</v>
      </c>
      <c r="AC75" s="25">
        <f>SUM(S75:AB75)</f>
        <v>1834918.2077686167</v>
      </c>
    </row>
    <row r="76" spans="2:30" x14ac:dyDescent="0.25">
      <c r="C76" s="12" t="s">
        <v>45</v>
      </c>
      <c r="D76" s="22">
        <f>+O43</f>
        <v>11000</v>
      </c>
      <c r="E76" s="22">
        <f>+O44</f>
        <v>12000</v>
      </c>
      <c r="F76" s="22">
        <f>+O45</f>
        <v>12840</v>
      </c>
      <c r="G76" s="22">
        <f>+O46</f>
        <v>13738.800000000001</v>
      </c>
      <c r="H76" s="22">
        <f>+O47</f>
        <v>14700.516000000001</v>
      </c>
      <c r="I76" s="22">
        <f>+O48</f>
        <v>15729.552120000002</v>
      </c>
      <c r="J76" s="22">
        <f>+O49</f>
        <v>16830.620768400004</v>
      </c>
      <c r="K76" s="22">
        <f>+O50</f>
        <v>18008.764222188005</v>
      </c>
      <c r="L76" s="22">
        <f>+O51</f>
        <v>19269.377717741165</v>
      </c>
      <c r="M76" s="22">
        <f>+O52</f>
        <v>20618.234157983046</v>
      </c>
      <c r="N76" s="25">
        <f>SUM(D76:M76)</f>
        <v>154735.86498631223</v>
      </c>
      <c r="R76" s="26" t="s">
        <v>50</v>
      </c>
      <c r="S76" s="27">
        <f>SUM(S72:S75)</f>
        <v>1288011.0847457629</v>
      </c>
      <c r="T76" s="27">
        <f t="shared" ref="T76:AC76" si="58">SUM(T72:T75)</f>
        <v>1432233.1864406778</v>
      </c>
      <c r="U76" s="27">
        <f t="shared" si="58"/>
        <v>1532490.3694915255</v>
      </c>
      <c r="V76" s="27">
        <f t="shared" si="58"/>
        <v>1639765.4853559323</v>
      </c>
      <c r="W76" s="27">
        <f t="shared" si="58"/>
        <v>1754549.7893308476</v>
      </c>
      <c r="X76" s="27">
        <f t="shared" si="58"/>
        <v>1877368.9245840071</v>
      </c>
      <c r="Y76" s="27">
        <f t="shared" si="58"/>
        <v>2008785.3293048877</v>
      </c>
      <c r="Z76" s="27">
        <f t="shared" si="58"/>
        <v>2149400.8123562299</v>
      </c>
      <c r="AA76" s="27">
        <f t="shared" si="58"/>
        <v>2299859.3092211662</v>
      </c>
      <c r="AB76" s="27">
        <f t="shared" si="58"/>
        <v>2460849.8308666479</v>
      </c>
      <c r="AC76" s="27">
        <f t="shared" si="58"/>
        <v>18443259.121697683</v>
      </c>
    </row>
    <row r="80" spans="2:30" x14ac:dyDescent="0.25">
      <c r="B80" s="358" t="s">
        <v>48</v>
      </c>
      <c r="C80" s="358"/>
      <c r="D80" s="358"/>
      <c r="E80" s="358"/>
      <c r="F80" s="358"/>
      <c r="G80" s="358"/>
      <c r="H80" s="358"/>
      <c r="I80" s="358"/>
      <c r="J80" s="358"/>
      <c r="K80" s="358"/>
      <c r="L80" s="358"/>
      <c r="M80" s="358"/>
      <c r="N80" s="358"/>
      <c r="O80" s="358"/>
      <c r="Q80" s="358" t="s">
        <v>62</v>
      </c>
      <c r="R80" s="358"/>
      <c r="S80" s="358"/>
      <c r="T80" s="358"/>
      <c r="U80" s="358"/>
      <c r="V80" s="358"/>
      <c r="W80" s="358"/>
      <c r="X80" s="358"/>
      <c r="Y80" s="358"/>
      <c r="Z80" s="358"/>
      <c r="AA80" s="358"/>
      <c r="AB80" s="358"/>
      <c r="AC80" s="358"/>
      <c r="AD80" s="358"/>
    </row>
    <row r="82" spans="2:30" x14ac:dyDescent="0.25">
      <c r="B82" s="24" t="s">
        <v>11</v>
      </c>
      <c r="C82" s="24" t="s">
        <v>12</v>
      </c>
      <c r="D82" s="24" t="s">
        <v>13</v>
      </c>
      <c r="E82" s="24" t="s">
        <v>14</v>
      </c>
      <c r="F82" s="24" t="s">
        <v>15</v>
      </c>
      <c r="G82" s="24" t="s">
        <v>16</v>
      </c>
      <c r="H82" s="24" t="s">
        <v>17</v>
      </c>
      <c r="I82" s="24" t="s">
        <v>18</v>
      </c>
      <c r="J82" s="24" t="s">
        <v>19</v>
      </c>
      <c r="K82" s="24" t="s">
        <v>20</v>
      </c>
      <c r="L82" s="24" t="s">
        <v>21</v>
      </c>
      <c r="M82" s="24" t="s">
        <v>22</v>
      </c>
      <c r="N82" s="24" t="s">
        <v>23</v>
      </c>
      <c r="O82" s="24" t="s">
        <v>24</v>
      </c>
      <c r="Q82" s="24" t="s">
        <v>11</v>
      </c>
      <c r="R82" s="24" t="s">
        <v>12</v>
      </c>
      <c r="S82" s="24" t="s">
        <v>13</v>
      </c>
      <c r="T82" s="24" t="s">
        <v>14</v>
      </c>
      <c r="U82" s="24" t="s">
        <v>15</v>
      </c>
      <c r="V82" s="24" t="s">
        <v>16</v>
      </c>
      <c r="W82" s="24" t="s">
        <v>17</v>
      </c>
      <c r="X82" s="24" t="s">
        <v>18</v>
      </c>
      <c r="Y82" s="24" t="s">
        <v>19</v>
      </c>
      <c r="Z82" s="24" t="s">
        <v>20</v>
      </c>
      <c r="AA82" s="24" t="s">
        <v>21</v>
      </c>
      <c r="AB82" s="24" t="s">
        <v>22</v>
      </c>
      <c r="AC82" s="24" t="s">
        <v>23</v>
      </c>
      <c r="AD82" s="24" t="s">
        <v>24</v>
      </c>
    </row>
    <row r="83" spans="2:30" x14ac:dyDescent="0.25">
      <c r="B83" s="12">
        <v>1</v>
      </c>
      <c r="C83" s="22">
        <f t="shared" ref="C83:N83" si="59">+ROUND($O$83*C4,0)</f>
        <v>50</v>
      </c>
      <c r="D83" s="22">
        <f t="shared" si="59"/>
        <v>50</v>
      </c>
      <c r="E83" s="22">
        <f t="shared" si="59"/>
        <v>51</v>
      </c>
      <c r="F83" s="22">
        <f t="shared" si="59"/>
        <v>51</v>
      </c>
      <c r="G83" s="22">
        <f t="shared" si="59"/>
        <v>50</v>
      </c>
      <c r="H83" s="22">
        <f t="shared" si="59"/>
        <v>49</v>
      </c>
      <c r="I83" s="22">
        <f t="shared" si="59"/>
        <v>90</v>
      </c>
      <c r="J83" s="22">
        <f t="shared" si="59"/>
        <v>53</v>
      </c>
      <c r="K83" s="22">
        <f t="shared" si="59"/>
        <v>54</v>
      </c>
      <c r="L83" s="22">
        <f t="shared" si="59"/>
        <v>54</v>
      </c>
      <c r="M83" s="22">
        <f t="shared" si="59"/>
        <v>59</v>
      </c>
      <c r="N83" s="22">
        <f t="shared" si="59"/>
        <v>95</v>
      </c>
      <c r="O83" s="28">
        <v>706</v>
      </c>
      <c r="Q83" s="12">
        <v>1</v>
      </c>
      <c r="R83" s="22">
        <f>+C83*Resumen!$C$14</f>
        <v>750</v>
      </c>
      <c r="S83" s="22">
        <f>+D83*Resumen!$C$14</f>
        <v>750</v>
      </c>
      <c r="T83" s="22">
        <f>+E83*Resumen!$C$14</f>
        <v>765</v>
      </c>
      <c r="U83" s="22">
        <f>+F83*Resumen!$C$14</f>
        <v>765</v>
      </c>
      <c r="V83" s="22">
        <f>+G83*Resumen!$C$14</f>
        <v>750</v>
      </c>
      <c r="W83" s="22">
        <f>+H83*Resumen!$C$14</f>
        <v>735</v>
      </c>
      <c r="X83" s="22">
        <f>+I83*Resumen!$C$14</f>
        <v>1350</v>
      </c>
      <c r="Y83" s="22">
        <f>+J83*Resumen!$C$14</f>
        <v>795</v>
      </c>
      <c r="Z83" s="22">
        <f>+K83*Resumen!$C$14</f>
        <v>810</v>
      </c>
      <c r="AA83" s="22">
        <f>+L83*Resumen!$C$14</f>
        <v>810</v>
      </c>
      <c r="AB83" s="22">
        <f>+M83*Resumen!$C$14</f>
        <v>885</v>
      </c>
      <c r="AC83" s="22">
        <f>+N83*Resumen!$C$14</f>
        <v>1425</v>
      </c>
      <c r="AD83" s="28">
        <f t="shared" ref="AD83:AD92" si="60">SUM(R83:AC83)</f>
        <v>10590</v>
      </c>
    </row>
    <row r="84" spans="2:30" x14ac:dyDescent="0.25">
      <c r="B84" s="12">
        <v>2</v>
      </c>
      <c r="C84" s="22">
        <f t="shared" ref="C84:N84" si="61">+ROUND($O$84*C4,0)</f>
        <v>53</v>
      </c>
      <c r="D84" s="22">
        <f t="shared" si="61"/>
        <v>54</v>
      </c>
      <c r="E84" s="22">
        <f t="shared" si="61"/>
        <v>54</v>
      </c>
      <c r="F84" s="22">
        <f t="shared" si="61"/>
        <v>54</v>
      </c>
      <c r="G84" s="22">
        <f t="shared" si="61"/>
        <v>54</v>
      </c>
      <c r="H84" s="22">
        <f t="shared" si="61"/>
        <v>53</v>
      </c>
      <c r="I84" s="22">
        <f t="shared" si="61"/>
        <v>96</v>
      </c>
      <c r="J84" s="22">
        <f t="shared" si="61"/>
        <v>57</v>
      </c>
      <c r="K84" s="22">
        <f t="shared" si="61"/>
        <v>58</v>
      </c>
      <c r="L84" s="22">
        <f t="shared" si="61"/>
        <v>58</v>
      </c>
      <c r="M84" s="22">
        <f t="shared" si="61"/>
        <v>63</v>
      </c>
      <c r="N84" s="22">
        <f t="shared" si="61"/>
        <v>101</v>
      </c>
      <c r="O84" s="28">
        <f>+ROUND(O83*(1+$D$6),0)</f>
        <v>755</v>
      </c>
      <c r="Q84" s="12">
        <v>2</v>
      </c>
      <c r="R84" s="22">
        <f>+C84*Resumen!$C$14</f>
        <v>795</v>
      </c>
      <c r="S84" s="22">
        <f>+D84*Resumen!$C$14</f>
        <v>810</v>
      </c>
      <c r="T84" s="22">
        <f>+E84*Resumen!$C$14</f>
        <v>810</v>
      </c>
      <c r="U84" s="22">
        <f>+F84*Resumen!$C$14</f>
        <v>810</v>
      </c>
      <c r="V84" s="22">
        <f>+G84*Resumen!$C$14</f>
        <v>810</v>
      </c>
      <c r="W84" s="22">
        <f>+H84*Resumen!$C$14</f>
        <v>795</v>
      </c>
      <c r="X84" s="22">
        <f>+I84*Resumen!$C$14</f>
        <v>1440</v>
      </c>
      <c r="Y84" s="22">
        <f>+J84*Resumen!$C$14</f>
        <v>855</v>
      </c>
      <c r="Z84" s="22">
        <f>+K84*Resumen!$C$14</f>
        <v>870</v>
      </c>
      <c r="AA84" s="22">
        <f>+L84*Resumen!$C$14</f>
        <v>870</v>
      </c>
      <c r="AB84" s="22">
        <f>+M84*Resumen!$C$14</f>
        <v>945</v>
      </c>
      <c r="AC84" s="22">
        <f>+N84*Resumen!$C$14</f>
        <v>1515</v>
      </c>
      <c r="AD84" s="28">
        <f t="shared" si="60"/>
        <v>11325</v>
      </c>
    </row>
    <row r="85" spans="2:30" x14ac:dyDescent="0.25">
      <c r="B85" s="12">
        <v>3</v>
      </c>
      <c r="C85" s="22">
        <f t="shared" ref="C85:N85" si="62">+ROUND($O$85*C4,0)</f>
        <v>57</v>
      </c>
      <c r="D85" s="22">
        <f t="shared" si="62"/>
        <v>57</v>
      </c>
      <c r="E85" s="22">
        <f t="shared" si="62"/>
        <v>58</v>
      </c>
      <c r="F85" s="22">
        <f t="shared" si="62"/>
        <v>58</v>
      </c>
      <c r="G85" s="22">
        <f t="shared" si="62"/>
        <v>57</v>
      </c>
      <c r="H85" s="22">
        <f t="shared" si="62"/>
        <v>56</v>
      </c>
      <c r="I85" s="22">
        <f t="shared" si="62"/>
        <v>103</v>
      </c>
      <c r="J85" s="22">
        <f t="shared" si="62"/>
        <v>61</v>
      </c>
      <c r="K85" s="22">
        <f t="shared" si="62"/>
        <v>62</v>
      </c>
      <c r="L85" s="22">
        <f t="shared" si="62"/>
        <v>62</v>
      </c>
      <c r="M85" s="22">
        <f t="shared" si="62"/>
        <v>68</v>
      </c>
      <c r="N85" s="22">
        <f t="shared" si="62"/>
        <v>108</v>
      </c>
      <c r="O85" s="28">
        <f t="shared" ref="O85:O92" si="63">+ROUND(O84*(1+$D$6),0)</f>
        <v>808</v>
      </c>
      <c r="Q85" s="12">
        <v>3</v>
      </c>
      <c r="R85" s="22">
        <f>+C85*Resumen!$C$14</f>
        <v>855</v>
      </c>
      <c r="S85" s="22">
        <f>+D85*Resumen!$C$14</f>
        <v>855</v>
      </c>
      <c r="T85" s="22">
        <f>+E85*Resumen!$C$14</f>
        <v>870</v>
      </c>
      <c r="U85" s="22">
        <f>+F85*Resumen!$C$14</f>
        <v>870</v>
      </c>
      <c r="V85" s="22">
        <f>+G85*Resumen!$C$14</f>
        <v>855</v>
      </c>
      <c r="W85" s="22">
        <f>+H85*Resumen!$C$14</f>
        <v>840</v>
      </c>
      <c r="X85" s="22">
        <f>+I85*Resumen!$C$14</f>
        <v>1545</v>
      </c>
      <c r="Y85" s="22">
        <f>+J85*Resumen!$C$14</f>
        <v>915</v>
      </c>
      <c r="Z85" s="22">
        <f>+K85*Resumen!$C$14</f>
        <v>930</v>
      </c>
      <c r="AA85" s="22">
        <f>+L85*Resumen!$C$14</f>
        <v>930</v>
      </c>
      <c r="AB85" s="22">
        <f>+M85*Resumen!$C$14</f>
        <v>1020</v>
      </c>
      <c r="AC85" s="22">
        <f>+N85*Resumen!$C$14</f>
        <v>1620</v>
      </c>
      <c r="AD85" s="28">
        <f t="shared" si="60"/>
        <v>12105</v>
      </c>
    </row>
    <row r="86" spans="2:30" x14ac:dyDescent="0.25">
      <c r="B86" s="12">
        <v>4</v>
      </c>
      <c r="C86" s="22">
        <f t="shared" ref="C86:N86" si="64">+ROUND($O$86*C4,0)</f>
        <v>61</v>
      </c>
      <c r="D86" s="22">
        <f t="shared" si="64"/>
        <v>61</v>
      </c>
      <c r="E86" s="22">
        <f t="shared" si="64"/>
        <v>62</v>
      </c>
      <c r="F86" s="22">
        <f t="shared" si="64"/>
        <v>62</v>
      </c>
      <c r="G86" s="22">
        <f t="shared" si="64"/>
        <v>61</v>
      </c>
      <c r="H86" s="22">
        <f t="shared" si="64"/>
        <v>60</v>
      </c>
      <c r="I86" s="22">
        <f t="shared" si="64"/>
        <v>110</v>
      </c>
      <c r="J86" s="22">
        <f t="shared" si="64"/>
        <v>65</v>
      </c>
      <c r="K86" s="22">
        <f t="shared" si="64"/>
        <v>66</v>
      </c>
      <c r="L86" s="22">
        <f t="shared" si="64"/>
        <v>66</v>
      </c>
      <c r="M86" s="22">
        <f t="shared" si="64"/>
        <v>72</v>
      </c>
      <c r="N86" s="22">
        <f t="shared" si="64"/>
        <v>116</v>
      </c>
      <c r="O86" s="28">
        <f t="shared" si="63"/>
        <v>865</v>
      </c>
      <c r="Q86" s="12">
        <v>4</v>
      </c>
      <c r="R86" s="22">
        <f>+C86*Resumen!$C$14</f>
        <v>915</v>
      </c>
      <c r="S86" s="22">
        <f>+D86*Resumen!$C$14</f>
        <v>915</v>
      </c>
      <c r="T86" s="22">
        <f>+E86*Resumen!$C$14</f>
        <v>930</v>
      </c>
      <c r="U86" s="22">
        <f>+F86*Resumen!$C$14</f>
        <v>930</v>
      </c>
      <c r="V86" s="22">
        <f>+G86*Resumen!$C$14</f>
        <v>915</v>
      </c>
      <c r="W86" s="22">
        <f>+H86*Resumen!$C$14</f>
        <v>900</v>
      </c>
      <c r="X86" s="22">
        <f>+I86*Resumen!$C$14</f>
        <v>1650</v>
      </c>
      <c r="Y86" s="22">
        <f>+J86*Resumen!$C$14</f>
        <v>975</v>
      </c>
      <c r="Z86" s="22">
        <f>+K86*Resumen!$C$14</f>
        <v>990</v>
      </c>
      <c r="AA86" s="22">
        <f>+L86*Resumen!$C$14</f>
        <v>990</v>
      </c>
      <c r="AB86" s="22">
        <f>+M86*Resumen!$C$14</f>
        <v>1080</v>
      </c>
      <c r="AC86" s="22">
        <f>+N86*Resumen!$C$14</f>
        <v>1740</v>
      </c>
      <c r="AD86" s="28">
        <f t="shared" si="60"/>
        <v>12930</v>
      </c>
    </row>
    <row r="87" spans="2:30" x14ac:dyDescent="0.25">
      <c r="B87" s="12">
        <v>5</v>
      </c>
      <c r="C87" s="22">
        <f t="shared" ref="C87:N87" si="65">+ROUND($O$87*C4,0)</f>
        <v>65</v>
      </c>
      <c r="D87" s="22">
        <f t="shared" si="65"/>
        <v>66</v>
      </c>
      <c r="E87" s="22">
        <f t="shared" si="65"/>
        <v>67</v>
      </c>
      <c r="F87" s="22">
        <f t="shared" si="65"/>
        <v>67</v>
      </c>
      <c r="G87" s="22">
        <f t="shared" si="65"/>
        <v>66</v>
      </c>
      <c r="H87" s="22">
        <f t="shared" si="65"/>
        <v>65</v>
      </c>
      <c r="I87" s="22">
        <f t="shared" si="65"/>
        <v>118</v>
      </c>
      <c r="J87" s="22">
        <f t="shared" si="65"/>
        <v>70</v>
      </c>
      <c r="K87" s="22">
        <f t="shared" si="65"/>
        <v>71</v>
      </c>
      <c r="L87" s="22">
        <f t="shared" si="65"/>
        <v>71</v>
      </c>
      <c r="M87" s="22">
        <f t="shared" si="65"/>
        <v>78</v>
      </c>
      <c r="N87" s="22">
        <f t="shared" si="65"/>
        <v>124</v>
      </c>
      <c r="O87" s="28">
        <f t="shared" si="63"/>
        <v>926</v>
      </c>
      <c r="Q87" s="12">
        <v>5</v>
      </c>
      <c r="R87" s="22">
        <f>+C87*Resumen!$C$14</f>
        <v>975</v>
      </c>
      <c r="S87" s="22">
        <f>+D87*Resumen!$C$14</f>
        <v>990</v>
      </c>
      <c r="T87" s="22">
        <f>+E87*Resumen!$C$14</f>
        <v>1005</v>
      </c>
      <c r="U87" s="22">
        <f>+F87*Resumen!$C$14</f>
        <v>1005</v>
      </c>
      <c r="V87" s="22">
        <f>+G87*Resumen!$C$14</f>
        <v>990</v>
      </c>
      <c r="W87" s="22">
        <f>+H87*Resumen!$C$14</f>
        <v>975</v>
      </c>
      <c r="X87" s="22">
        <f>+I87*Resumen!$C$14</f>
        <v>1770</v>
      </c>
      <c r="Y87" s="22">
        <f>+J87*Resumen!$C$14</f>
        <v>1050</v>
      </c>
      <c r="Z87" s="22">
        <f>+K87*Resumen!$C$14</f>
        <v>1065</v>
      </c>
      <c r="AA87" s="22">
        <f>+L87*Resumen!$C$14</f>
        <v>1065</v>
      </c>
      <c r="AB87" s="22">
        <f>+M87*Resumen!$C$14</f>
        <v>1170</v>
      </c>
      <c r="AC87" s="22">
        <f>+N87*Resumen!$C$14</f>
        <v>1860</v>
      </c>
      <c r="AD87" s="28">
        <f t="shared" si="60"/>
        <v>13920</v>
      </c>
    </row>
    <row r="88" spans="2:30" x14ac:dyDescent="0.25">
      <c r="B88" s="12">
        <v>6</v>
      </c>
      <c r="C88" s="22">
        <f t="shared" ref="C88:N88" si="66">+ROUND($O$88*C4,0)</f>
        <v>70</v>
      </c>
      <c r="D88" s="22">
        <f t="shared" si="66"/>
        <v>70</v>
      </c>
      <c r="E88" s="22">
        <f t="shared" si="66"/>
        <v>71</v>
      </c>
      <c r="F88" s="22">
        <f t="shared" si="66"/>
        <v>71</v>
      </c>
      <c r="G88" s="22">
        <f t="shared" si="66"/>
        <v>70</v>
      </c>
      <c r="H88" s="22">
        <f t="shared" si="66"/>
        <v>69</v>
      </c>
      <c r="I88" s="22">
        <f t="shared" si="66"/>
        <v>126</v>
      </c>
      <c r="J88" s="22">
        <f t="shared" si="66"/>
        <v>75</v>
      </c>
      <c r="K88" s="22">
        <f t="shared" si="66"/>
        <v>76</v>
      </c>
      <c r="L88" s="22">
        <f t="shared" si="66"/>
        <v>76</v>
      </c>
      <c r="M88" s="22">
        <f t="shared" si="66"/>
        <v>83</v>
      </c>
      <c r="N88" s="22">
        <f t="shared" si="66"/>
        <v>133</v>
      </c>
      <c r="O88" s="28">
        <f t="shared" si="63"/>
        <v>991</v>
      </c>
      <c r="Q88" s="12">
        <v>6</v>
      </c>
      <c r="R88" s="22">
        <f>+C88*Resumen!$C$14</f>
        <v>1050</v>
      </c>
      <c r="S88" s="22">
        <f>+D88*Resumen!$C$14</f>
        <v>1050</v>
      </c>
      <c r="T88" s="22">
        <f>+E88*Resumen!$C$14</f>
        <v>1065</v>
      </c>
      <c r="U88" s="22">
        <f>+F88*Resumen!$C$14</f>
        <v>1065</v>
      </c>
      <c r="V88" s="22">
        <f>+G88*Resumen!$C$14</f>
        <v>1050</v>
      </c>
      <c r="W88" s="22">
        <f>+H88*Resumen!$C$14</f>
        <v>1035</v>
      </c>
      <c r="X88" s="22">
        <f>+I88*Resumen!$C$14</f>
        <v>1890</v>
      </c>
      <c r="Y88" s="22">
        <f>+J88*Resumen!$C$14</f>
        <v>1125</v>
      </c>
      <c r="Z88" s="22">
        <f>+K88*Resumen!$C$14</f>
        <v>1140</v>
      </c>
      <c r="AA88" s="22">
        <f>+L88*Resumen!$C$14</f>
        <v>1140</v>
      </c>
      <c r="AB88" s="22">
        <f>+M88*Resumen!$C$14</f>
        <v>1245</v>
      </c>
      <c r="AC88" s="22">
        <f>+N88*Resumen!$C$14</f>
        <v>1995</v>
      </c>
      <c r="AD88" s="28">
        <f t="shared" si="60"/>
        <v>14850</v>
      </c>
    </row>
    <row r="89" spans="2:30" x14ac:dyDescent="0.25">
      <c r="B89" s="12">
        <v>7</v>
      </c>
      <c r="C89" s="22">
        <f t="shared" ref="C89:N89" si="67">+ROUND($O$89*C4,0)</f>
        <v>75</v>
      </c>
      <c r="D89" s="22">
        <f t="shared" si="67"/>
        <v>75</v>
      </c>
      <c r="E89" s="22">
        <f t="shared" si="67"/>
        <v>76</v>
      </c>
      <c r="F89" s="22">
        <f t="shared" si="67"/>
        <v>76</v>
      </c>
      <c r="G89" s="22">
        <f t="shared" si="67"/>
        <v>75</v>
      </c>
      <c r="H89" s="22">
        <f t="shared" si="67"/>
        <v>74</v>
      </c>
      <c r="I89" s="22">
        <f t="shared" si="67"/>
        <v>135</v>
      </c>
      <c r="J89" s="22">
        <f t="shared" si="67"/>
        <v>80</v>
      </c>
      <c r="K89" s="22">
        <f t="shared" si="67"/>
        <v>81</v>
      </c>
      <c r="L89" s="22">
        <f t="shared" si="67"/>
        <v>81</v>
      </c>
      <c r="M89" s="22">
        <f t="shared" si="67"/>
        <v>89</v>
      </c>
      <c r="N89" s="22">
        <f t="shared" si="67"/>
        <v>142</v>
      </c>
      <c r="O89" s="28">
        <f t="shared" si="63"/>
        <v>1060</v>
      </c>
      <c r="Q89" s="12">
        <v>7</v>
      </c>
      <c r="R89" s="22">
        <f>+C89*Resumen!$C$14</f>
        <v>1125</v>
      </c>
      <c r="S89" s="22">
        <f>+D89*Resumen!$C$14</f>
        <v>1125</v>
      </c>
      <c r="T89" s="22">
        <f>+E89*Resumen!$C$14</f>
        <v>1140</v>
      </c>
      <c r="U89" s="22">
        <f>+F89*Resumen!$C$14</f>
        <v>1140</v>
      </c>
      <c r="V89" s="22">
        <f>+G89*Resumen!$C$14</f>
        <v>1125</v>
      </c>
      <c r="W89" s="22">
        <f>+H89*Resumen!$C$14</f>
        <v>1110</v>
      </c>
      <c r="X89" s="22">
        <f>+I89*Resumen!$C$14</f>
        <v>2025</v>
      </c>
      <c r="Y89" s="22">
        <f>+J89*Resumen!$C$14</f>
        <v>1200</v>
      </c>
      <c r="Z89" s="22">
        <f>+K89*Resumen!$C$14</f>
        <v>1215</v>
      </c>
      <c r="AA89" s="22">
        <f>+L89*Resumen!$C$14</f>
        <v>1215</v>
      </c>
      <c r="AB89" s="22">
        <f>+M89*Resumen!$C$14</f>
        <v>1335</v>
      </c>
      <c r="AC89" s="22">
        <f>+N89*Resumen!$C$14</f>
        <v>2130</v>
      </c>
      <c r="AD89" s="28">
        <f t="shared" si="60"/>
        <v>15885</v>
      </c>
    </row>
    <row r="90" spans="2:30" x14ac:dyDescent="0.25">
      <c r="B90" s="12">
        <v>8</v>
      </c>
      <c r="C90" s="22">
        <f t="shared" ref="C90:N90" si="68">+ROUND($O$90*C4,0)</f>
        <v>80</v>
      </c>
      <c r="D90" s="22">
        <f t="shared" si="68"/>
        <v>81</v>
      </c>
      <c r="E90" s="22">
        <f t="shared" si="68"/>
        <v>82</v>
      </c>
      <c r="F90" s="22">
        <f t="shared" si="68"/>
        <v>82</v>
      </c>
      <c r="G90" s="22">
        <f t="shared" si="68"/>
        <v>81</v>
      </c>
      <c r="H90" s="22">
        <f t="shared" si="68"/>
        <v>79</v>
      </c>
      <c r="I90" s="22">
        <f t="shared" si="68"/>
        <v>144</v>
      </c>
      <c r="J90" s="22">
        <f t="shared" si="68"/>
        <v>86</v>
      </c>
      <c r="K90" s="22">
        <f t="shared" si="68"/>
        <v>87</v>
      </c>
      <c r="L90" s="22">
        <f t="shared" si="68"/>
        <v>87</v>
      </c>
      <c r="M90" s="22">
        <f t="shared" si="68"/>
        <v>95</v>
      </c>
      <c r="N90" s="22">
        <f t="shared" si="68"/>
        <v>152</v>
      </c>
      <c r="O90" s="28">
        <f t="shared" si="63"/>
        <v>1134</v>
      </c>
      <c r="Q90" s="12">
        <v>8</v>
      </c>
      <c r="R90" s="22">
        <f>+C90*Resumen!$C$14</f>
        <v>1200</v>
      </c>
      <c r="S90" s="22">
        <f>+D90*Resumen!$C$14</f>
        <v>1215</v>
      </c>
      <c r="T90" s="22">
        <f>+E90*Resumen!$C$14</f>
        <v>1230</v>
      </c>
      <c r="U90" s="22">
        <f>+F90*Resumen!$C$14</f>
        <v>1230</v>
      </c>
      <c r="V90" s="22">
        <f>+G90*Resumen!$C$14</f>
        <v>1215</v>
      </c>
      <c r="W90" s="22">
        <f>+H90*Resumen!$C$14</f>
        <v>1185</v>
      </c>
      <c r="X90" s="22">
        <f>+I90*Resumen!$C$14</f>
        <v>2160</v>
      </c>
      <c r="Y90" s="22">
        <f>+J90*Resumen!$C$14</f>
        <v>1290</v>
      </c>
      <c r="Z90" s="22">
        <f>+K90*Resumen!$C$14</f>
        <v>1305</v>
      </c>
      <c r="AA90" s="22">
        <f>+L90*Resumen!$C$14</f>
        <v>1305</v>
      </c>
      <c r="AB90" s="22">
        <f>+M90*Resumen!$C$14</f>
        <v>1425</v>
      </c>
      <c r="AC90" s="22">
        <f>+N90*Resumen!$C$14</f>
        <v>2280</v>
      </c>
      <c r="AD90" s="28">
        <f t="shared" si="60"/>
        <v>17040</v>
      </c>
    </row>
    <row r="91" spans="2:30" x14ac:dyDescent="0.25">
      <c r="B91" s="12">
        <v>9</v>
      </c>
      <c r="C91" s="22">
        <f t="shared" ref="C91:N91" si="69">+ROUND($O$91*C4,0)</f>
        <v>85</v>
      </c>
      <c r="D91" s="22">
        <f t="shared" si="69"/>
        <v>86</v>
      </c>
      <c r="E91" s="22">
        <f t="shared" si="69"/>
        <v>87</v>
      </c>
      <c r="F91" s="22">
        <f t="shared" si="69"/>
        <v>87</v>
      </c>
      <c r="G91" s="22">
        <f t="shared" si="69"/>
        <v>86</v>
      </c>
      <c r="H91" s="22">
        <f t="shared" si="69"/>
        <v>85</v>
      </c>
      <c r="I91" s="22">
        <f t="shared" si="69"/>
        <v>154</v>
      </c>
      <c r="J91" s="22">
        <f t="shared" si="69"/>
        <v>92</v>
      </c>
      <c r="K91" s="22">
        <f t="shared" si="69"/>
        <v>93</v>
      </c>
      <c r="L91" s="22">
        <f t="shared" si="69"/>
        <v>93</v>
      </c>
      <c r="M91" s="22">
        <f t="shared" si="69"/>
        <v>102</v>
      </c>
      <c r="N91" s="22">
        <f t="shared" si="69"/>
        <v>163</v>
      </c>
      <c r="O91" s="28">
        <f t="shared" si="63"/>
        <v>1213</v>
      </c>
      <c r="Q91" s="12">
        <v>9</v>
      </c>
      <c r="R91" s="22">
        <f>+C91*Resumen!$C$14</f>
        <v>1275</v>
      </c>
      <c r="S91" s="22">
        <f>+D91*Resumen!$C$14</f>
        <v>1290</v>
      </c>
      <c r="T91" s="22">
        <f>+E91*Resumen!$C$14</f>
        <v>1305</v>
      </c>
      <c r="U91" s="22">
        <f>+F91*Resumen!$C$14</f>
        <v>1305</v>
      </c>
      <c r="V91" s="22">
        <f>+G91*Resumen!$C$14</f>
        <v>1290</v>
      </c>
      <c r="W91" s="22">
        <f>+H91*Resumen!$C$14</f>
        <v>1275</v>
      </c>
      <c r="X91" s="22">
        <f>+I91*Resumen!$C$14</f>
        <v>2310</v>
      </c>
      <c r="Y91" s="22">
        <f>+J91*Resumen!$C$14</f>
        <v>1380</v>
      </c>
      <c r="Z91" s="22">
        <f>+K91*Resumen!$C$14</f>
        <v>1395</v>
      </c>
      <c r="AA91" s="22">
        <f>+L91*Resumen!$C$14</f>
        <v>1395</v>
      </c>
      <c r="AB91" s="22">
        <f>+M91*Resumen!$C$14</f>
        <v>1530</v>
      </c>
      <c r="AC91" s="22">
        <f>+N91*Resumen!$C$14</f>
        <v>2445</v>
      </c>
      <c r="AD91" s="28">
        <f t="shared" si="60"/>
        <v>18195</v>
      </c>
    </row>
    <row r="92" spans="2:30" x14ac:dyDescent="0.25">
      <c r="B92" s="12">
        <v>10</v>
      </c>
      <c r="C92" s="22">
        <f t="shared" ref="C92:N92" si="70">+ROUND($O$92*C4,0)</f>
        <v>91</v>
      </c>
      <c r="D92" s="22">
        <f t="shared" si="70"/>
        <v>92</v>
      </c>
      <c r="E92" s="22">
        <f t="shared" si="70"/>
        <v>93</v>
      </c>
      <c r="F92" s="22">
        <f t="shared" si="70"/>
        <v>94</v>
      </c>
      <c r="G92" s="22">
        <f t="shared" si="70"/>
        <v>92</v>
      </c>
      <c r="H92" s="22">
        <f t="shared" si="70"/>
        <v>91</v>
      </c>
      <c r="I92" s="22">
        <f t="shared" si="70"/>
        <v>165</v>
      </c>
      <c r="J92" s="22">
        <f t="shared" si="70"/>
        <v>98</v>
      </c>
      <c r="K92" s="22">
        <f t="shared" si="70"/>
        <v>99</v>
      </c>
      <c r="L92" s="22">
        <f t="shared" si="70"/>
        <v>99</v>
      </c>
      <c r="M92" s="22">
        <f t="shared" si="70"/>
        <v>109</v>
      </c>
      <c r="N92" s="22">
        <f t="shared" si="70"/>
        <v>174</v>
      </c>
      <c r="O92" s="28">
        <f t="shared" si="63"/>
        <v>1298</v>
      </c>
      <c r="Q92" s="12">
        <v>10</v>
      </c>
      <c r="R92" s="22">
        <f>+C92*Resumen!$C$14</f>
        <v>1365</v>
      </c>
      <c r="S92" s="22">
        <f>+D92*Resumen!$C$14</f>
        <v>1380</v>
      </c>
      <c r="T92" s="22">
        <f>+E92*Resumen!$C$14</f>
        <v>1395</v>
      </c>
      <c r="U92" s="22">
        <f>+F92*Resumen!$C$14</f>
        <v>1410</v>
      </c>
      <c r="V92" s="22">
        <f>+G92*Resumen!$C$14</f>
        <v>1380</v>
      </c>
      <c r="W92" s="22">
        <f>+H92*Resumen!$C$14</f>
        <v>1365</v>
      </c>
      <c r="X92" s="22">
        <f>+I92*Resumen!$C$14</f>
        <v>2475</v>
      </c>
      <c r="Y92" s="22">
        <f>+J92*Resumen!$C$14</f>
        <v>1470</v>
      </c>
      <c r="Z92" s="22">
        <f>+K92*Resumen!$C$14</f>
        <v>1485</v>
      </c>
      <c r="AA92" s="22">
        <f>+L92*Resumen!$C$14</f>
        <v>1485</v>
      </c>
      <c r="AB92" s="22">
        <f>+M92*Resumen!$C$14</f>
        <v>1635</v>
      </c>
      <c r="AC92" s="22">
        <f>+N92*Resumen!$C$14</f>
        <v>2610</v>
      </c>
      <c r="AD92" s="28">
        <f t="shared" si="60"/>
        <v>19455</v>
      </c>
    </row>
    <row r="95" spans="2:30" x14ac:dyDescent="0.25">
      <c r="C95" s="358" t="s">
        <v>61</v>
      </c>
      <c r="D95" s="358"/>
      <c r="E95" s="358"/>
      <c r="F95" s="358"/>
      <c r="G95" s="358"/>
      <c r="H95" s="358"/>
      <c r="I95" s="358"/>
      <c r="J95" s="358"/>
      <c r="K95" s="358"/>
      <c r="L95" s="358"/>
      <c r="M95" s="358"/>
      <c r="N95" s="358"/>
      <c r="R95" s="358" t="s">
        <v>53</v>
      </c>
      <c r="S95" s="358"/>
      <c r="T95" s="358"/>
      <c r="U95" s="358"/>
      <c r="V95" s="358"/>
      <c r="W95" s="358"/>
      <c r="X95" s="358"/>
      <c r="Y95" s="358"/>
      <c r="Z95" s="358"/>
      <c r="AA95" s="358"/>
      <c r="AB95" s="358"/>
      <c r="AC95" s="358"/>
    </row>
    <row r="96" spans="2:30" x14ac:dyDescent="0.25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 spans="3:29" x14ac:dyDescent="0.25">
      <c r="C97" s="24" t="s">
        <v>46</v>
      </c>
      <c r="D97" s="24">
        <v>1</v>
      </c>
      <c r="E97" s="24">
        <v>2</v>
      </c>
      <c r="F97" s="24">
        <v>3</v>
      </c>
      <c r="G97" s="24">
        <v>4</v>
      </c>
      <c r="H97" s="24">
        <v>5</v>
      </c>
      <c r="I97" s="24">
        <v>6</v>
      </c>
      <c r="J97" s="24">
        <v>7</v>
      </c>
      <c r="K97" s="24">
        <v>8</v>
      </c>
      <c r="L97" s="24">
        <v>9</v>
      </c>
      <c r="M97" s="24">
        <v>10</v>
      </c>
      <c r="N97" s="24" t="s">
        <v>47</v>
      </c>
      <c r="R97" s="24" t="s">
        <v>46</v>
      </c>
      <c r="S97" s="24">
        <v>1</v>
      </c>
      <c r="T97" s="24">
        <v>2</v>
      </c>
      <c r="U97" s="24">
        <v>3</v>
      </c>
      <c r="V97" s="24">
        <v>4</v>
      </c>
      <c r="W97" s="24">
        <v>5</v>
      </c>
      <c r="X97" s="24">
        <v>6</v>
      </c>
      <c r="Y97" s="24">
        <v>7</v>
      </c>
      <c r="Z97" s="24">
        <v>8</v>
      </c>
      <c r="AA97" s="24">
        <v>9</v>
      </c>
      <c r="AB97" s="24">
        <v>10</v>
      </c>
      <c r="AC97" s="24" t="s">
        <v>47</v>
      </c>
    </row>
    <row r="98" spans="3:29" x14ac:dyDescent="0.25">
      <c r="C98" s="12" t="s">
        <v>49</v>
      </c>
      <c r="D98" s="22">
        <f>+O83</f>
        <v>706</v>
      </c>
      <c r="E98" s="22">
        <f>+O84</f>
        <v>755</v>
      </c>
      <c r="F98" s="22">
        <f>+O85</f>
        <v>808</v>
      </c>
      <c r="G98" s="22">
        <f>+O86</f>
        <v>865</v>
      </c>
      <c r="H98" s="22">
        <f>+O87</f>
        <v>926</v>
      </c>
      <c r="I98" s="22">
        <f>+O88</f>
        <v>991</v>
      </c>
      <c r="J98" s="22">
        <f>+O89</f>
        <v>1060</v>
      </c>
      <c r="K98" s="22">
        <f>+O90</f>
        <v>1134</v>
      </c>
      <c r="L98" s="22">
        <f>+O91</f>
        <v>1213</v>
      </c>
      <c r="M98" s="22">
        <f>+O92</f>
        <v>1298</v>
      </c>
      <c r="N98" s="25">
        <f>SUM(D98:M98)</f>
        <v>9756</v>
      </c>
      <c r="R98" s="12" t="s">
        <v>49</v>
      </c>
      <c r="S98" s="22">
        <f>+D98*Resumen!$C$14</f>
        <v>10590</v>
      </c>
      <c r="T98" s="22">
        <f>+E98*Resumen!$C$14</f>
        <v>11325</v>
      </c>
      <c r="U98" s="22">
        <f>+F98*Resumen!$C$14</f>
        <v>12120</v>
      </c>
      <c r="V98" s="22">
        <f>+G98*Resumen!$C$14</f>
        <v>12975</v>
      </c>
      <c r="W98" s="22">
        <f>+H98*Resumen!$C$14</f>
        <v>13890</v>
      </c>
      <c r="X98" s="22">
        <f>+I98*Resumen!$C$14</f>
        <v>14865</v>
      </c>
      <c r="Y98" s="22">
        <f>+J98*Resumen!$C$14</f>
        <v>15900</v>
      </c>
      <c r="Z98" s="22">
        <f>+K98*Resumen!$C$14</f>
        <v>17010</v>
      </c>
      <c r="AA98" s="22">
        <f>+L98*Resumen!$C$14</f>
        <v>18195</v>
      </c>
      <c r="AB98" s="22">
        <f>+M98*Resumen!$C$14</f>
        <v>19470</v>
      </c>
      <c r="AC98" s="25">
        <f>SUM(S98:AB98)</f>
        <v>146340</v>
      </c>
    </row>
    <row r="102" spans="3:29" x14ac:dyDescent="0.25">
      <c r="J102" s="359" t="s">
        <v>63</v>
      </c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</row>
    <row r="103" spans="3:29" x14ac:dyDescent="0.25"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</row>
    <row r="104" spans="3:29" x14ac:dyDescent="0.25">
      <c r="J104" s="24" t="s">
        <v>11</v>
      </c>
      <c r="K104" s="24" t="s">
        <v>12</v>
      </c>
      <c r="L104" s="24" t="s">
        <v>13</v>
      </c>
      <c r="M104" s="24" t="s">
        <v>14</v>
      </c>
      <c r="N104" s="24" t="s">
        <v>15</v>
      </c>
      <c r="O104" s="24" t="s">
        <v>16</v>
      </c>
      <c r="P104" s="24" t="s">
        <v>17</v>
      </c>
      <c r="Q104" s="24" t="s">
        <v>18</v>
      </c>
      <c r="R104" s="24" t="s">
        <v>19</v>
      </c>
      <c r="S104" s="24" t="s">
        <v>20</v>
      </c>
      <c r="T104" s="24" t="s">
        <v>21</v>
      </c>
      <c r="U104" s="24" t="s">
        <v>22</v>
      </c>
      <c r="V104" s="24" t="s">
        <v>23</v>
      </c>
      <c r="W104" s="24" t="s">
        <v>24</v>
      </c>
    </row>
    <row r="105" spans="3:29" x14ac:dyDescent="0.25">
      <c r="J105" s="13">
        <v>1</v>
      </c>
      <c r="K105" s="278">
        <f t="shared" ref="K105:K114" si="71">+R83+R58</f>
        <v>91338.099927141651</v>
      </c>
      <c r="L105" s="278">
        <f t="shared" ref="L105:L114" si="72">+S83+S58</f>
        <v>92201.522139138164</v>
      </c>
      <c r="M105" s="278">
        <f t="shared" ref="M105:M114" si="73">+T83+T58</f>
        <v>93511.655457132903</v>
      </c>
      <c r="N105" s="278">
        <f t="shared" ref="N105:N114" si="74">+U83+U58</f>
        <v>93547.271623377732</v>
      </c>
      <c r="O105" s="278">
        <f t="shared" ref="O105:O114" si="75">+V83+V58</f>
        <v>92244.261538631967</v>
      </c>
      <c r="P105" s="278">
        <f t="shared" ref="P105:P114" si="76">+W83+W58</f>
        <v>90714.711051013612</v>
      </c>
      <c r="Q105" s="278">
        <f t="shared" ref="Q105:Q114" si="77">+X83+X58</f>
        <v>165400.22027933295</v>
      </c>
      <c r="R105" s="278">
        <f t="shared" ref="R105:R114" si="78">+Y83+Y58</f>
        <v>98001.231182094794</v>
      </c>
      <c r="S105" s="278">
        <f t="shared" ref="S105:S114" si="79">+Z83+Z58</f>
        <v>99311.36450008949</v>
      </c>
      <c r="T105" s="278">
        <f t="shared" ref="T105:T114" si="80">+AA83+AA58</f>
        <v>99527.220053088589</v>
      </c>
      <c r="U105" s="278">
        <f t="shared" ref="U105:U114" si="81">+AB83+AB58</f>
        <v>108693.08459542305</v>
      </c>
      <c r="V105" s="278">
        <f t="shared" ref="V105:V114" si="82">+AC83+AC58</f>
        <v>174109.44239929781</v>
      </c>
      <c r="W105" s="279">
        <f t="shared" ref="W105:W113" si="83">SUM(K105:V105)</f>
        <v>1298600.0847457626</v>
      </c>
    </row>
    <row r="106" spans="3:29" x14ac:dyDescent="0.25">
      <c r="J106" s="13">
        <v>2</v>
      </c>
      <c r="K106" s="278">
        <f t="shared" si="71"/>
        <v>101526.43321829384</v>
      </c>
      <c r="L106" s="278">
        <f t="shared" si="72"/>
        <v>102501.53456667039</v>
      </c>
      <c r="M106" s="278">
        <f t="shared" si="73"/>
        <v>103941.68658923515</v>
      </c>
      <c r="N106" s="278">
        <f t="shared" si="74"/>
        <v>103981.29076985568</v>
      </c>
      <c r="O106" s="278">
        <f t="shared" si="75"/>
        <v>102549.059583415</v>
      </c>
      <c r="P106" s="278">
        <f t="shared" si="76"/>
        <v>100849.92180569403</v>
      </c>
      <c r="Q106" s="278">
        <f t="shared" si="77"/>
        <v>183859.25619153935</v>
      </c>
      <c r="R106" s="278">
        <f t="shared" si="78"/>
        <v>108945.61005359993</v>
      </c>
      <c r="S106" s="278">
        <f t="shared" si="79"/>
        <v>110400.7620761647</v>
      </c>
      <c r="T106" s="278">
        <f t="shared" si="80"/>
        <v>110640.78741325877</v>
      </c>
      <c r="U106" s="278">
        <f t="shared" si="81"/>
        <v>120824.57449764656</v>
      </c>
      <c r="V106" s="278">
        <f t="shared" si="82"/>
        <v>193535.26967530456</v>
      </c>
      <c r="W106" s="279">
        <f t="shared" si="83"/>
        <v>1443556.1864406781</v>
      </c>
    </row>
    <row r="107" spans="3:29" x14ac:dyDescent="0.25">
      <c r="J107" s="13">
        <v>3</v>
      </c>
      <c r="K107" s="278">
        <f t="shared" si="71"/>
        <v>108637.63354357441</v>
      </c>
      <c r="L107" s="278">
        <f t="shared" si="72"/>
        <v>109664.94198633733</v>
      </c>
      <c r="M107" s="278">
        <f t="shared" si="73"/>
        <v>111220.90465048162</v>
      </c>
      <c r="N107" s="278">
        <f t="shared" si="74"/>
        <v>111263.28112374558</v>
      </c>
      <c r="O107" s="278">
        <f t="shared" si="75"/>
        <v>109715.79375425403</v>
      </c>
      <c r="P107" s="278">
        <f t="shared" si="76"/>
        <v>107898.76633209261</v>
      </c>
      <c r="Q107" s="278">
        <f t="shared" si="77"/>
        <v>196733.60412494713</v>
      </c>
      <c r="R107" s="278">
        <f t="shared" si="78"/>
        <v>116571.95275735193</v>
      </c>
      <c r="S107" s="278">
        <f t="shared" si="79"/>
        <v>118127.91542149622</v>
      </c>
      <c r="T107" s="278">
        <f t="shared" si="80"/>
        <v>118384.74253218688</v>
      </c>
      <c r="U107" s="278">
        <f t="shared" si="81"/>
        <v>129291.14471248182</v>
      </c>
      <c r="V107" s="278">
        <f t="shared" si="82"/>
        <v>207081.68855257588</v>
      </c>
      <c r="W107" s="279">
        <f t="shared" si="83"/>
        <v>1544592.3694915255</v>
      </c>
    </row>
    <row r="108" spans="3:29" x14ac:dyDescent="0.25">
      <c r="J108" s="13">
        <v>4</v>
      </c>
      <c r="K108" s="278">
        <f t="shared" si="71"/>
        <v>116242.41789162463</v>
      </c>
      <c r="L108" s="278">
        <f t="shared" si="72"/>
        <v>117341.63792538093</v>
      </c>
      <c r="M108" s="278">
        <f t="shared" si="73"/>
        <v>119005.46797601534</v>
      </c>
      <c r="N108" s="278">
        <f t="shared" si="74"/>
        <v>119050.81080240777</v>
      </c>
      <c r="O108" s="278">
        <f t="shared" si="75"/>
        <v>117396.04931705183</v>
      </c>
      <c r="P108" s="278">
        <f t="shared" si="76"/>
        <v>115452.87997533908</v>
      </c>
      <c r="Q108" s="278">
        <f t="shared" si="77"/>
        <v>210501.80641369341</v>
      </c>
      <c r="R108" s="278">
        <f t="shared" si="78"/>
        <v>124727.93945036657</v>
      </c>
      <c r="S108" s="278">
        <f t="shared" si="79"/>
        <v>126391.76950100096</v>
      </c>
      <c r="T108" s="278">
        <f t="shared" si="80"/>
        <v>126666.57450943999</v>
      </c>
      <c r="U108" s="278">
        <f t="shared" si="81"/>
        <v>138330.12484235555</v>
      </c>
      <c r="V108" s="278">
        <f t="shared" si="82"/>
        <v>221584.00675125621</v>
      </c>
      <c r="W108" s="279">
        <f t="shared" si="83"/>
        <v>1652691.4853559323</v>
      </c>
    </row>
    <row r="109" spans="3:29" x14ac:dyDescent="0.25">
      <c r="J109" s="13">
        <v>5</v>
      </c>
      <c r="K109" s="278">
        <f t="shared" si="71"/>
        <v>124375.33714403836</v>
      </c>
      <c r="L109" s="278">
        <f t="shared" si="72"/>
        <v>125566.5025801576</v>
      </c>
      <c r="M109" s="278">
        <f t="shared" si="73"/>
        <v>127345.75073433641</v>
      </c>
      <c r="N109" s="278">
        <f t="shared" si="74"/>
        <v>127394.26755857632</v>
      </c>
      <c r="O109" s="278">
        <f t="shared" si="75"/>
        <v>125624.72276924546</v>
      </c>
      <c r="P109" s="278">
        <f t="shared" si="76"/>
        <v>123546.58157361281</v>
      </c>
      <c r="Q109" s="278">
        <f t="shared" si="77"/>
        <v>225241.43286265194</v>
      </c>
      <c r="R109" s="278">
        <f t="shared" si="78"/>
        <v>133465.64521189223</v>
      </c>
      <c r="S109" s="278">
        <f t="shared" si="79"/>
        <v>135244.89336607105</v>
      </c>
      <c r="T109" s="278">
        <f t="shared" si="80"/>
        <v>135538.93472510079</v>
      </c>
      <c r="U109" s="278">
        <f t="shared" si="81"/>
        <v>148027.63358132044</v>
      </c>
      <c r="V109" s="278">
        <f t="shared" si="82"/>
        <v>237093.08722384414</v>
      </c>
      <c r="W109" s="279">
        <f t="shared" si="83"/>
        <v>1768464.7893308476</v>
      </c>
    </row>
    <row r="110" spans="3:29" x14ac:dyDescent="0.25">
      <c r="J110" s="13">
        <v>6</v>
      </c>
      <c r="K110" s="278">
        <f t="shared" si="71"/>
        <v>133088.36074412105</v>
      </c>
      <c r="L110" s="278">
        <f t="shared" si="72"/>
        <v>134346.85776076865</v>
      </c>
      <c r="M110" s="278">
        <f t="shared" si="73"/>
        <v>136249.60328573996</v>
      </c>
      <c r="N110" s="278">
        <f t="shared" si="74"/>
        <v>136301.51628767667</v>
      </c>
      <c r="O110" s="278">
        <f t="shared" si="75"/>
        <v>134409.15336309266</v>
      </c>
      <c r="P110" s="278">
        <f t="shared" si="76"/>
        <v>132186.59228376573</v>
      </c>
      <c r="Q110" s="278">
        <f t="shared" si="77"/>
        <v>241004.43316303761</v>
      </c>
      <c r="R110" s="278">
        <f t="shared" si="78"/>
        <v>142809.74037672469</v>
      </c>
      <c r="S110" s="278">
        <f t="shared" si="79"/>
        <v>144712.48590169603</v>
      </c>
      <c r="T110" s="278">
        <f t="shared" si="80"/>
        <v>145027.11015585787</v>
      </c>
      <c r="U110" s="278">
        <f t="shared" si="81"/>
        <v>158382.66793201288</v>
      </c>
      <c r="V110" s="278">
        <f t="shared" si="82"/>
        <v>253694.40332951321</v>
      </c>
      <c r="W110" s="279">
        <f t="shared" si="83"/>
        <v>1892212.9245840071</v>
      </c>
    </row>
    <row r="111" spans="3:29" x14ac:dyDescent="0.25">
      <c r="J111" s="13">
        <v>7</v>
      </c>
      <c r="K111" s="278">
        <f t="shared" si="71"/>
        <v>142406.04599620952</v>
      </c>
      <c r="L111" s="278">
        <f t="shared" si="72"/>
        <v>143752.63780402247</v>
      </c>
      <c r="M111" s="278">
        <f t="shared" si="73"/>
        <v>145787.52551574176</v>
      </c>
      <c r="N111" s="278">
        <f t="shared" si="74"/>
        <v>145843.07242781404</v>
      </c>
      <c r="O111" s="278">
        <f t="shared" si="75"/>
        <v>143819.29409850916</v>
      </c>
      <c r="P111" s="278">
        <f t="shared" si="76"/>
        <v>141442.20374362936</v>
      </c>
      <c r="Q111" s="278">
        <f t="shared" si="77"/>
        <v>257877.44348445025</v>
      </c>
      <c r="R111" s="278">
        <f t="shared" si="78"/>
        <v>152802.67220309543</v>
      </c>
      <c r="S111" s="278">
        <f t="shared" si="79"/>
        <v>154837.55991481474</v>
      </c>
      <c r="T111" s="278">
        <f t="shared" si="80"/>
        <v>155174.20786676792</v>
      </c>
      <c r="U111" s="278">
        <f t="shared" si="81"/>
        <v>169472.30468725378</v>
      </c>
      <c r="V111" s="278">
        <f t="shared" si="82"/>
        <v>271448.36156257917</v>
      </c>
      <c r="W111" s="279">
        <f t="shared" si="83"/>
        <v>2024663.3293048877</v>
      </c>
    </row>
    <row r="112" spans="3:29" x14ac:dyDescent="0.25">
      <c r="J112" s="13">
        <v>8</v>
      </c>
      <c r="K112" s="278">
        <f t="shared" si="71"/>
        <v>152370.71921594423</v>
      </c>
      <c r="L112" s="278">
        <f t="shared" si="72"/>
        <v>153826.57245030405</v>
      </c>
      <c r="M112" s="278">
        <f t="shared" si="73"/>
        <v>156002.8523018437</v>
      </c>
      <c r="N112" s="278">
        <f t="shared" si="74"/>
        <v>156062.28749776105</v>
      </c>
      <c r="O112" s="278">
        <f t="shared" si="75"/>
        <v>153897.89468540481</v>
      </c>
      <c r="P112" s="278">
        <f t="shared" si="76"/>
        <v>151340.45800568341</v>
      </c>
      <c r="Q112" s="278">
        <f t="shared" si="77"/>
        <v>275922.11452836177</v>
      </c>
      <c r="R112" s="278">
        <f t="shared" si="78"/>
        <v>163504.85925731214</v>
      </c>
      <c r="S112" s="278">
        <f t="shared" si="79"/>
        <v>165681.13910885181</v>
      </c>
      <c r="T112" s="278">
        <f t="shared" si="80"/>
        <v>166041.35241744167</v>
      </c>
      <c r="U112" s="278">
        <f t="shared" si="81"/>
        <v>181331.91601536158</v>
      </c>
      <c r="V112" s="278">
        <f t="shared" si="82"/>
        <v>290450.64687195973</v>
      </c>
      <c r="W112" s="279">
        <f t="shared" si="83"/>
        <v>2166432.8123562299</v>
      </c>
    </row>
    <row r="113" spans="10:23" x14ac:dyDescent="0.25">
      <c r="J113" s="13">
        <v>9</v>
      </c>
      <c r="K113" s="278">
        <f t="shared" si="71"/>
        <v>163027.66956106032</v>
      </c>
      <c r="L113" s="278">
        <f t="shared" si="72"/>
        <v>164584.38252182532</v>
      </c>
      <c r="M113" s="278">
        <f t="shared" si="73"/>
        <v>166911.95196297279</v>
      </c>
      <c r="N113" s="278">
        <f t="shared" si="74"/>
        <v>166975.54762260432</v>
      </c>
      <c r="O113" s="278">
        <f t="shared" si="75"/>
        <v>164660.69731338316</v>
      </c>
      <c r="P113" s="278">
        <f t="shared" si="76"/>
        <v>161941.34006608123</v>
      </c>
      <c r="Q113" s="278">
        <f t="shared" si="77"/>
        <v>295235.46254534717</v>
      </c>
      <c r="R113" s="278">
        <f t="shared" si="78"/>
        <v>174949.89940532399</v>
      </c>
      <c r="S113" s="278">
        <f t="shared" si="79"/>
        <v>177277.46884647143</v>
      </c>
      <c r="T113" s="278">
        <f t="shared" si="80"/>
        <v>177662.89708666262</v>
      </c>
      <c r="U113" s="278">
        <f t="shared" si="81"/>
        <v>194030.40013643692</v>
      </c>
      <c r="V113" s="278">
        <f t="shared" si="82"/>
        <v>310787.59215299692</v>
      </c>
      <c r="W113" s="279">
        <f t="shared" si="83"/>
        <v>2318045.3092211662</v>
      </c>
    </row>
    <row r="114" spans="10:23" x14ac:dyDescent="0.25">
      <c r="J114" s="13">
        <v>10</v>
      </c>
      <c r="K114" s="278">
        <f t="shared" si="71"/>
        <v>174440.35643033453</v>
      </c>
      <c r="L114" s="278">
        <f t="shared" si="72"/>
        <v>176104.98929835312</v>
      </c>
      <c r="M114" s="278">
        <f t="shared" si="73"/>
        <v>178594.43860038088</v>
      </c>
      <c r="N114" s="278">
        <f t="shared" si="74"/>
        <v>178677.48595618663</v>
      </c>
      <c r="O114" s="278">
        <f t="shared" si="75"/>
        <v>176186.64612531997</v>
      </c>
      <c r="P114" s="278">
        <f t="shared" si="76"/>
        <v>173277.98387070693</v>
      </c>
      <c r="Q114" s="278">
        <f t="shared" si="77"/>
        <v>315905.24492352147</v>
      </c>
      <c r="R114" s="278">
        <f t="shared" si="78"/>
        <v>187189.7923636967</v>
      </c>
      <c r="S114" s="278">
        <f t="shared" si="79"/>
        <v>189679.24166572443</v>
      </c>
      <c r="T114" s="278">
        <f t="shared" si="80"/>
        <v>190091.64988272899</v>
      </c>
      <c r="U114" s="278">
        <f t="shared" si="81"/>
        <v>207610.42814598748</v>
      </c>
      <c r="V114" s="278">
        <f t="shared" si="82"/>
        <v>332536.57360370673</v>
      </c>
      <c r="W114" s="279">
        <f t="shared" ref="W114" si="84">SUM(K114:V114)</f>
        <v>2480294.8308666483</v>
      </c>
    </row>
    <row r="118" spans="10:23" x14ac:dyDescent="0.25">
      <c r="K118" s="358" t="s">
        <v>51</v>
      </c>
      <c r="L118" s="358"/>
      <c r="M118" s="358"/>
      <c r="N118" s="358"/>
      <c r="O118" s="358"/>
      <c r="P118" s="358"/>
      <c r="Q118" s="358"/>
      <c r="R118" s="358"/>
      <c r="S118" s="358"/>
      <c r="T118" s="358"/>
      <c r="U118" s="358"/>
      <c r="V118" s="358"/>
    </row>
    <row r="120" spans="10:23" x14ac:dyDescent="0.25">
      <c r="K120" s="24" t="s">
        <v>46</v>
      </c>
      <c r="L120" s="24">
        <v>1</v>
      </c>
      <c r="M120" s="24">
        <v>2</v>
      </c>
      <c r="N120" s="24">
        <v>3</v>
      </c>
      <c r="O120" s="24">
        <v>4</v>
      </c>
      <c r="P120" s="24">
        <v>5</v>
      </c>
      <c r="Q120" s="24">
        <v>6</v>
      </c>
      <c r="R120" s="24">
        <v>7</v>
      </c>
      <c r="S120" s="24">
        <v>8</v>
      </c>
      <c r="T120" s="24">
        <v>9</v>
      </c>
      <c r="U120" s="24">
        <v>10</v>
      </c>
      <c r="V120" s="26" t="s">
        <v>52</v>
      </c>
    </row>
    <row r="121" spans="10:23" x14ac:dyDescent="0.25">
      <c r="K121" s="12" t="s">
        <v>43</v>
      </c>
      <c r="L121" s="22">
        <f t="shared" ref="L121:U123" si="85">+S73</f>
        <v>660508.47457627126</v>
      </c>
      <c r="M121" s="22">
        <f t="shared" si="85"/>
        <v>715550.84745762718</v>
      </c>
      <c r="N121" s="22">
        <f t="shared" si="85"/>
        <v>765639.40677966108</v>
      </c>
      <c r="O121" s="22">
        <f t="shared" si="85"/>
        <v>819234.16525423736</v>
      </c>
      <c r="P121" s="22">
        <f t="shared" si="85"/>
        <v>876580.55682203395</v>
      </c>
      <c r="Q121" s="22">
        <f t="shared" si="85"/>
        <v>937941.19579957635</v>
      </c>
      <c r="R121" s="22">
        <f t="shared" si="85"/>
        <v>1003597.0795055468</v>
      </c>
      <c r="S121" s="22">
        <f t="shared" si="85"/>
        <v>1073848.8750709351</v>
      </c>
      <c r="T121" s="22">
        <f t="shared" si="85"/>
        <v>1149018.2963259006</v>
      </c>
      <c r="U121" s="22">
        <f t="shared" si="85"/>
        <v>1229449.5770687137</v>
      </c>
      <c r="V121" s="25">
        <f>SUM(L121:U121)</f>
        <v>9231368.4746605046</v>
      </c>
    </row>
    <row r="122" spans="10:23" x14ac:dyDescent="0.25">
      <c r="K122" s="12" t="s">
        <v>44</v>
      </c>
      <c r="L122" s="22">
        <f t="shared" si="85"/>
        <v>497059.32203389832</v>
      </c>
      <c r="M122" s="22">
        <f t="shared" si="85"/>
        <v>574379.66101694922</v>
      </c>
      <c r="N122" s="22">
        <f t="shared" si="85"/>
        <v>614586.23728813557</v>
      </c>
      <c r="O122" s="22">
        <f t="shared" si="85"/>
        <v>657607.27389830514</v>
      </c>
      <c r="P122" s="22">
        <f t="shared" si="85"/>
        <v>703639.78307118651</v>
      </c>
      <c r="Q122" s="22">
        <f t="shared" si="85"/>
        <v>752894.56788616965</v>
      </c>
      <c r="R122" s="22">
        <f t="shared" si="85"/>
        <v>805597.18763820163</v>
      </c>
      <c r="S122" s="22">
        <f t="shared" si="85"/>
        <v>861988.99077287572</v>
      </c>
      <c r="T122" s="22">
        <f t="shared" si="85"/>
        <v>922328.22012697719</v>
      </c>
      <c r="U122" s="22">
        <f t="shared" si="85"/>
        <v>986891.19553586561</v>
      </c>
      <c r="V122" s="25">
        <f>SUM(L122:U122)</f>
        <v>7376972.4392685639</v>
      </c>
    </row>
    <row r="123" spans="10:23" x14ac:dyDescent="0.25">
      <c r="K123" s="12" t="s">
        <v>45</v>
      </c>
      <c r="L123" s="22">
        <f t="shared" si="85"/>
        <v>130442.2881355932</v>
      </c>
      <c r="M123" s="22">
        <f t="shared" si="85"/>
        <v>142300.67796610168</v>
      </c>
      <c r="N123" s="22">
        <f t="shared" si="85"/>
        <v>152261.72542372879</v>
      </c>
      <c r="O123" s="22">
        <f t="shared" si="85"/>
        <v>162920.04620338982</v>
      </c>
      <c r="P123" s="22">
        <f t="shared" si="85"/>
        <v>174324.44943762713</v>
      </c>
      <c r="Q123" s="22">
        <f t="shared" si="85"/>
        <v>186527.16089826103</v>
      </c>
      <c r="R123" s="22">
        <f t="shared" si="85"/>
        <v>199584.0621611393</v>
      </c>
      <c r="S123" s="22">
        <f t="shared" si="85"/>
        <v>213554.94651241909</v>
      </c>
      <c r="T123" s="22">
        <f t="shared" si="85"/>
        <v>228503.7927682884</v>
      </c>
      <c r="U123" s="22">
        <f t="shared" si="85"/>
        <v>244499.0582620686</v>
      </c>
      <c r="V123" s="25">
        <f>SUM(L123:U123)</f>
        <v>1834918.2077686167</v>
      </c>
    </row>
    <row r="124" spans="10:23" x14ac:dyDescent="0.25">
      <c r="K124" s="12" t="s">
        <v>49</v>
      </c>
      <c r="L124" s="22">
        <f t="shared" ref="L124:U124" si="86">+S98</f>
        <v>10590</v>
      </c>
      <c r="M124" s="22">
        <f t="shared" si="86"/>
        <v>11325</v>
      </c>
      <c r="N124" s="22">
        <f t="shared" si="86"/>
        <v>12120</v>
      </c>
      <c r="O124" s="22">
        <f t="shared" si="86"/>
        <v>12975</v>
      </c>
      <c r="P124" s="22">
        <f t="shared" si="86"/>
        <v>13890</v>
      </c>
      <c r="Q124" s="22">
        <f t="shared" si="86"/>
        <v>14865</v>
      </c>
      <c r="R124" s="22">
        <f t="shared" si="86"/>
        <v>15900</v>
      </c>
      <c r="S124" s="22">
        <f t="shared" si="86"/>
        <v>17010</v>
      </c>
      <c r="T124" s="22">
        <f t="shared" si="86"/>
        <v>18195</v>
      </c>
      <c r="U124" s="22">
        <f t="shared" si="86"/>
        <v>19470</v>
      </c>
      <c r="V124" s="25">
        <f>SUM(L124:U124)</f>
        <v>146340</v>
      </c>
    </row>
    <row r="125" spans="10:23" x14ac:dyDescent="0.25">
      <c r="K125" s="26" t="s">
        <v>50</v>
      </c>
      <c r="L125" s="27">
        <f>SUM(L120:L124)</f>
        <v>1298601.0847457629</v>
      </c>
      <c r="M125" s="27">
        <f t="shared" ref="M125:V125" si="87">SUM(M120:M124)</f>
        <v>1443558.1864406778</v>
      </c>
      <c r="N125" s="27">
        <f t="shared" si="87"/>
        <v>1544610.3694915255</v>
      </c>
      <c r="O125" s="27">
        <f t="shared" si="87"/>
        <v>1652740.4853559323</v>
      </c>
      <c r="P125" s="27">
        <f t="shared" si="87"/>
        <v>1768439.7893308476</v>
      </c>
      <c r="Q125" s="27">
        <f t="shared" si="87"/>
        <v>1892233.9245840071</v>
      </c>
      <c r="R125" s="27">
        <f t="shared" si="87"/>
        <v>2024685.3293048877</v>
      </c>
      <c r="S125" s="27">
        <f t="shared" si="87"/>
        <v>2166410.8123562299</v>
      </c>
      <c r="T125" s="27">
        <f t="shared" si="87"/>
        <v>2318054.3092211662</v>
      </c>
      <c r="U125" s="27">
        <f t="shared" si="87"/>
        <v>2480319.8308666479</v>
      </c>
      <c r="V125" s="27">
        <f t="shared" si="87"/>
        <v>18589599.121697683</v>
      </c>
    </row>
  </sheetData>
  <mergeCells count="16">
    <mergeCell ref="J102:W102"/>
    <mergeCell ref="K118:V118"/>
    <mergeCell ref="Q80:AD80"/>
    <mergeCell ref="R95:AC95"/>
    <mergeCell ref="Q11:AD11"/>
    <mergeCell ref="Q25:AD25"/>
    <mergeCell ref="Q40:AD40"/>
    <mergeCell ref="B55:O55"/>
    <mergeCell ref="Q55:AD55"/>
    <mergeCell ref="C95:N95"/>
    <mergeCell ref="R70:AC70"/>
    <mergeCell ref="B10:O10"/>
    <mergeCell ref="B25:O25"/>
    <mergeCell ref="B40:O40"/>
    <mergeCell ref="C71:N71"/>
    <mergeCell ref="B80:O8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9A1F-3E1C-4D30-8382-FEF53A7C932B}">
  <sheetPr>
    <tabColor rgb="FFFF0000"/>
  </sheetPr>
  <dimension ref="B1:Q990"/>
  <sheetViews>
    <sheetView topLeftCell="B43" zoomScaleNormal="100" workbookViewId="0">
      <selection activeCell="P16" sqref="P16"/>
    </sheetView>
  </sheetViews>
  <sheetFormatPr baseColWidth="10" defaultColWidth="14.42578125" defaultRowHeight="15" customHeight="1" x14ac:dyDescent="0.2"/>
  <cols>
    <col min="1" max="1" width="10" style="102" customWidth="1"/>
    <col min="2" max="2" width="18.7109375" style="102" customWidth="1"/>
    <col min="3" max="3" width="12" style="102" customWidth="1"/>
    <col min="4" max="15" width="11.140625" style="102" customWidth="1"/>
    <col min="16" max="25" width="10" style="102" customWidth="1"/>
    <col min="26" max="16384" width="14.42578125" style="102"/>
  </cols>
  <sheetData>
    <row r="1" spans="2:17" ht="12.75" customHeight="1" x14ac:dyDescent="0.2"/>
    <row r="2" spans="2:17" ht="12.75" customHeight="1" x14ac:dyDescent="0.2"/>
    <row r="3" spans="2:17" ht="12.75" customHeight="1" x14ac:dyDescent="0.2">
      <c r="B3" s="353" t="s">
        <v>132</v>
      </c>
      <c r="C3" s="354"/>
      <c r="D3" s="354"/>
      <c r="E3" s="354"/>
      <c r="F3" s="354"/>
      <c r="G3" s="354"/>
      <c r="H3" s="354"/>
      <c r="I3" s="354"/>
      <c r="J3" s="354"/>
      <c r="K3" s="354"/>
      <c r="L3" s="354"/>
      <c r="M3" s="354"/>
      <c r="N3" s="354"/>
      <c r="O3" s="354"/>
    </row>
    <row r="4" spans="2:17" ht="12.75" customHeight="1" x14ac:dyDescent="0.2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</row>
    <row r="5" spans="2:17" ht="12.75" customHeight="1" x14ac:dyDescent="0.2">
      <c r="B5" s="353"/>
      <c r="C5" s="354"/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</row>
    <row r="6" spans="2:17" ht="13.5" customHeight="1" x14ac:dyDescent="0.2"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</row>
    <row r="7" spans="2:17" ht="12.75" customHeight="1" x14ac:dyDescent="0.2">
      <c r="B7" s="351" t="s">
        <v>66</v>
      </c>
      <c r="C7" s="351">
        <v>0</v>
      </c>
      <c r="D7" s="355" t="s">
        <v>133</v>
      </c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159" t="s">
        <v>50</v>
      </c>
    </row>
    <row r="8" spans="2:17" ht="12.75" customHeight="1" x14ac:dyDescent="0.2">
      <c r="B8" s="352"/>
      <c r="C8" s="352"/>
      <c r="D8" s="158">
        <v>1</v>
      </c>
      <c r="E8" s="158">
        <v>2</v>
      </c>
      <c r="F8" s="158">
        <v>3</v>
      </c>
      <c r="G8" s="158">
        <v>4</v>
      </c>
      <c r="H8" s="158">
        <v>5</v>
      </c>
      <c r="I8" s="158">
        <v>6</v>
      </c>
      <c r="J8" s="158">
        <v>7</v>
      </c>
      <c r="K8" s="158">
        <v>8</v>
      </c>
      <c r="L8" s="158">
        <v>9</v>
      </c>
      <c r="M8" s="158">
        <v>10</v>
      </c>
      <c r="N8" s="158">
        <v>11</v>
      </c>
      <c r="O8" s="158">
        <v>12</v>
      </c>
      <c r="P8" s="161"/>
    </row>
    <row r="9" spans="2:17" ht="12.75" customHeight="1" x14ac:dyDescent="0.2">
      <c r="B9" s="105" t="s">
        <v>0</v>
      </c>
      <c r="C9" s="105"/>
      <c r="D9" s="106">
        <f>+'Presupuesto de ventas'!C13/2</f>
        <v>2109.9547511312217</v>
      </c>
      <c r="E9" s="106">
        <f>+'Presupuesto de ventas'!D13/2</f>
        <v>2130.0653594771247</v>
      </c>
      <c r="F9" s="106">
        <f>+'Presupuesto de ventas'!E13/2</f>
        <v>2160.2312719959782</v>
      </c>
      <c r="G9" s="106">
        <f>+'Presupuesto de ventas'!F13/2</f>
        <v>2161.0608345902465</v>
      </c>
      <c r="H9" s="106">
        <f>+'Presupuesto de ventas'!G13/2</f>
        <v>2131.060834590246</v>
      </c>
      <c r="I9" s="106">
        <f>+'Presupuesto de ventas'!H13/2</f>
        <v>2095.7843137254899</v>
      </c>
      <c r="J9" s="106">
        <f>+'Presupuesto de ventas'!I13/2</f>
        <v>3821.0155857214681</v>
      </c>
      <c r="K9" s="106">
        <f>+'Presupuesto de ventas'!J13/2</f>
        <v>2264.1025641025653</v>
      </c>
      <c r="L9" s="106">
        <f>+'Presupuesto de ventas'!K13/2</f>
        <v>2294.2684766214184</v>
      </c>
      <c r="M9" s="106">
        <f>+'Presupuesto de ventas'!L13/2</f>
        <v>2299.2961287078929</v>
      </c>
      <c r="N9" s="106">
        <f>+'Presupuesto de ventas'!M13/2</f>
        <v>2511.0382101558553</v>
      </c>
      <c r="O9" s="106">
        <f>+'Presupuesto de ventas'!N13/2</f>
        <v>4022.1216691804925</v>
      </c>
      <c r="P9" s="154"/>
    </row>
    <row r="10" spans="2:17" ht="12.75" customHeight="1" x14ac:dyDescent="0.2">
      <c r="B10" s="105" t="s">
        <v>131</v>
      </c>
      <c r="C10" s="105"/>
      <c r="D10" s="106">
        <f>+'Presupuesto de ventas'!C28/2</f>
        <v>1582.4660633484164</v>
      </c>
      <c r="E10" s="106">
        <f>+'Presupuesto de ventas'!D28/2</f>
        <v>1597.5490196078438</v>
      </c>
      <c r="F10" s="106">
        <f>+'Presupuesto de ventas'!E28/2</f>
        <v>1620.1734539969837</v>
      </c>
      <c r="G10" s="106">
        <f>+'Presupuesto de ventas'!F28/2</f>
        <v>1620.7956259426846</v>
      </c>
      <c r="H10" s="106">
        <f>+'Presupuesto de ventas'!G28/2</f>
        <v>1598.2956259426846</v>
      </c>
      <c r="I10" s="106">
        <f>+'Presupuesto de ventas'!H28/2</f>
        <v>1571.8382352941176</v>
      </c>
      <c r="J10" s="106">
        <f>+'Presupuesto de ventas'!I28/2</f>
        <v>2865.761689291101</v>
      </c>
      <c r="K10" s="106">
        <f>+'Presupuesto de ventas'!J28/2</f>
        <v>1698.0769230769238</v>
      </c>
      <c r="L10" s="106">
        <f>+'Presupuesto de ventas'!K28/2</f>
        <v>1720.7013574660637</v>
      </c>
      <c r="M10" s="106">
        <f>+'Presupuesto de ventas'!L28/2</f>
        <v>1724.4720965309198</v>
      </c>
      <c r="N10" s="106">
        <f>+'Presupuesto de ventas'!M28/2</f>
        <v>1883.2786576168912</v>
      </c>
      <c r="O10" s="106">
        <f>+'Presupuesto de ventas'!N28/2</f>
        <v>3016.5912518853693</v>
      </c>
      <c r="P10" s="154"/>
    </row>
    <row r="11" spans="2:17" ht="12.75" customHeight="1" x14ac:dyDescent="0.2">
      <c r="B11" s="105" t="s">
        <v>1</v>
      </c>
      <c r="C11" s="105"/>
      <c r="D11" s="106">
        <f>+'Presupuesto de ventas'!C43/2</f>
        <v>386.82503770739066</v>
      </c>
      <c r="E11" s="106">
        <f>+'Presupuesto de ventas'!D43/2</f>
        <v>390.51198257080625</v>
      </c>
      <c r="F11" s="106">
        <f>+'Presupuesto de ventas'!E43/2</f>
        <v>396.04239986592933</v>
      </c>
      <c r="G11" s="106">
        <f>+'Presupuesto de ventas'!F43/2</f>
        <v>396.19448634154514</v>
      </c>
      <c r="H11" s="106">
        <f>+'Presupuesto de ventas'!G43/2</f>
        <v>390.69448634154514</v>
      </c>
      <c r="I11" s="106">
        <f>+'Presupuesto de ventas'!H43/2</f>
        <v>384.22712418300648</v>
      </c>
      <c r="J11" s="106">
        <f>+'Presupuesto de ventas'!I43/2</f>
        <v>700.51952404893586</v>
      </c>
      <c r="K11" s="106">
        <f>+'Presupuesto de ventas'!J43/2</f>
        <v>415.08547008547026</v>
      </c>
      <c r="L11" s="106">
        <f>+'Presupuesto de ventas'!K43/2</f>
        <v>420.61588738059334</v>
      </c>
      <c r="M11" s="106">
        <f>+'Presupuesto de ventas'!L43/2</f>
        <v>421.53762359644702</v>
      </c>
      <c r="N11" s="106">
        <f>+'Presupuesto de ventas'!M43/2</f>
        <v>460.35700519524011</v>
      </c>
      <c r="O11" s="106">
        <f>+'Presupuesto de ventas'!N43/2</f>
        <v>737.38897268309029</v>
      </c>
      <c r="P11" s="154"/>
    </row>
    <row r="12" spans="2:17" ht="12.75" customHeight="1" x14ac:dyDescent="0.2">
      <c r="B12" s="105" t="s">
        <v>130</v>
      </c>
      <c r="C12" s="105"/>
      <c r="D12" s="107">
        <f>+Resumen!$C$10</f>
        <v>8.058898305084746</v>
      </c>
      <c r="E12" s="107">
        <f>+Resumen!$C$10</f>
        <v>8.058898305084746</v>
      </c>
      <c r="F12" s="107">
        <f>+Resumen!$C$10</f>
        <v>8.058898305084746</v>
      </c>
      <c r="G12" s="107">
        <f>+Resumen!$C$10</f>
        <v>8.058898305084746</v>
      </c>
      <c r="H12" s="107">
        <f>+Resumen!$C$10</f>
        <v>8.058898305084746</v>
      </c>
      <c r="I12" s="107">
        <f>+Resumen!$C$10</f>
        <v>8.058898305084746</v>
      </c>
      <c r="J12" s="107">
        <f>+Resumen!$C$10</f>
        <v>8.058898305084746</v>
      </c>
      <c r="K12" s="107">
        <f>+Resumen!$C$10</f>
        <v>8.058898305084746</v>
      </c>
      <c r="L12" s="107">
        <f>+Resumen!$C$10</f>
        <v>8.058898305084746</v>
      </c>
      <c r="M12" s="107">
        <f>+Resumen!$C$10</f>
        <v>8.058898305084746</v>
      </c>
      <c r="N12" s="107">
        <f>+Resumen!$C$10</f>
        <v>8.058898305084746</v>
      </c>
      <c r="O12" s="107">
        <f>+Resumen!$C$10</f>
        <v>8.058898305084746</v>
      </c>
      <c r="P12" s="154"/>
    </row>
    <row r="13" spans="2:17" ht="12.75" customHeight="1" x14ac:dyDescent="0.2">
      <c r="B13" s="105" t="s">
        <v>129</v>
      </c>
      <c r="C13" s="105"/>
      <c r="D13" s="107">
        <f>+Resumen!$C$11</f>
        <v>8.1957627118644076</v>
      </c>
      <c r="E13" s="107">
        <f>+Resumen!$C$11</f>
        <v>8.1957627118644076</v>
      </c>
      <c r="F13" s="107">
        <f>+Resumen!$C$11</f>
        <v>8.1957627118644076</v>
      </c>
      <c r="G13" s="107">
        <f>+Resumen!$C$11</f>
        <v>8.1957627118644076</v>
      </c>
      <c r="H13" s="107">
        <f>+Resumen!$C$11</f>
        <v>8.1957627118644076</v>
      </c>
      <c r="I13" s="107">
        <f>+Resumen!$C$11</f>
        <v>8.1957627118644076</v>
      </c>
      <c r="J13" s="107">
        <f>+Resumen!$C$11</f>
        <v>8.1957627118644076</v>
      </c>
      <c r="K13" s="107">
        <f>+Resumen!$C$11</f>
        <v>8.1957627118644076</v>
      </c>
      <c r="L13" s="107">
        <f>+Resumen!$C$11</f>
        <v>8.1957627118644076</v>
      </c>
      <c r="M13" s="107">
        <f>+Resumen!$C$11</f>
        <v>8.1957627118644076</v>
      </c>
      <c r="N13" s="107">
        <f>+Resumen!$C$11</f>
        <v>8.1957627118644076</v>
      </c>
      <c r="O13" s="107">
        <f>+Resumen!$C$11</f>
        <v>8.1957627118644076</v>
      </c>
      <c r="P13" s="154"/>
    </row>
    <row r="14" spans="2:17" ht="12.75" customHeight="1" x14ac:dyDescent="0.2">
      <c r="B14" s="105" t="s">
        <v>128</v>
      </c>
      <c r="C14" s="105"/>
      <c r="D14" s="107">
        <f>+Resumen!$C$12</f>
        <v>8.453389830508474</v>
      </c>
      <c r="E14" s="107">
        <f>+Resumen!$C$12</f>
        <v>8.453389830508474</v>
      </c>
      <c r="F14" s="107">
        <f>+Resumen!$C$12</f>
        <v>8.453389830508474</v>
      </c>
      <c r="G14" s="107">
        <f>+Resumen!$C$12</f>
        <v>8.453389830508474</v>
      </c>
      <c r="H14" s="107">
        <f>+Resumen!$C$12</f>
        <v>8.453389830508474</v>
      </c>
      <c r="I14" s="107">
        <f>+Resumen!$C$12</f>
        <v>8.453389830508474</v>
      </c>
      <c r="J14" s="107">
        <f>+Resumen!$C$12</f>
        <v>8.453389830508474</v>
      </c>
      <c r="K14" s="107">
        <f>+Resumen!$C$12</f>
        <v>8.453389830508474</v>
      </c>
      <c r="L14" s="107">
        <f>+Resumen!$C$12</f>
        <v>8.453389830508474</v>
      </c>
      <c r="M14" s="107">
        <f>+Resumen!$C$12</f>
        <v>8.453389830508474</v>
      </c>
      <c r="N14" s="107">
        <f>+Resumen!$C$12</f>
        <v>8.453389830508474</v>
      </c>
      <c r="O14" s="107">
        <f>+Resumen!$C$12</f>
        <v>8.453389830508474</v>
      </c>
      <c r="P14" s="154"/>
    </row>
    <row r="15" spans="2:17" ht="12.75" customHeight="1" x14ac:dyDescent="0.2">
      <c r="B15" s="105" t="s">
        <v>127</v>
      </c>
      <c r="C15" s="108"/>
      <c r="D15" s="108">
        <f>+D9*D12+D10*D13+D11*D14</f>
        <v>33243.409962420439</v>
      </c>
      <c r="E15" s="108">
        <f t="shared" ref="E15:O15" si="0">+E9*E12+E10*E13+E11*E14</f>
        <v>33560.262822643199</v>
      </c>
      <c r="F15" s="108">
        <f t="shared" si="0"/>
        <v>34035.542112977317</v>
      </c>
      <c r="G15" s="108">
        <f t="shared" si="0"/>
        <v>34048.612293461498</v>
      </c>
      <c r="H15" s="108">
        <f t="shared" si="0"/>
        <v>33575.947039224207</v>
      </c>
      <c r="I15" s="108">
        <f t="shared" si="0"/>
        <v>33020.147515785975</v>
      </c>
      <c r="J15" s="108">
        <f t="shared" si="0"/>
        <v>60202.043442322611</v>
      </c>
      <c r="K15" s="108">
        <f t="shared" si="0"/>
        <v>35672.087136027832</v>
      </c>
      <c r="L15" s="108">
        <f t="shared" si="0"/>
        <v>36147.36642636195</v>
      </c>
      <c r="M15" s="108">
        <f t="shared" si="0"/>
        <v>36226.579641417622</v>
      </c>
      <c r="N15" s="108">
        <f t="shared" si="0"/>
        <v>39562.683800095416</v>
      </c>
      <c r="O15" s="108">
        <f t="shared" si="0"/>
        <v>63370.572044550114</v>
      </c>
      <c r="P15" s="154"/>
    </row>
    <row r="16" spans="2:17" ht="12.75" customHeight="1" x14ac:dyDescent="0.2">
      <c r="B16" s="105" t="s">
        <v>126</v>
      </c>
      <c r="C16" s="108">
        <f>+D15</f>
        <v>33243.409962420439</v>
      </c>
      <c r="D16" s="108">
        <f>+E15-D15</f>
        <v>316.85286022275977</v>
      </c>
      <c r="E16" s="108">
        <f>+F15-E15</f>
        <v>475.27929033411783</v>
      </c>
      <c r="F16" s="108">
        <f t="shared" ref="F16:N16" si="1">+G15-F15</f>
        <v>13.070180484181037</v>
      </c>
      <c r="G16" s="108">
        <f t="shared" si="1"/>
        <v>-472.66525423729036</v>
      </c>
      <c r="H16" s="108">
        <f t="shared" si="1"/>
        <v>-555.79952343823243</v>
      </c>
      <c r="I16" s="108">
        <f t="shared" si="1"/>
        <v>27181.895926536636</v>
      </c>
      <c r="J16" s="108">
        <f t="shared" si="1"/>
        <v>-24529.956306294778</v>
      </c>
      <c r="K16" s="108">
        <f t="shared" si="1"/>
        <v>475.27929033411783</v>
      </c>
      <c r="L16" s="108">
        <f t="shared" si="1"/>
        <v>79.213215055671753</v>
      </c>
      <c r="M16" s="108">
        <f t="shared" si="1"/>
        <v>3336.1041586777937</v>
      </c>
      <c r="N16" s="108">
        <f t="shared" si="1"/>
        <v>23807.888244454698</v>
      </c>
      <c r="O16" s="108"/>
      <c r="P16" s="157">
        <f>SUM(C16:O16)</f>
        <v>63370.572044550114</v>
      </c>
      <c r="Q16" s="102">
        <v>1</v>
      </c>
    </row>
    <row r="17" spans="2:17" ht="13.5" customHeight="1" x14ac:dyDescent="0.2">
      <c r="B17" s="109" t="s">
        <v>24</v>
      </c>
      <c r="C17" s="105"/>
      <c r="D17" s="108">
        <f>SUM(D15:D16)</f>
        <v>33560.262822643199</v>
      </c>
      <c r="E17" s="108">
        <f t="shared" ref="E17:O17" si="2">SUM(E15:E16)</f>
        <v>34035.542112977317</v>
      </c>
      <c r="F17" s="108">
        <f t="shared" si="2"/>
        <v>34048.612293461498</v>
      </c>
      <c r="G17" s="108">
        <f t="shared" si="2"/>
        <v>33575.947039224207</v>
      </c>
      <c r="H17" s="108">
        <f t="shared" si="2"/>
        <v>33020.147515785975</v>
      </c>
      <c r="I17" s="108">
        <f t="shared" si="2"/>
        <v>60202.043442322611</v>
      </c>
      <c r="J17" s="108">
        <f t="shared" si="2"/>
        <v>35672.087136027832</v>
      </c>
      <c r="K17" s="108">
        <f t="shared" si="2"/>
        <v>36147.36642636195</v>
      </c>
      <c r="L17" s="108">
        <f t="shared" si="2"/>
        <v>36226.579641417622</v>
      </c>
      <c r="M17" s="108">
        <f t="shared" si="2"/>
        <v>39562.683800095416</v>
      </c>
      <c r="N17" s="108">
        <f t="shared" si="2"/>
        <v>63370.572044550114</v>
      </c>
      <c r="O17" s="108">
        <f t="shared" si="2"/>
        <v>63370.572044550114</v>
      </c>
      <c r="P17" s="154"/>
    </row>
    <row r="18" spans="2:17" ht="12.75" customHeight="1" x14ac:dyDescent="0.2"/>
    <row r="19" spans="2:17" ht="12.75" customHeight="1" x14ac:dyDescent="0.2">
      <c r="B19" s="351" t="s">
        <v>66</v>
      </c>
      <c r="C19" s="351">
        <v>1</v>
      </c>
      <c r="D19" s="351" t="s">
        <v>134</v>
      </c>
      <c r="E19" s="352"/>
      <c r="F19" s="352"/>
      <c r="G19" s="352"/>
      <c r="H19" s="352"/>
      <c r="I19" s="352"/>
      <c r="J19" s="352"/>
      <c r="K19" s="352"/>
      <c r="L19" s="352"/>
      <c r="M19" s="352"/>
      <c r="N19" s="352"/>
      <c r="O19" s="352"/>
      <c r="P19" s="159" t="s">
        <v>50</v>
      </c>
    </row>
    <row r="20" spans="2:17" ht="12.75" customHeight="1" x14ac:dyDescent="0.2">
      <c r="B20" s="352"/>
      <c r="C20" s="352"/>
      <c r="D20" s="104">
        <v>1</v>
      </c>
      <c r="E20" s="104">
        <v>2</v>
      </c>
      <c r="F20" s="104">
        <v>3</v>
      </c>
      <c r="G20" s="104">
        <v>4</v>
      </c>
      <c r="H20" s="104">
        <v>5</v>
      </c>
      <c r="I20" s="104">
        <v>6</v>
      </c>
      <c r="J20" s="104">
        <v>7</v>
      </c>
      <c r="K20" s="104">
        <v>8</v>
      </c>
      <c r="L20" s="104">
        <v>9</v>
      </c>
      <c r="M20" s="104">
        <v>10</v>
      </c>
      <c r="N20" s="104">
        <v>11</v>
      </c>
      <c r="O20" s="104">
        <v>12</v>
      </c>
      <c r="P20" s="160"/>
    </row>
    <row r="21" spans="2:17" ht="12.75" customHeight="1" x14ac:dyDescent="0.2">
      <c r="B21" s="105" t="s">
        <v>0</v>
      </c>
      <c r="C21" s="105"/>
      <c r="D21" s="106">
        <f>+'Presupuesto de ventas'!C14/2</f>
        <v>2285.7843137254904</v>
      </c>
      <c r="E21" s="106">
        <f>+'Presupuesto de ventas'!D14/2</f>
        <v>2307.5708061002188</v>
      </c>
      <c r="F21" s="106">
        <f>+'Presupuesto de ventas'!E14/2</f>
        <v>2340.2505446623095</v>
      </c>
      <c r="G21" s="106">
        <f>+'Presupuesto de ventas'!F14/2</f>
        <v>2341.1492374727668</v>
      </c>
      <c r="H21" s="106">
        <f>+'Presupuesto de ventas'!G14/2</f>
        <v>2308.6492374727668</v>
      </c>
      <c r="I21" s="106">
        <f>+'Presupuesto de ventas'!H14/2</f>
        <v>2270.4330065359477</v>
      </c>
      <c r="J21" s="106">
        <f>+'Presupuesto de ventas'!I14/2</f>
        <v>4139.4335511982572</v>
      </c>
      <c r="K21" s="106">
        <f>+'Presupuesto de ventas'!J14/2</f>
        <v>2452.7777777777787</v>
      </c>
      <c r="L21" s="106">
        <f>+'Presupuesto de ventas'!K14/2</f>
        <v>2485.4575163398699</v>
      </c>
      <c r="M21" s="106">
        <f>+'Presupuesto de ventas'!L14/2</f>
        <v>2490.9041394335509</v>
      </c>
      <c r="N21" s="106">
        <f>+'Presupuesto de ventas'!M14/2</f>
        <v>2720.2913943355097</v>
      </c>
      <c r="O21" s="106">
        <f>+'Presupuesto de ventas'!N14/2</f>
        <v>4357.2984749455336</v>
      </c>
      <c r="P21" s="154"/>
    </row>
    <row r="22" spans="2:17" ht="12.75" customHeight="1" x14ac:dyDescent="0.2">
      <c r="B22" s="105" t="s">
        <v>131</v>
      </c>
      <c r="C22" s="105"/>
      <c r="D22" s="106">
        <f>+'Presupuesto de ventas'!C29/2</f>
        <v>1828.6274509803923</v>
      </c>
      <c r="E22" s="106">
        <f>+'Presupuesto de ventas'!D29/2</f>
        <v>1846.0566448801749</v>
      </c>
      <c r="F22" s="106">
        <f>+'Presupuesto de ventas'!E29/2</f>
        <v>1872.2004357298476</v>
      </c>
      <c r="G22" s="106">
        <f>+'Presupuesto de ventas'!F29/2</f>
        <v>1872.9193899782135</v>
      </c>
      <c r="H22" s="106">
        <f>+'Presupuesto de ventas'!G29/2</f>
        <v>1846.9193899782135</v>
      </c>
      <c r="I22" s="106">
        <f>+'Presupuesto de ventas'!H29/2</f>
        <v>1816.3464052287579</v>
      </c>
      <c r="J22" s="106">
        <f>+'Presupuesto de ventas'!I29/2</f>
        <v>3311.5468409586056</v>
      </c>
      <c r="K22" s="106">
        <f>+'Presupuesto de ventas'!J29/2</f>
        <v>1962.2222222222231</v>
      </c>
      <c r="L22" s="106">
        <f>+'Presupuesto de ventas'!K29/2</f>
        <v>1988.3660130718958</v>
      </c>
      <c r="M22" s="106">
        <f>+'Presupuesto de ventas'!L29/2</f>
        <v>1992.7233115468405</v>
      </c>
      <c r="N22" s="106">
        <f>+'Presupuesto de ventas'!M29/2</f>
        <v>2176.233115468408</v>
      </c>
      <c r="O22" s="106">
        <f>+'Presupuesto de ventas'!N29/2</f>
        <v>3485.8387799564266</v>
      </c>
      <c r="P22" s="154"/>
    </row>
    <row r="23" spans="2:17" ht="12.75" customHeight="1" x14ac:dyDescent="0.2">
      <c r="B23" s="105" t="s">
        <v>1</v>
      </c>
      <c r="C23" s="105"/>
      <c r="D23" s="106">
        <f>+'Presupuesto de ventas'!C44/2</f>
        <v>421.99095022624437</v>
      </c>
      <c r="E23" s="106">
        <f>+'Presupuesto de ventas'!D44/2</f>
        <v>426.01307189542496</v>
      </c>
      <c r="F23" s="106">
        <f>+'Presupuesto de ventas'!E44/2</f>
        <v>432.04625439919562</v>
      </c>
      <c r="G23" s="106">
        <f>+'Presupuesto de ventas'!F44/2</f>
        <v>432.21216691804926</v>
      </c>
      <c r="H23" s="106">
        <f>+'Presupuesto de ventas'!G44/2</f>
        <v>426.21216691804926</v>
      </c>
      <c r="I23" s="106">
        <f>+'Presupuesto de ventas'!H44/2</f>
        <v>419.15686274509801</v>
      </c>
      <c r="J23" s="106">
        <f>+'Presupuesto de ventas'!I44/2</f>
        <v>764.20311714429363</v>
      </c>
      <c r="K23" s="106">
        <f>+'Presupuesto de ventas'!J44/2</f>
        <v>452.82051282051304</v>
      </c>
      <c r="L23" s="106">
        <f>+'Presupuesto de ventas'!K44/2</f>
        <v>458.85369532428365</v>
      </c>
      <c r="M23" s="106">
        <f>+'Presupuesto de ventas'!L44/2</f>
        <v>459.8592257415786</v>
      </c>
      <c r="N23" s="106">
        <f>+'Presupuesto de ventas'!M44/2</f>
        <v>502.20764203117102</v>
      </c>
      <c r="O23" s="106">
        <f>+'Presupuesto de ventas'!N44/2</f>
        <v>804.42433383609841</v>
      </c>
      <c r="P23" s="154"/>
    </row>
    <row r="24" spans="2:17" ht="12.75" customHeight="1" x14ac:dyDescent="0.2">
      <c r="B24" s="105" t="s">
        <v>130</v>
      </c>
      <c r="C24" s="105"/>
      <c r="D24" s="107">
        <f>+D12</f>
        <v>8.058898305084746</v>
      </c>
      <c r="E24" s="107">
        <f t="shared" ref="E24:O24" si="3">+E12</f>
        <v>8.058898305084746</v>
      </c>
      <c r="F24" s="107">
        <f t="shared" si="3"/>
        <v>8.058898305084746</v>
      </c>
      <c r="G24" s="107">
        <f t="shared" si="3"/>
        <v>8.058898305084746</v>
      </c>
      <c r="H24" s="107">
        <f t="shared" si="3"/>
        <v>8.058898305084746</v>
      </c>
      <c r="I24" s="107">
        <f t="shared" si="3"/>
        <v>8.058898305084746</v>
      </c>
      <c r="J24" s="107">
        <f t="shared" si="3"/>
        <v>8.058898305084746</v>
      </c>
      <c r="K24" s="107">
        <f t="shared" si="3"/>
        <v>8.058898305084746</v>
      </c>
      <c r="L24" s="107">
        <f t="shared" si="3"/>
        <v>8.058898305084746</v>
      </c>
      <c r="M24" s="107">
        <f t="shared" si="3"/>
        <v>8.058898305084746</v>
      </c>
      <c r="N24" s="107">
        <f t="shared" si="3"/>
        <v>8.058898305084746</v>
      </c>
      <c r="O24" s="107">
        <f t="shared" si="3"/>
        <v>8.058898305084746</v>
      </c>
      <c r="P24" s="154"/>
    </row>
    <row r="25" spans="2:17" ht="12.75" customHeight="1" x14ac:dyDescent="0.2">
      <c r="B25" s="105" t="s">
        <v>129</v>
      </c>
      <c r="C25" s="105"/>
      <c r="D25" s="107">
        <f t="shared" ref="D25:O26" si="4">+D13</f>
        <v>8.1957627118644076</v>
      </c>
      <c r="E25" s="107">
        <f t="shared" si="4"/>
        <v>8.1957627118644076</v>
      </c>
      <c r="F25" s="107">
        <f t="shared" si="4"/>
        <v>8.1957627118644076</v>
      </c>
      <c r="G25" s="107">
        <f t="shared" si="4"/>
        <v>8.1957627118644076</v>
      </c>
      <c r="H25" s="107">
        <f t="shared" si="4"/>
        <v>8.1957627118644076</v>
      </c>
      <c r="I25" s="107">
        <f t="shared" si="4"/>
        <v>8.1957627118644076</v>
      </c>
      <c r="J25" s="107">
        <f t="shared" si="4"/>
        <v>8.1957627118644076</v>
      </c>
      <c r="K25" s="107">
        <f t="shared" si="4"/>
        <v>8.1957627118644076</v>
      </c>
      <c r="L25" s="107">
        <f t="shared" si="4"/>
        <v>8.1957627118644076</v>
      </c>
      <c r="M25" s="107">
        <f t="shared" si="4"/>
        <v>8.1957627118644076</v>
      </c>
      <c r="N25" s="107">
        <f t="shared" si="4"/>
        <v>8.1957627118644076</v>
      </c>
      <c r="O25" s="107">
        <f t="shared" si="4"/>
        <v>8.1957627118644076</v>
      </c>
      <c r="P25" s="154"/>
    </row>
    <row r="26" spans="2:17" ht="12.75" customHeight="1" x14ac:dyDescent="0.2">
      <c r="B26" s="105" t="s">
        <v>128</v>
      </c>
      <c r="C26" s="105"/>
      <c r="D26" s="107">
        <f t="shared" si="4"/>
        <v>8.453389830508474</v>
      </c>
      <c r="E26" s="107">
        <f t="shared" si="4"/>
        <v>8.453389830508474</v>
      </c>
      <c r="F26" s="107">
        <f t="shared" si="4"/>
        <v>8.453389830508474</v>
      </c>
      <c r="G26" s="107">
        <f t="shared" si="4"/>
        <v>8.453389830508474</v>
      </c>
      <c r="H26" s="107">
        <f t="shared" si="4"/>
        <v>8.453389830508474</v>
      </c>
      <c r="I26" s="107">
        <f t="shared" si="4"/>
        <v>8.453389830508474</v>
      </c>
      <c r="J26" s="107">
        <f t="shared" si="4"/>
        <v>8.453389830508474</v>
      </c>
      <c r="K26" s="107">
        <f t="shared" si="4"/>
        <v>8.453389830508474</v>
      </c>
      <c r="L26" s="107">
        <f t="shared" si="4"/>
        <v>8.453389830508474</v>
      </c>
      <c r="M26" s="107">
        <f t="shared" si="4"/>
        <v>8.453389830508474</v>
      </c>
      <c r="N26" s="107">
        <f t="shared" si="4"/>
        <v>8.453389830508474</v>
      </c>
      <c r="O26" s="107">
        <f t="shared" si="4"/>
        <v>8.453389830508474</v>
      </c>
      <c r="P26" s="154"/>
    </row>
    <row r="27" spans="2:17" ht="12.75" customHeight="1" x14ac:dyDescent="0.2">
      <c r="B27" s="105" t="s">
        <v>127</v>
      </c>
      <c r="C27" s="108"/>
      <c r="D27" s="108">
        <f t="shared" ref="D27:O27" si="5">+D21*D24+D22*D25+D23*D26</f>
        <v>36975.154015517553</v>
      </c>
      <c r="E27" s="108">
        <f t="shared" si="5"/>
        <v>37327.575241867009</v>
      </c>
      <c r="F27" s="108">
        <f t="shared" si="5"/>
        <v>37856.207081391163</v>
      </c>
      <c r="G27" s="108">
        <f t="shared" si="5"/>
        <v>37870.744456978064</v>
      </c>
      <c r="H27" s="108">
        <f t="shared" si="5"/>
        <v>37345.020092571292</v>
      </c>
      <c r="I27" s="108">
        <f t="shared" si="5"/>
        <v>36726.829208901079</v>
      </c>
      <c r="J27" s="108">
        <f t="shared" si="5"/>
        <v>66960.033006393933</v>
      </c>
      <c r="K27" s="108">
        <f t="shared" si="5"/>
        <v>39676.462715486043</v>
      </c>
      <c r="L27" s="108">
        <f t="shared" si="5"/>
        <v>40205.094555010197</v>
      </c>
      <c r="M27" s="108">
        <f t="shared" si="5"/>
        <v>40293.199861597539</v>
      </c>
      <c r="N27" s="108">
        <f t="shared" si="5"/>
        <v>44003.798901177492</v>
      </c>
      <c r="O27" s="108">
        <f t="shared" si="5"/>
        <v>70484.245269888328</v>
      </c>
      <c r="P27" s="154"/>
    </row>
    <row r="28" spans="2:17" ht="12.75" customHeight="1" x14ac:dyDescent="0.2">
      <c r="B28" s="105" t="s">
        <v>126</v>
      </c>
      <c r="C28" s="297">
        <f>D27-O15</f>
        <v>-26395.41802903256</v>
      </c>
      <c r="D28" s="108">
        <f>+E27-D27</f>
        <v>352.42122634945554</v>
      </c>
      <c r="E28" s="108">
        <f t="shared" ref="E28:N28" si="6">+F27-E27</f>
        <v>528.6318395241542</v>
      </c>
      <c r="F28" s="108">
        <f t="shared" si="6"/>
        <v>14.537375586900453</v>
      </c>
      <c r="G28" s="108">
        <f>+H27-G27</f>
        <v>-525.7243644067712</v>
      </c>
      <c r="H28" s="108">
        <f t="shared" si="6"/>
        <v>-618.19088367021322</v>
      </c>
      <c r="I28" s="108">
        <f t="shared" si="6"/>
        <v>30233.203797492853</v>
      </c>
      <c r="J28" s="108">
        <f t="shared" si="6"/>
        <v>-27283.57029090789</v>
      </c>
      <c r="K28" s="108">
        <f t="shared" si="6"/>
        <v>528.6318395241542</v>
      </c>
      <c r="L28" s="108">
        <f t="shared" si="6"/>
        <v>88.105306587342056</v>
      </c>
      <c r="M28" s="108">
        <f t="shared" si="6"/>
        <v>3710.5990395799527</v>
      </c>
      <c r="N28" s="108">
        <f t="shared" si="6"/>
        <v>26480.446368710836</v>
      </c>
      <c r="O28" s="108"/>
      <c r="P28" s="157">
        <f>SUM(C28:O28)</f>
        <v>7113.6732253382143</v>
      </c>
      <c r="Q28" s="102">
        <v>2</v>
      </c>
    </row>
    <row r="29" spans="2:17" ht="12.75" customHeight="1" x14ac:dyDescent="0.2">
      <c r="B29" s="109" t="s">
        <v>24</v>
      </c>
      <c r="C29" s="105"/>
      <c r="D29" s="108">
        <f>SUM(D27:D28)</f>
        <v>37327.575241867009</v>
      </c>
      <c r="E29" s="108">
        <f t="shared" ref="E29:O29" si="7">SUM(E27:E28)</f>
        <v>37856.207081391163</v>
      </c>
      <c r="F29" s="108">
        <f t="shared" si="7"/>
        <v>37870.744456978064</v>
      </c>
      <c r="G29" s="108">
        <f t="shared" si="7"/>
        <v>37345.020092571292</v>
      </c>
      <c r="H29" s="108">
        <f t="shared" si="7"/>
        <v>36726.829208901079</v>
      </c>
      <c r="I29" s="108">
        <f t="shared" si="7"/>
        <v>66960.033006393933</v>
      </c>
      <c r="J29" s="108">
        <f t="shared" si="7"/>
        <v>39676.462715486043</v>
      </c>
      <c r="K29" s="108">
        <f t="shared" si="7"/>
        <v>40205.094555010197</v>
      </c>
      <c r="L29" s="108">
        <f t="shared" si="7"/>
        <v>40293.199861597539</v>
      </c>
      <c r="M29" s="108">
        <f t="shared" si="7"/>
        <v>44003.798901177492</v>
      </c>
      <c r="N29" s="108">
        <f t="shared" si="7"/>
        <v>70484.245269888328</v>
      </c>
      <c r="O29" s="108">
        <f t="shared" si="7"/>
        <v>70484.245269888328</v>
      </c>
      <c r="P29" s="154"/>
    </row>
    <row r="30" spans="2:17" ht="12.75" customHeight="1" x14ac:dyDescent="0.2">
      <c r="C30" s="298"/>
    </row>
    <row r="31" spans="2:17" ht="12.75" customHeight="1" x14ac:dyDescent="0.2">
      <c r="B31" s="351" t="s">
        <v>66</v>
      </c>
      <c r="C31" s="351">
        <v>2</v>
      </c>
      <c r="D31" s="351" t="s">
        <v>135</v>
      </c>
      <c r="E31" s="352"/>
      <c r="F31" s="352"/>
      <c r="G31" s="352"/>
      <c r="H31" s="352"/>
      <c r="I31" s="352"/>
      <c r="J31" s="352"/>
      <c r="K31" s="352"/>
      <c r="L31" s="352"/>
      <c r="M31" s="352"/>
      <c r="N31" s="352"/>
      <c r="O31" s="352"/>
      <c r="P31" s="159" t="s">
        <v>50</v>
      </c>
    </row>
    <row r="32" spans="2:17" ht="12.75" customHeight="1" x14ac:dyDescent="0.2">
      <c r="B32" s="352"/>
      <c r="C32" s="352"/>
      <c r="D32" s="150">
        <v>1</v>
      </c>
      <c r="E32" s="150">
        <v>2</v>
      </c>
      <c r="F32" s="150">
        <v>3</v>
      </c>
      <c r="G32" s="150">
        <v>4</v>
      </c>
      <c r="H32" s="150">
        <v>5</v>
      </c>
      <c r="I32" s="150">
        <v>6</v>
      </c>
      <c r="J32" s="150">
        <v>7</v>
      </c>
      <c r="K32" s="150">
        <v>8</v>
      </c>
      <c r="L32" s="150">
        <v>9</v>
      </c>
      <c r="M32" s="150">
        <v>10</v>
      </c>
      <c r="N32" s="150">
        <v>11</v>
      </c>
      <c r="O32" s="150">
        <v>12</v>
      </c>
      <c r="P32" s="160"/>
    </row>
    <row r="33" spans="2:17" ht="12.75" customHeight="1" x14ac:dyDescent="0.2">
      <c r="B33" s="105" t="s">
        <v>0</v>
      </c>
      <c r="C33" s="105"/>
      <c r="D33" s="106">
        <f>+'Presupuesto de ventas'!C15/2</f>
        <v>2445.7892156862745</v>
      </c>
      <c r="E33" s="106">
        <f>+'Presupuesto de ventas'!D15/2</f>
        <v>2469.1007625272341</v>
      </c>
      <c r="F33" s="106">
        <f>+'Presupuesto de ventas'!E15/2</f>
        <v>2504.0680827886713</v>
      </c>
      <c r="G33" s="106">
        <f>+'Presupuesto de ventas'!F15/2</f>
        <v>2505.0296840958604</v>
      </c>
      <c r="H33" s="106">
        <f>+'Presupuesto de ventas'!G15/2</f>
        <v>2470.2546840958603</v>
      </c>
      <c r="I33" s="106">
        <f>+'Presupuesto de ventas'!H15/2</f>
        <v>2429.3633169934637</v>
      </c>
      <c r="J33" s="106">
        <f>+'Presupuesto de ventas'!I15/2</f>
        <v>4429.1938997821353</v>
      </c>
      <c r="K33" s="106">
        <f>+'Presupuesto de ventas'!J15/2</f>
        <v>2624.4722222222235</v>
      </c>
      <c r="L33" s="106">
        <f>+'Presupuesto de ventas'!K15/2</f>
        <v>2659.4395424836607</v>
      </c>
      <c r="M33" s="106">
        <f>+'Presupuesto de ventas'!L15/2</f>
        <v>2665.2674291938993</v>
      </c>
      <c r="N33" s="106">
        <f>+'Presupuesto de ventas'!M15/2</f>
        <v>2910.7117919389952</v>
      </c>
      <c r="O33" s="106">
        <f>+'Presupuesto de ventas'!N15/2</f>
        <v>4662.3093681917208</v>
      </c>
      <c r="P33" s="154"/>
    </row>
    <row r="34" spans="2:17" ht="12.75" customHeight="1" x14ac:dyDescent="0.2">
      <c r="B34" s="105" t="s">
        <v>131</v>
      </c>
      <c r="C34" s="105"/>
      <c r="D34" s="106">
        <f>+'Presupuesto de ventas'!C30/2</f>
        <v>1956.6313725490197</v>
      </c>
      <c r="E34" s="106">
        <f>+'Presupuesto de ventas'!D30/2</f>
        <v>1975.2806100217872</v>
      </c>
      <c r="F34" s="106">
        <f>+'Presupuesto de ventas'!E30/2</f>
        <v>2003.2544662309369</v>
      </c>
      <c r="G34" s="106">
        <f>+'Presupuesto de ventas'!F30/2</f>
        <v>2004.0237472766885</v>
      </c>
      <c r="H34" s="106">
        <f>+'Presupuesto de ventas'!G30/2</f>
        <v>1976.2037472766883</v>
      </c>
      <c r="I34" s="106">
        <f>+'Presupuesto de ventas'!H30/2</f>
        <v>1943.4906535947712</v>
      </c>
      <c r="J34" s="106">
        <f>+'Presupuesto de ventas'!I30/2</f>
        <v>3543.3551198257082</v>
      </c>
      <c r="K34" s="106">
        <f>+'Presupuesto de ventas'!J30/2</f>
        <v>2099.5777777777789</v>
      </c>
      <c r="L34" s="106">
        <f>+'Presupuesto de ventas'!K30/2</f>
        <v>2127.5516339869287</v>
      </c>
      <c r="M34" s="106">
        <f>+'Presupuesto de ventas'!L30/2</f>
        <v>2132.2139433551192</v>
      </c>
      <c r="N34" s="106">
        <f>+'Presupuesto de ventas'!M30/2</f>
        <v>2328.5694335511962</v>
      </c>
      <c r="O34" s="106">
        <f>+'Presupuesto de ventas'!N30/2</f>
        <v>3729.8474945533767</v>
      </c>
      <c r="P34" s="154"/>
    </row>
    <row r="35" spans="2:17" ht="12.75" customHeight="1" x14ac:dyDescent="0.2">
      <c r="B35" s="105" t="s">
        <v>1</v>
      </c>
      <c r="C35" s="105"/>
      <c r="D35" s="106">
        <f>+'Presupuesto de ventas'!C45/2</f>
        <v>451.53031674208148</v>
      </c>
      <c r="E35" s="106">
        <f>+'Presupuesto de ventas'!D45/2</f>
        <v>455.83398692810471</v>
      </c>
      <c r="F35" s="106">
        <f>+'Presupuesto de ventas'!E45/2</f>
        <v>462.28949220713929</v>
      </c>
      <c r="G35" s="106">
        <f>+'Presupuesto de ventas'!F45/2</f>
        <v>462.46701860231269</v>
      </c>
      <c r="H35" s="106">
        <f>+'Presupuesto de ventas'!G45/2</f>
        <v>456.04701860231268</v>
      </c>
      <c r="I35" s="106">
        <f>+'Presupuesto de ventas'!H45/2</f>
        <v>448.49784313725485</v>
      </c>
      <c r="J35" s="106">
        <f>+'Presupuesto de ventas'!I45/2</f>
        <v>817.69733534439422</v>
      </c>
      <c r="K35" s="106">
        <f>+'Presupuesto de ventas'!J45/2</f>
        <v>484.51794871794891</v>
      </c>
      <c r="L35" s="106">
        <f>+'Presupuesto de ventas'!K45/2</f>
        <v>490.97345399698349</v>
      </c>
      <c r="M35" s="106">
        <f>+'Presupuesto de ventas'!L45/2</f>
        <v>492.04937154348909</v>
      </c>
      <c r="N35" s="106">
        <f>+'Presupuesto de ventas'!M45/2</f>
        <v>537.36217697335303</v>
      </c>
      <c r="O35" s="106">
        <f>+'Presupuesto de ventas'!N45/2</f>
        <v>860.73403720462534</v>
      </c>
      <c r="P35" s="154"/>
    </row>
    <row r="36" spans="2:17" ht="12.75" customHeight="1" x14ac:dyDescent="0.2">
      <c r="B36" s="105" t="s">
        <v>130</v>
      </c>
      <c r="C36" s="105"/>
      <c r="D36" s="107">
        <f>+D24</f>
        <v>8.058898305084746</v>
      </c>
      <c r="E36" s="107">
        <f t="shared" ref="E36:O36" si="8">+E24</f>
        <v>8.058898305084746</v>
      </c>
      <c r="F36" s="107">
        <f t="shared" si="8"/>
        <v>8.058898305084746</v>
      </c>
      <c r="G36" s="107">
        <f t="shared" si="8"/>
        <v>8.058898305084746</v>
      </c>
      <c r="H36" s="107">
        <f t="shared" si="8"/>
        <v>8.058898305084746</v>
      </c>
      <c r="I36" s="107">
        <f t="shared" si="8"/>
        <v>8.058898305084746</v>
      </c>
      <c r="J36" s="107">
        <f t="shared" si="8"/>
        <v>8.058898305084746</v>
      </c>
      <c r="K36" s="107">
        <f t="shared" si="8"/>
        <v>8.058898305084746</v>
      </c>
      <c r="L36" s="107">
        <f t="shared" si="8"/>
        <v>8.058898305084746</v>
      </c>
      <c r="M36" s="107">
        <f t="shared" si="8"/>
        <v>8.058898305084746</v>
      </c>
      <c r="N36" s="107">
        <f t="shared" si="8"/>
        <v>8.058898305084746</v>
      </c>
      <c r="O36" s="107">
        <f t="shared" si="8"/>
        <v>8.058898305084746</v>
      </c>
      <c r="P36" s="154"/>
    </row>
    <row r="37" spans="2:17" ht="12.75" customHeight="1" x14ac:dyDescent="0.2">
      <c r="B37" s="105" t="s">
        <v>129</v>
      </c>
      <c r="C37" s="105"/>
      <c r="D37" s="107">
        <f t="shared" ref="D37:O38" si="9">+D25</f>
        <v>8.1957627118644076</v>
      </c>
      <c r="E37" s="107">
        <f t="shared" si="9"/>
        <v>8.1957627118644076</v>
      </c>
      <c r="F37" s="107">
        <f t="shared" si="9"/>
        <v>8.1957627118644076</v>
      </c>
      <c r="G37" s="107">
        <f t="shared" si="9"/>
        <v>8.1957627118644076</v>
      </c>
      <c r="H37" s="107">
        <f t="shared" si="9"/>
        <v>8.1957627118644076</v>
      </c>
      <c r="I37" s="107">
        <f t="shared" si="9"/>
        <v>8.1957627118644076</v>
      </c>
      <c r="J37" s="107">
        <f t="shared" si="9"/>
        <v>8.1957627118644076</v>
      </c>
      <c r="K37" s="107">
        <f t="shared" si="9"/>
        <v>8.1957627118644076</v>
      </c>
      <c r="L37" s="107">
        <f t="shared" si="9"/>
        <v>8.1957627118644076</v>
      </c>
      <c r="M37" s="107">
        <f t="shared" si="9"/>
        <v>8.1957627118644076</v>
      </c>
      <c r="N37" s="107">
        <f t="shared" si="9"/>
        <v>8.1957627118644076</v>
      </c>
      <c r="O37" s="107">
        <f t="shared" si="9"/>
        <v>8.1957627118644076</v>
      </c>
      <c r="P37" s="154"/>
    </row>
    <row r="38" spans="2:17" ht="12.75" customHeight="1" x14ac:dyDescent="0.2">
      <c r="B38" s="105" t="s">
        <v>128</v>
      </c>
      <c r="C38" s="105"/>
      <c r="D38" s="107">
        <f t="shared" si="9"/>
        <v>8.453389830508474</v>
      </c>
      <c r="E38" s="107">
        <f t="shared" si="9"/>
        <v>8.453389830508474</v>
      </c>
      <c r="F38" s="107">
        <f t="shared" si="9"/>
        <v>8.453389830508474</v>
      </c>
      <c r="G38" s="107">
        <f t="shared" si="9"/>
        <v>8.453389830508474</v>
      </c>
      <c r="H38" s="107">
        <f t="shared" si="9"/>
        <v>8.453389830508474</v>
      </c>
      <c r="I38" s="107">
        <f t="shared" si="9"/>
        <v>8.453389830508474</v>
      </c>
      <c r="J38" s="107">
        <f t="shared" si="9"/>
        <v>8.453389830508474</v>
      </c>
      <c r="K38" s="107">
        <f t="shared" si="9"/>
        <v>8.453389830508474</v>
      </c>
      <c r="L38" s="107">
        <f t="shared" si="9"/>
        <v>8.453389830508474</v>
      </c>
      <c r="M38" s="107">
        <f t="shared" si="9"/>
        <v>8.453389830508474</v>
      </c>
      <c r="N38" s="107">
        <f t="shared" si="9"/>
        <v>8.453389830508474</v>
      </c>
      <c r="O38" s="107">
        <f t="shared" si="9"/>
        <v>8.453389830508474</v>
      </c>
      <c r="P38" s="154"/>
    </row>
    <row r="39" spans="2:17" ht="12.75" customHeight="1" x14ac:dyDescent="0.2">
      <c r="B39" s="105" t="s">
        <v>127</v>
      </c>
      <c r="C39" s="108"/>
      <c r="D39" s="108">
        <f t="shared" ref="D39:N39" si="10">+D33*D36+D34*D37+D35*D38</f>
        <v>39563.414796603778</v>
      </c>
      <c r="E39" s="108">
        <f t="shared" si="10"/>
        <v>39940.505508797702</v>
      </c>
      <c r="F39" s="108">
        <f t="shared" si="10"/>
        <v>40506.141577088543</v>
      </c>
      <c r="G39" s="108">
        <f t="shared" si="10"/>
        <v>40521.69656896653</v>
      </c>
      <c r="H39" s="108">
        <f t="shared" si="10"/>
        <v>39959.171499051277</v>
      </c>
      <c r="I39" s="108">
        <f t="shared" si="10"/>
        <v>39297.707253524146</v>
      </c>
      <c r="J39" s="108">
        <f t="shared" si="10"/>
        <v>71647.235316841514</v>
      </c>
      <c r="K39" s="108">
        <f t="shared" si="10"/>
        <v>42453.815105570065</v>
      </c>
      <c r="L39" s="108">
        <f t="shared" si="10"/>
        <v>43019.4511738609</v>
      </c>
      <c r="M39" s="108">
        <f t="shared" si="10"/>
        <v>43113.723851909366</v>
      </c>
      <c r="N39" s="108">
        <f t="shared" si="10"/>
        <v>47084.064824259905</v>
      </c>
      <c r="O39" s="108">
        <f>+O33*O36+O34*O37+O35*O38</f>
        <v>75418.142438780516</v>
      </c>
      <c r="P39" s="154"/>
    </row>
    <row r="40" spans="2:17" ht="12.75" customHeight="1" x14ac:dyDescent="0.2">
      <c r="B40" s="105" t="s">
        <v>126</v>
      </c>
      <c r="C40" s="297">
        <f>D39-O27</f>
        <v>-30920.83047328455</v>
      </c>
      <c r="D40" s="108">
        <f>+E39-D39</f>
        <v>377.09071219392354</v>
      </c>
      <c r="E40" s="108">
        <f t="shared" ref="E40:M40" si="11">+F39-E39</f>
        <v>565.63606829084165</v>
      </c>
      <c r="F40" s="108">
        <f t="shared" si="11"/>
        <v>15.55499187798705</v>
      </c>
      <c r="G40" s="108">
        <f t="shared" si="11"/>
        <v>-562.52506991525297</v>
      </c>
      <c r="H40" s="108">
        <f t="shared" si="11"/>
        <v>-661.46424552713142</v>
      </c>
      <c r="I40" s="108">
        <f t="shared" si="11"/>
        <v>32349.528063317368</v>
      </c>
      <c r="J40" s="108">
        <f t="shared" si="11"/>
        <v>-29193.420211271448</v>
      </c>
      <c r="K40" s="108">
        <f t="shared" si="11"/>
        <v>565.63606829083437</v>
      </c>
      <c r="L40" s="108">
        <f t="shared" si="11"/>
        <v>94.272678048466332</v>
      </c>
      <c r="M40" s="108">
        <f t="shared" si="11"/>
        <v>3970.3409723505392</v>
      </c>
      <c r="N40" s="108">
        <f>+O39-N39</f>
        <v>28334.077614520611</v>
      </c>
      <c r="O40" s="108"/>
      <c r="P40" s="157">
        <f>SUM(C40:N40)</f>
        <v>4933.8971688921883</v>
      </c>
      <c r="Q40" s="102">
        <v>3</v>
      </c>
    </row>
    <row r="41" spans="2:17" ht="12.75" customHeight="1" x14ac:dyDescent="0.2">
      <c r="B41" s="109" t="s">
        <v>24</v>
      </c>
      <c r="C41" s="105"/>
      <c r="D41" s="108">
        <f t="shared" ref="D41:O41" si="12">SUM(D39:D40)</f>
        <v>39940.505508797702</v>
      </c>
      <c r="E41" s="108">
        <f t="shared" si="12"/>
        <v>40506.141577088543</v>
      </c>
      <c r="F41" s="108">
        <f t="shared" si="12"/>
        <v>40521.69656896653</v>
      </c>
      <c r="G41" s="108">
        <f t="shared" si="12"/>
        <v>39959.171499051277</v>
      </c>
      <c r="H41" s="108">
        <f t="shared" si="12"/>
        <v>39297.707253524146</v>
      </c>
      <c r="I41" s="108">
        <f t="shared" si="12"/>
        <v>71647.235316841514</v>
      </c>
      <c r="J41" s="108">
        <f t="shared" si="12"/>
        <v>42453.815105570065</v>
      </c>
      <c r="K41" s="108">
        <f t="shared" si="12"/>
        <v>43019.4511738609</v>
      </c>
      <c r="L41" s="108">
        <f t="shared" si="12"/>
        <v>43113.723851909366</v>
      </c>
      <c r="M41" s="108">
        <f t="shared" si="12"/>
        <v>47084.064824259905</v>
      </c>
      <c r="N41" s="108">
        <f t="shared" si="12"/>
        <v>75418.142438780516</v>
      </c>
      <c r="O41" s="108">
        <f t="shared" si="12"/>
        <v>75418.142438780516</v>
      </c>
      <c r="P41" s="154"/>
    </row>
    <row r="42" spans="2:17" ht="12.75" customHeight="1" x14ac:dyDescent="0.2"/>
    <row r="43" spans="2:17" ht="12.75" customHeight="1" x14ac:dyDescent="0.2">
      <c r="B43" s="351" t="s">
        <v>66</v>
      </c>
      <c r="C43" s="351">
        <v>3</v>
      </c>
      <c r="D43" s="351" t="s">
        <v>136</v>
      </c>
      <c r="E43" s="352"/>
      <c r="F43" s="352"/>
      <c r="G43" s="352"/>
      <c r="H43" s="352"/>
      <c r="I43" s="352"/>
      <c r="J43" s="352"/>
      <c r="K43" s="352"/>
      <c r="L43" s="352"/>
      <c r="M43" s="352"/>
      <c r="N43" s="352"/>
      <c r="O43" s="352"/>
      <c r="P43" s="159" t="s">
        <v>50</v>
      </c>
    </row>
    <row r="44" spans="2:17" ht="12.75" customHeight="1" x14ac:dyDescent="0.2">
      <c r="B44" s="352"/>
      <c r="C44" s="352"/>
      <c r="D44" s="150">
        <v>1</v>
      </c>
      <c r="E44" s="150">
        <v>2</v>
      </c>
      <c r="F44" s="150">
        <v>3</v>
      </c>
      <c r="G44" s="150">
        <v>4</v>
      </c>
      <c r="H44" s="150">
        <v>5</v>
      </c>
      <c r="I44" s="150">
        <v>6</v>
      </c>
      <c r="J44" s="150">
        <v>7</v>
      </c>
      <c r="K44" s="150">
        <v>8</v>
      </c>
      <c r="L44" s="150">
        <v>9</v>
      </c>
      <c r="M44" s="150">
        <v>10</v>
      </c>
      <c r="N44" s="150">
        <v>11</v>
      </c>
      <c r="O44" s="150">
        <v>12</v>
      </c>
      <c r="P44" s="160"/>
    </row>
    <row r="45" spans="2:17" ht="12.75" customHeight="1" x14ac:dyDescent="0.2">
      <c r="B45" s="105" t="s">
        <v>0</v>
      </c>
      <c r="C45" s="105"/>
      <c r="D45" s="106">
        <f>+'Presupuesto de ventas'!C16/2</f>
        <v>2616.994460784314</v>
      </c>
      <c r="E45" s="106">
        <f>+'Presupuesto de ventas'!D16/2</f>
        <v>2641.9378159041403</v>
      </c>
      <c r="F45" s="106">
        <f>+'Presupuesto de ventas'!E16/2</f>
        <v>2679.3528485838783</v>
      </c>
      <c r="G45" s="106">
        <f>+'Presupuesto de ventas'!F16/2</f>
        <v>2680.3817619825709</v>
      </c>
      <c r="H45" s="106">
        <f>+'Presupuesto de ventas'!G16/2</f>
        <v>2643.1725119825705</v>
      </c>
      <c r="I45" s="106">
        <f>+'Presupuesto de ventas'!H16/2</f>
        <v>2599.4187491830062</v>
      </c>
      <c r="J45" s="106">
        <f>+'Presupuesto de ventas'!I16/2</f>
        <v>4739.2374727668848</v>
      </c>
      <c r="K45" s="106">
        <f>+'Presupuesto de ventas'!J16/2</f>
        <v>2808.185277777779</v>
      </c>
      <c r="L45" s="106">
        <f>+'Presupuesto de ventas'!K16/2</f>
        <v>2845.600310457517</v>
      </c>
      <c r="M45" s="106">
        <f>+'Presupuesto de ventas'!L16/2</f>
        <v>2851.836149237472</v>
      </c>
      <c r="N45" s="106">
        <f>+'Presupuesto de ventas'!M16/2</f>
        <v>3114.4616173747249</v>
      </c>
      <c r="O45" s="106">
        <f>+'Presupuesto de ventas'!N16/2</f>
        <v>4988.6710239651411</v>
      </c>
      <c r="P45" s="154"/>
    </row>
    <row r="46" spans="2:17" ht="12.75" customHeight="1" x14ac:dyDescent="0.2">
      <c r="B46" s="105" t="s">
        <v>131</v>
      </c>
      <c r="C46" s="105"/>
      <c r="D46" s="106">
        <f>+'Presupuesto de ventas'!C31/2</f>
        <v>2093.595568627451</v>
      </c>
      <c r="E46" s="106">
        <f>+'Presupuesto de ventas'!D31/2</f>
        <v>2113.5502527233125</v>
      </c>
      <c r="F46" s="106">
        <f>+'Presupuesto de ventas'!E31/2</f>
        <v>2143.4822788671027</v>
      </c>
      <c r="G46" s="106">
        <f>+'Presupuesto de ventas'!F31/2</f>
        <v>2144.3054095860566</v>
      </c>
      <c r="H46" s="106">
        <f>+'Presupuesto de ventas'!G31/2</f>
        <v>2114.5380095860564</v>
      </c>
      <c r="I46" s="106">
        <f>+'Presupuesto de ventas'!H31/2</f>
        <v>2079.5349993464051</v>
      </c>
      <c r="J46" s="106">
        <f>+'Presupuesto de ventas'!I31/2</f>
        <v>3791.3899782135077</v>
      </c>
      <c r="K46" s="106">
        <f>+'Presupuesto de ventas'!J31/2</f>
        <v>2246.5482222222236</v>
      </c>
      <c r="L46" s="106">
        <f>+'Presupuesto de ventas'!K31/2</f>
        <v>2276.4802483660137</v>
      </c>
      <c r="M46" s="106">
        <f>+'Presupuesto de ventas'!L31/2</f>
        <v>2281.4689193899781</v>
      </c>
      <c r="N46" s="106">
        <f>+'Presupuesto de ventas'!M31/2</f>
        <v>2491.56929389978</v>
      </c>
      <c r="O46" s="106">
        <f>+'Presupuesto de ventas'!N31/2</f>
        <v>3990.9368191721132</v>
      </c>
      <c r="P46" s="154"/>
    </row>
    <row r="47" spans="2:17" ht="12.75" customHeight="1" x14ac:dyDescent="0.2">
      <c r="B47" s="105" t="s">
        <v>1</v>
      </c>
      <c r="C47" s="105"/>
      <c r="D47" s="106">
        <f>+'Presupuesto de ventas'!C46/2</f>
        <v>483.1374389140272</v>
      </c>
      <c r="E47" s="106">
        <f>+'Presupuesto de ventas'!D46/2</f>
        <v>487.74236601307211</v>
      </c>
      <c r="F47" s="106">
        <f>+'Presupuesto de ventas'!E46/2</f>
        <v>494.64975666163912</v>
      </c>
      <c r="G47" s="106">
        <f>+'Presupuesto de ventas'!F46/2</f>
        <v>494.83970990447466</v>
      </c>
      <c r="H47" s="106">
        <f>+'Presupuesto de ventas'!G46/2</f>
        <v>487.97030990447462</v>
      </c>
      <c r="I47" s="106">
        <f>+'Presupuesto de ventas'!H46/2</f>
        <v>479.89269215686272</v>
      </c>
      <c r="J47" s="106">
        <f>+'Presupuesto de ventas'!I46/2</f>
        <v>874.93614881850181</v>
      </c>
      <c r="K47" s="106">
        <f>+'Presupuesto de ventas'!J46/2</f>
        <v>518.43420512820535</v>
      </c>
      <c r="L47" s="106">
        <f>+'Presupuesto de ventas'!K46/2</f>
        <v>525.34159577677235</v>
      </c>
      <c r="M47" s="106">
        <f>+'Presupuesto de ventas'!L46/2</f>
        <v>526.49282755153331</v>
      </c>
      <c r="N47" s="106">
        <f>+'Presupuesto de ventas'!M46/2</f>
        <v>574.97752936148777</v>
      </c>
      <c r="O47" s="106">
        <f>+'Presupuesto de ventas'!N46/2</f>
        <v>920.98541980894925</v>
      </c>
      <c r="P47" s="154"/>
    </row>
    <row r="48" spans="2:17" ht="12.75" customHeight="1" x14ac:dyDescent="0.2">
      <c r="B48" s="105" t="s">
        <v>130</v>
      </c>
      <c r="C48" s="105"/>
      <c r="D48" s="107">
        <f>+D36</f>
        <v>8.058898305084746</v>
      </c>
      <c r="E48" s="107">
        <f t="shared" ref="E48:O48" si="13">+E36</f>
        <v>8.058898305084746</v>
      </c>
      <c r="F48" s="107">
        <f t="shared" si="13"/>
        <v>8.058898305084746</v>
      </c>
      <c r="G48" s="107">
        <f t="shared" si="13"/>
        <v>8.058898305084746</v>
      </c>
      <c r="H48" s="107">
        <f t="shared" si="13"/>
        <v>8.058898305084746</v>
      </c>
      <c r="I48" s="107">
        <f t="shared" si="13"/>
        <v>8.058898305084746</v>
      </c>
      <c r="J48" s="107">
        <f t="shared" si="13"/>
        <v>8.058898305084746</v>
      </c>
      <c r="K48" s="107">
        <f t="shared" si="13"/>
        <v>8.058898305084746</v>
      </c>
      <c r="L48" s="107">
        <f t="shared" si="13"/>
        <v>8.058898305084746</v>
      </c>
      <c r="M48" s="107">
        <f t="shared" si="13"/>
        <v>8.058898305084746</v>
      </c>
      <c r="N48" s="107">
        <f t="shared" si="13"/>
        <v>8.058898305084746</v>
      </c>
      <c r="O48" s="107">
        <f t="shared" si="13"/>
        <v>8.058898305084746</v>
      </c>
      <c r="P48" s="154"/>
    </row>
    <row r="49" spans="2:17" ht="12.75" customHeight="1" x14ac:dyDescent="0.2">
      <c r="B49" s="105" t="s">
        <v>129</v>
      </c>
      <c r="C49" s="105"/>
      <c r="D49" s="107">
        <f t="shared" ref="D49:O50" si="14">+D37</f>
        <v>8.1957627118644076</v>
      </c>
      <c r="E49" s="107">
        <f t="shared" si="14"/>
        <v>8.1957627118644076</v>
      </c>
      <c r="F49" s="107">
        <f t="shared" si="14"/>
        <v>8.1957627118644076</v>
      </c>
      <c r="G49" s="107">
        <f t="shared" si="14"/>
        <v>8.1957627118644076</v>
      </c>
      <c r="H49" s="107">
        <f t="shared" si="14"/>
        <v>8.1957627118644076</v>
      </c>
      <c r="I49" s="107">
        <f t="shared" si="14"/>
        <v>8.1957627118644076</v>
      </c>
      <c r="J49" s="107">
        <f t="shared" si="14"/>
        <v>8.1957627118644076</v>
      </c>
      <c r="K49" s="107">
        <f t="shared" si="14"/>
        <v>8.1957627118644076</v>
      </c>
      <c r="L49" s="107">
        <f t="shared" si="14"/>
        <v>8.1957627118644076</v>
      </c>
      <c r="M49" s="107">
        <f t="shared" si="14"/>
        <v>8.1957627118644076</v>
      </c>
      <c r="N49" s="107">
        <f t="shared" si="14"/>
        <v>8.1957627118644076</v>
      </c>
      <c r="O49" s="107">
        <f t="shared" si="14"/>
        <v>8.1957627118644076</v>
      </c>
      <c r="P49" s="154"/>
    </row>
    <row r="50" spans="2:17" ht="12.75" customHeight="1" x14ac:dyDescent="0.2">
      <c r="B50" s="105" t="s">
        <v>128</v>
      </c>
      <c r="C50" s="105"/>
      <c r="D50" s="107">
        <f t="shared" si="14"/>
        <v>8.453389830508474</v>
      </c>
      <c r="E50" s="107">
        <f t="shared" si="14"/>
        <v>8.453389830508474</v>
      </c>
      <c r="F50" s="107">
        <f t="shared" si="14"/>
        <v>8.453389830508474</v>
      </c>
      <c r="G50" s="107">
        <f t="shared" si="14"/>
        <v>8.453389830508474</v>
      </c>
      <c r="H50" s="107">
        <f t="shared" si="14"/>
        <v>8.453389830508474</v>
      </c>
      <c r="I50" s="107">
        <f t="shared" si="14"/>
        <v>8.453389830508474</v>
      </c>
      <c r="J50" s="107">
        <f t="shared" si="14"/>
        <v>8.453389830508474</v>
      </c>
      <c r="K50" s="107">
        <f t="shared" si="14"/>
        <v>8.453389830508474</v>
      </c>
      <c r="L50" s="107">
        <f t="shared" si="14"/>
        <v>8.453389830508474</v>
      </c>
      <c r="M50" s="107">
        <f t="shared" si="14"/>
        <v>8.453389830508474</v>
      </c>
      <c r="N50" s="107">
        <f t="shared" si="14"/>
        <v>8.453389830508474</v>
      </c>
      <c r="O50" s="107">
        <f t="shared" si="14"/>
        <v>8.453389830508474</v>
      </c>
      <c r="P50" s="154"/>
    </row>
    <row r="51" spans="2:17" ht="12.75" customHeight="1" x14ac:dyDescent="0.2">
      <c r="B51" s="105" t="s">
        <v>127</v>
      </c>
      <c r="C51" s="108"/>
      <c r="D51" s="108">
        <f t="shared" ref="D51:O51" si="15">+D45*D48+D46*D49+D47*D50</f>
        <v>42332.853832366047</v>
      </c>
      <c r="E51" s="108">
        <f t="shared" si="15"/>
        <v>42736.340894413544</v>
      </c>
      <c r="F51" s="108">
        <f t="shared" si="15"/>
        <v>43341.57148748474</v>
      </c>
      <c r="G51" s="108">
        <f t="shared" si="15"/>
        <v>43358.215328794191</v>
      </c>
      <c r="H51" s="108">
        <f t="shared" si="15"/>
        <v>42756.313503984864</v>
      </c>
      <c r="I51" s="108">
        <f t="shared" si="15"/>
        <v>42048.546761270838</v>
      </c>
      <c r="J51" s="108">
        <f t="shared" si="15"/>
        <v>76662.541789020412</v>
      </c>
      <c r="K51" s="108">
        <f t="shared" si="15"/>
        <v>45425.582162959974</v>
      </c>
      <c r="L51" s="108">
        <f t="shared" si="15"/>
        <v>46030.812756031177</v>
      </c>
      <c r="M51" s="108">
        <f t="shared" si="15"/>
        <v>46131.684521543022</v>
      </c>
      <c r="N51" s="108">
        <f t="shared" si="15"/>
        <v>50379.949361958104</v>
      </c>
      <c r="O51" s="108">
        <f t="shared" si="15"/>
        <v>80697.412409495169</v>
      </c>
      <c r="P51" s="154"/>
    </row>
    <row r="52" spans="2:17" ht="12.75" customHeight="1" x14ac:dyDescent="0.2">
      <c r="B52" s="105" t="s">
        <v>126</v>
      </c>
      <c r="C52" s="297">
        <f>D51-O39</f>
        <v>-33085.28860641447</v>
      </c>
      <c r="D52" s="108">
        <f t="shared" ref="D52:N52" si="16">+E51-D51</f>
        <v>403.4870620474976</v>
      </c>
      <c r="E52" s="108">
        <f t="shared" si="16"/>
        <v>605.23059307119547</v>
      </c>
      <c r="F52" s="108">
        <f t="shared" si="16"/>
        <v>16.643841309451091</v>
      </c>
      <c r="G52" s="108">
        <f t="shared" si="16"/>
        <v>-601.90182480932708</v>
      </c>
      <c r="H52" s="108">
        <f t="shared" si="16"/>
        <v>-707.7667427140259</v>
      </c>
      <c r="I52" s="108">
        <f t="shared" si="16"/>
        <v>34613.995027749574</v>
      </c>
      <c r="J52" s="108">
        <f t="shared" si="16"/>
        <v>-31236.959626060438</v>
      </c>
      <c r="K52" s="108">
        <f t="shared" si="16"/>
        <v>605.23059307120275</v>
      </c>
      <c r="L52" s="108">
        <f t="shared" si="16"/>
        <v>100.8717655118453</v>
      </c>
      <c r="M52" s="108">
        <f t="shared" si="16"/>
        <v>4248.2648404150823</v>
      </c>
      <c r="N52" s="108">
        <f t="shared" si="16"/>
        <v>30317.463047537065</v>
      </c>
      <c r="O52" s="108"/>
      <c r="P52" s="157">
        <f>SUM(C52:O52)</f>
        <v>5279.269970714653</v>
      </c>
      <c r="Q52" s="102">
        <v>4</v>
      </c>
    </row>
    <row r="53" spans="2:17" ht="12.75" customHeight="1" x14ac:dyDescent="0.2">
      <c r="B53" s="109" t="s">
        <v>24</v>
      </c>
      <c r="C53" s="105"/>
      <c r="D53" s="108">
        <f t="shared" ref="D53:O53" si="17">SUM(D51:D52)</f>
        <v>42736.340894413544</v>
      </c>
      <c r="E53" s="108">
        <f t="shared" si="17"/>
        <v>43341.57148748474</v>
      </c>
      <c r="F53" s="108">
        <f t="shared" si="17"/>
        <v>43358.215328794191</v>
      </c>
      <c r="G53" s="108">
        <f t="shared" si="17"/>
        <v>42756.313503984864</v>
      </c>
      <c r="H53" s="108">
        <f t="shared" si="17"/>
        <v>42048.546761270838</v>
      </c>
      <c r="I53" s="108">
        <f t="shared" si="17"/>
        <v>76662.541789020412</v>
      </c>
      <c r="J53" s="108">
        <f t="shared" si="17"/>
        <v>45425.582162959974</v>
      </c>
      <c r="K53" s="108">
        <f t="shared" si="17"/>
        <v>46030.812756031177</v>
      </c>
      <c r="L53" s="108">
        <f t="shared" si="17"/>
        <v>46131.684521543022</v>
      </c>
      <c r="M53" s="108">
        <f t="shared" si="17"/>
        <v>50379.949361958104</v>
      </c>
      <c r="N53" s="108">
        <f t="shared" si="17"/>
        <v>80697.412409495169</v>
      </c>
      <c r="O53" s="108">
        <f t="shared" si="17"/>
        <v>80697.412409495169</v>
      </c>
      <c r="P53" s="154"/>
    </row>
    <row r="54" spans="2:17" ht="12.75" customHeight="1" x14ac:dyDescent="0.2"/>
    <row r="55" spans="2:17" ht="12.75" customHeight="1" x14ac:dyDescent="0.2">
      <c r="B55" s="351" t="s">
        <v>66</v>
      </c>
      <c r="C55" s="351">
        <v>4</v>
      </c>
      <c r="D55" s="351" t="s">
        <v>137</v>
      </c>
      <c r="E55" s="352"/>
      <c r="F55" s="352"/>
      <c r="G55" s="352"/>
      <c r="H55" s="352"/>
      <c r="I55" s="352"/>
      <c r="J55" s="352"/>
      <c r="K55" s="352"/>
      <c r="L55" s="352"/>
      <c r="M55" s="352"/>
      <c r="N55" s="352"/>
      <c r="O55" s="352"/>
      <c r="P55" s="159" t="s">
        <v>50</v>
      </c>
    </row>
    <row r="56" spans="2:17" ht="12.75" customHeight="1" x14ac:dyDescent="0.2">
      <c r="B56" s="352"/>
      <c r="C56" s="352"/>
      <c r="D56" s="150">
        <v>1</v>
      </c>
      <c r="E56" s="150">
        <v>2</v>
      </c>
      <c r="F56" s="150">
        <v>3</v>
      </c>
      <c r="G56" s="150">
        <v>4</v>
      </c>
      <c r="H56" s="150">
        <v>5</v>
      </c>
      <c r="I56" s="150">
        <v>6</v>
      </c>
      <c r="J56" s="150">
        <v>7</v>
      </c>
      <c r="K56" s="150">
        <v>8</v>
      </c>
      <c r="L56" s="150">
        <v>9</v>
      </c>
      <c r="M56" s="150">
        <v>10</v>
      </c>
      <c r="N56" s="150">
        <v>11</v>
      </c>
      <c r="O56" s="150">
        <v>12</v>
      </c>
      <c r="P56" s="160"/>
    </row>
    <row r="57" spans="2:17" ht="12.75" customHeight="1" x14ac:dyDescent="0.2">
      <c r="B57" s="105" t="s">
        <v>0</v>
      </c>
      <c r="C57" s="105"/>
      <c r="D57" s="106">
        <f>+'Presupuesto de ventas'!C17/2</f>
        <v>2800.1840730392159</v>
      </c>
      <c r="E57" s="106">
        <f>+'Presupuesto de ventas'!D17/2</f>
        <v>2826.8734630174299</v>
      </c>
      <c r="F57" s="106">
        <f>+'Presupuesto de ventas'!E17/2</f>
        <v>2866.9075479847497</v>
      </c>
      <c r="G57" s="106">
        <f>+'Presupuesto de ventas'!F17/2</f>
        <v>2868.0084853213507</v>
      </c>
      <c r="H57" s="106">
        <f>+'Presupuesto de ventas'!G17/2</f>
        <v>2828.1945878213505</v>
      </c>
      <c r="I57" s="106">
        <f>+'Presupuesto de ventas'!H17/2</f>
        <v>2781.3780616258168</v>
      </c>
      <c r="J57" s="106">
        <f>+'Presupuesto de ventas'!I17/2</f>
        <v>5070.9840958605664</v>
      </c>
      <c r="K57" s="106">
        <f>+'Presupuesto de ventas'!J17/2</f>
        <v>3004.7582472222234</v>
      </c>
      <c r="L57" s="106">
        <f>+'Presupuesto de ventas'!K17/2</f>
        <v>3044.7923321895432</v>
      </c>
      <c r="M57" s="106">
        <f>+'Presupuesto de ventas'!L17/2</f>
        <v>3051.4646796840952</v>
      </c>
      <c r="N57" s="106">
        <f>+'Presupuesto de ventas'!M17/2</f>
        <v>3332.4739305909557</v>
      </c>
      <c r="O57" s="106">
        <f>+'Presupuesto de ventas'!N17/2</f>
        <v>5337.8779956427006</v>
      </c>
      <c r="P57" s="154"/>
    </row>
    <row r="58" spans="2:17" ht="12.75" customHeight="1" x14ac:dyDescent="0.2">
      <c r="B58" s="105" t="s">
        <v>131</v>
      </c>
      <c r="C58" s="105"/>
      <c r="D58" s="106">
        <f>+'Presupuesto de ventas'!C32/2</f>
        <v>2240.1472584313728</v>
      </c>
      <c r="E58" s="106">
        <f>+'Presupuesto de ventas'!D32/2</f>
        <v>2261.4987704139444</v>
      </c>
      <c r="F58" s="106">
        <f>+'Presupuesto de ventas'!E32/2</f>
        <v>2293.5260383877999</v>
      </c>
      <c r="G58" s="106">
        <f>+'Presupuesto de ventas'!F32/2</f>
        <v>2294.4067882570807</v>
      </c>
      <c r="H58" s="106">
        <f>+'Presupuesto de ventas'!G32/2</f>
        <v>2262.5556702570807</v>
      </c>
      <c r="I58" s="106">
        <f>+'Presupuesto de ventas'!H32/2</f>
        <v>2225.1024493006535</v>
      </c>
      <c r="J58" s="106">
        <f>+'Presupuesto de ventas'!I32/2</f>
        <v>4056.7872766884534</v>
      </c>
      <c r="K58" s="106">
        <f>+'Presupuesto de ventas'!J32/2</f>
        <v>2403.8065977777792</v>
      </c>
      <c r="L58" s="106">
        <f>+'Presupuesto de ventas'!K32/2</f>
        <v>2435.8338657516347</v>
      </c>
      <c r="M58" s="106">
        <f>+'Presupuesto de ventas'!L32/2</f>
        <v>2441.1717437472762</v>
      </c>
      <c r="N58" s="106">
        <f>+'Presupuesto de ventas'!M32/2</f>
        <v>2665.9791444727648</v>
      </c>
      <c r="O58" s="106">
        <f>+'Presupuesto de ventas'!N32/2</f>
        <v>4270.302396514161</v>
      </c>
      <c r="P58" s="154"/>
    </row>
    <row r="59" spans="2:17" ht="12.75" customHeight="1" x14ac:dyDescent="0.2">
      <c r="B59" s="105" t="s">
        <v>1</v>
      </c>
      <c r="C59" s="105"/>
      <c r="D59" s="106">
        <f>+'Presupuesto de ventas'!C47/2</f>
        <v>516.95705963800913</v>
      </c>
      <c r="E59" s="106">
        <f>+'Presupuesto de ventas'!D47/2</f>
        <v>521.88433163398713</v>
      </c>
      <c r="F59" s="106">
        <f>+'Presupuesto de ventas'!E47/2</f>
        <v>529.27523962795385</v>
      </c>
      <c r="G59" s="106">
        <f>+'Presupuesto de ventas'!F47/2</f>
        <v>529.47848959778787</v>
      </c>
      <c r="H59" s="106">
        <f>+'Presupuesto de ventas'!G47/2</f>
        <v>522.12823159778782</v>
      </c>
      <c r="I59" s="106">
        <f>+'Presupuesto de ventas'!H47/2</f>
        <v>513.48518060784318</v>
      </c>
      <c r="J59" s="106">
        <f>+'Presupuesto de ventas'!I47/2</f>
        <v>936.18167923579699</v>
      </c>
      <c r="K59" s="106">
        <f>+'Presupuesto de ventas'!J47/2</f>
        <v>554.72459948717983</v>
      </c>
      <c r="L59" s="106">
        <f>+'Presupuesto de ventas'!K47/2</f>
        <v>562.11550748114644</v>
      </c>
      <c r="M59" s="106">
        <f>+'Presupuesto de ventas'!L47/2</f>
        <v>563.34732548014074</v>
      </c>
      <c r="N59" s="106">
        <f>+'Presupuesto de ventas'!M47/2</f>
        <v>615.22595641679186</v>
      </c>
      <c r="O59" s="106">
        <f>+'Presupuesto de ventas'!N47/2</f>
        <v>985.45439919557566</v>
      </c>
      <c r="P59" s="154"/>
    </row>
    <row r="60" spans="2:17" ht="12.75" customHeight="1" x14ac:dyDescent="0.2">
      <c r="B60" s="105" t="s">
        <v>130</v>
      </c>
      <c r="C60" s="105"/>
      <c r="D60" s="107">
        <f>+D48</f>
        <v>8.058898305084746</v>
      </c>
      <c r="E60" s="107">
        <f t="shared" ref="E60:O60" si="18">+E48</f>
        <v>8.058898305084746</v>
      </c>
      <c r="F60" s="107">
        <f t="shared" si="18"/>
        <v>8.058898305084746</v>
      </c>
      <c r="G60" s="107">
        <f t="shared" si="18"/>
        <v>8.058898305084746</v>
      </c>
      <c r="H60" s="107">
        <f t="shared" si="18"/>
        <v>8.058898305084746</v>
      </c>
      <c r="I60" s="107">
        <f t="shared" si="18"/>
        <v>8.058898305084746</v>
      </c>
      <c r="J60" s="107">
        <f t="shared" si="18"/>
        <v>8.058898305084746</v>
      </c>
      <c r="K60" s="107">
        <f t="shared" si="18"/>
        <v>8.058898305084746</v>
      </c>
      <c r="L60" s="107">
        <f t="shared" si="18"/>
        <v>8.058898305084746</v>
      </c>
      <c r="M60" s="107">
        <f t="shared" si="18"/>
        <v>8.058898305084746</v>
      </c>
      <c r="N60" s="107">
        <f t="shared" si="18"/>
        <v>8.058898305084746</v>
      </c>
      <c r="O60" s="107">
        <f t="shared" si="18"/>
        <v>8.058898305084746</v>
      </c>
      <c r="P60" s="154"/>
    </row>
    <row r="61" spans="2:17" ht="12.75" customHeight="1" x14ac:dyDescent="0.2">
      <c r="B61" s="105" t="s">
        <v>129</v>
      </c>
      <c r="C61" s="105"/>
      <c r="D61" s="107">
        <f t="shared" ref="D61:O62" si="19">+D49</f>
        <v>8.1957627118644076</v>
      </c>
      <c r="E61" s="107">
        <f t="shared" si="19"/>
        <v>8.1957627118644076</v>
      </c>
      <c r="F61" s="107">
        <f t="shared" si="19"/>
        <v>8.1957627118644076</v>
      </c>
      <c r="G61" s="107">
        <f t="shared" si="19"/>
        <v>8.1957627118644076</v>
      </c>
      <c r="H61" s="107">
        <f t="shared" si="19"/>
        <v>8.1957627118644076</v>
      </c>
      <c r="I61" s="107">
        <f t="shared" si="19"/>
        <v>8.1957627118644076</v>
      </c>
      <c r="J61" s="107">
        <f t="shared" si="19"/>
        <v>8.1957627118644076</v>
      </c>
      <c r="K61" s="107">
        <f t="shared" si="19"/>
        <v>8.1957627118644076</v>
      </c>
      <c r="L61" s="107">
        <f t="shared" si="19"/>
        <v>8.1957627118644076</v>
      </c>
      <c r="M61" s="107">
        <f t="shared" si="19"/>
        <v>8.1957627118644076</v>
      </c>
      <c r="N61" s="107">
        <f t="shared" si="19"/>
        <v>8.1957627118644076</v>
      </c>
      <c r="O61" s="107">
        <f t="shared" si="19"/>
        <v>8.1957627118644076</v>
      </c>
      <c r="P61" s="154"/>
    </row>
    <row r="62" spans="2:17" ht="12.75" customHeight="1" x14ac:dyDescent="0.2">
      <c r="B62" s="105" t="s">
        <v>128</v>
      </c>
      <c r="C62" s="105"/>
      <c r="D62" s="107">
        <f t="shared" si="19"/>
        <v>8.453389830508474</v>
      </c>
      <c r="E62" s="107">
        <f t="shared" si="19"/>
        <v>8.453389830508474</v>
      </c>
      <c r="F62" s="107">
        <f t="shared" si="19"/>
        <v>8.453389830508474</v>
      </c>
      <c r="G62" s="107">
        <f t="shared" si="19"/>
        <v>8.453389830508474</v>
      </c>
      <c r="H62" s="107">
        <f t="shared" si="19"/>
        <v>8.453389830508474</v>
      </c>
      <c r="I62" s="107">
        <f t="shared" si="19"/>
        <v>8.453389830508474</v>
      </c>
      <c r="J62" s="107">
        <f t="shared" si="19"/>
        <v>8.453389830508474</v>
      </c>
      <c r="K62" s="107">
        <f t="shared" si="19"/>
        <v>8.453389830508474</v>
      </c>
      <c r="L62" s="107">
        <f t="shared" si="19"/>
        <v>8.453389830508474</v>
      </c>
      <c r="M62" s="107">
        <f t="shared" si="19"/>
        <v>8.453389830508474</v>
      </c>
      <c r="N62" s="107">
        <f t="shared" si="19"/>
        <v>8.453389830508474</v>
      </c>
      <c r="O62" s="107">
        <f t="shared" si="19"/>
        <v>8.453389830508474</v>
      </c>
      <c r="P62" s="154"/>
    </row>
    <row r="63" spans="2:17" ht="12.75" customHeight="1" x14ac:dyDescent="0.2">
      <c r="B63" s="105" t="s">
        <v>127</v>
      </c>
      <c r="C63" s="108"/>
      <c r="D63" s="108">
        <f t="shared" ref="D63:O63" si="20">+D57*D60+D58*D61+D59*D62</f>
        <v>45296.153600631667</v>
      </c>
      <c r="E63" s="108">
        <f t="shared" si="20"/>
        <v>45727.88475702249</v>
      </c>
      <c r="F63" s="108">
        <f t="shared" si="20"/>
        <v>46375.481491608669</v>
      </c>
      <c r="G63" s="108">
        <f t="shared" si="20"/>
        <v>46393.290401809791</v>
      </c>
      <c r="H63" s="108">
        <f t="shared" si="20"/>
        <v>45749.255449263816</v>
      </c>
      <c r="I63" s="108">
        <f t="shared" si="20"/>
        <v>44991.945034559802</v>
      </c>
      <c r="J63" s="108">
        <f t="shared" si="20"/>
        <v>82028.919714251839</v>
      </c>
      <c r="K63" s="108">
        <f t="shared" si="20"/>
        <v>48605.372914367166</v>
      </c>
      <c r="L63" s="108">
        <f t="shared" si="20"/>
        <v>49252.969648953353</v>
      </c>
      <c r="M63" s="108">
        <f t="shared" si="20"/>
        <v>49360.902438051031</v>
      </c>
      <c r="N63" s="108">
        <f t="shared" si="20"/>
        <v>53906.545817295177</v>
      </c>
      <c r="O63" s="108">
        <f t="shared" si="20"/>
        <v>86346.231278159816</v>
      </c>
      <c r="P63" s="154"/>
    </row>
    <row r="64" spans="2:17" ht="12.75" customHeight="1" x14ac:dyDescent="0.2">
      <c r="B64" s="105" t="s">
        <v>126</v>
      </c>
      <c r="C64" s="297">
        <f>D63-O51</f>
        <v>-35401.258808863502</v>
      </c>
      <c r="D64" s="108">
        <f t="shared" ref="D64:N64" si="21">+E63-D63</f>
        <v>431.73115639082243</v>
      </c>
      <c r="E64" s="108">
        <f t="shared" si="21"/>
        <v>647.59673458617908</v>
      </c>
      <c r="F64" s="108">
        <f t="shared" si="21"/>
        <v>17.808910201121762</v>
      </c>
      <c r="G64" s="108">
        <f t="shared" si="21"/>
        <v>-644.0349525459751</v>
      </c>
      <c r="H64" s="108">
        <f t="shared" si="21"/>
        <v>-757.31041470401397</v>
      </c>
      <c r="I64" s="108">
        <f t="shared" si="21"/>
        <v>37036.974679692037</v>
      </c>
      <c r="J64" s="108">
        <f t="shared" si="21"/>
        <v>-33423.546799884673</v>
      </c>
      <c r="K64" s="108">
        <f t="shared" si="21"/>
        <v>647.59673458618636</v>
      </c>
      <c r="L64" s="108">
        <f t="shared" si="21"/>
        <v>107.93278909767832</v>
      </c>
      <c r="M64" s="108">
        <f t="shared" si="21"/>
        <v>4545.6433792441458</v>
      </c>
      <c r="N64" s="108">
        <f t="shared" si="21"/>
        <v>32439.685460864639</v>
      </c>
      <c r="O64" s="108"/>
      <c r="P64" s="157">
        <f>SUM(C64:O64)</f>
        <v>5648.8188686646463</v>
      </c>
      <c r="Q64" s="102">
        <v>5</v>
      </c>
    </row>
    <row r="65" spans="2:17" ht="12.75" customHeight="1" x14ac:dyDescent="0.2">
      <c r="B65" s="109" t="s">
        <v>24</v>
      </c>
      <c r="C65" s="105"/>
      <c r="D65" s="108">
        <f t="shared" ref="D65:O65" si="22">SUM(D63:D64)</f>
        <v>45727.88475702249</v>
      </c>
      <c r="E65" s="108">
        <f t="shared" si="22"/>
        <v>46375.481491608669</v>
      </c>
      <c r="F65" s="108">
        <f t="shared" si="22"/>
        <v>46393.290401809791</v>
      </c>
      <c r="G65" s="108">
        <f t="shared" si="22"/>
        <v>45749.255449263816</v>
      </c>
      <c r="H65" s="108">
        <f t="shared" si="22"/>
        <v>44991.945034559802</v>
      </c>
      <c r="I65" s="108">
        <f t="shared" si="22"/>
        <v>82028.919714251839</v>
      </c>
      <c r="J65" s="108">
        <f t="shared" si="22"/>
        <v>48605.372914367166</v>
      </c>
      <c r="K65" s="108">
        <f t="shared" si="22"/>
        <v>49252.969648953353</v>
      </c>
      <c r="L65" s="108">
        <f t="shared" si="22"/>
        <v>49360.902438051031</v>
      </c>
      <c r="M65" s="108">
        <f t="shared" si="22"/>
        <v>53906.545817295177</v>
      </c>
      <c r="N65" s="108">
        <f t="shared" si="22"/>
        <v>86346.231278159816</v>
      </c>
      <c r="O65" s="108">
        <f t="shared" si="22"/>
        <v>86346.231278159816</v>
      </c>
      <c r="P65" s="154"/>
    </row>
    <row r="66" spans="2:17" ht="12.75" customHeight="1" x14ac:dyDescent="0.2"/>
    <row r="67" spans="2:17" ht="12.75" customHeight="1" x14ac:dyDescent="0.2">
      <c r="B67" s="351" t="s">
        <v>66</v>
      </c>
      <c r="C67" s="351">
        <v>5</v>
      </c>
      <c r="D67" s="351" t="s">
        <v>138</v>
      </c>
      <c r="E67" s="352"/>
      <c r="F67" s="352"/>
      <c r="G67" s="352"/>
      <c r="H67" s="352"/>
      <c r="I67" s="352"/>
      <c r="J67" s="352"/>
      <c r="K67" s="352"/>
      <c r="L67" s="352"/>
      <c r="M67" s="352"/>
      <c r="N67" s="352"/>
      <c r="O67" s="352"/>
      <c r="P67" s="159" t="s">
        <v>50</v>
      </c>
    </row>
    <row r="68" spans="2:17" ht="12.75" customHeight="1" x14ac:dyDescent="0.2">
      <c r="B68" s="352"/>
      <c r="C68" s="352"/>
      <c r="D68" s="150">
        <v>1</v>
      </c>
      <c r="E68" s="150">
        <v>2</v>
      </c>
      <c r="F68" s="150">
        <v>3</v>
      </c>
      <c r="G68" s="150">
        <v>4</v>
      </c>
      <c r="H68" s="150">
        <v>5</v>
      </c>
      <c r="I68" s="150">
        <v>6</v>
      </c>
      <c r="J68" s="150">
        <v>7</v>
      </c>
      <c r="K68" s="150">
        <v>8</v>
      </c>
      <c r="L68" s="150">
        <v>9</v>
      </c>
      <c r="M68" s="150">
        <v>10</v>
      </c>
      <c r="N68" s="150">
        <v>11</v>
      </c>
      <c r="O68" s="150">
        <v>12</v>
      </c>
      <c r="P68" s="160"/>
    </row>
    <row r="69" spans="2:17" ht="12.75" customHeight="1" x14ac:dyDescent="0.2">
      <c r="B69" s="105" t="s">
        <v>0</v>
      </c>
      <c r="C69" s="105"/>
      <c r="D69" s="106">
        <f>+'Presupuesto de ventas'!C18/2</f>
        <v>2996.1969581519611</v>
      </c>
      <c r="E69" s="106">
        <f>+'Presupuesto de ventas'!D18/2</f>
        <v>3024.7546054286504</v>
      </c>
      <c r="F69" s="106">
        <f>+'Presupuesto de ventas'!E18/2</f>
        <v>3067.5910763436823</v>
      </c>
      <c r="G69" s="106">
        <f>+'Presupuesto de ventas'!F18/2</f>
        <v>3068.7690792938456</v>
      </c>
      <c r="H69" s="106">
        <f>+'Presupuesto de ventas'!G18/2</f>
        <v>3026.1682089688456</v>
      </c>
      <c r="I69" s="106">
        <f>+'Presupuesto de ventas'!H18/2</f>
        <v>2976.074525939624</v>
      </c>
      <c r="J69" s="106">
        <f>+'Presupuesto de ventas'!I18/2</f>
        <v>5425.9529825708069</v>
      </c>
      <c r="K69" s="106">
        <f>+'Presupuesto de ventas'!J18/2</f>
        <v>3215.0913245277793</v>
      </c>
      <c r="L69" s="106">
        <f>+'Presupuesto de ventas'!K18/2</f>
        <v>3257.9277954428117</v>
      </c>
      <c r="M69" s="106">
        <f>+'Presupuesto de ventas'!L18/2</f>
        <v>3265.0672072619823</v>
      </c>
      <c r="N69" s="106">
        <f>+'Presupuesto de ventas'!M18/2</f>
        <v>3565.7471057323228</v>
      </c>
      <c r="O69" s="106">
        <f>+'Presupuesto de ventas'!N18/2</f>
        <v>5711.5294553376907</v>
      </c>
      <c r="P69" s="154"/>
    </row>
    <row r="70" spans="2:17" ht="12.75" customHeight="1" x14ac:dyDescent="0.2">
      <c r="B70" s="105" t="s">
        <v>131</v>
      </c>
      <c r="C70" s="105"/>
      <c r="D70" s="106">
        <f>+'Presupuesto de ventas'!C33/2</f>
        <v>2396.9575665215689</v>
      </c>
      <c r="E70" s="106">
        <f>+'Presupuesto de ventas'!D33/2</f>
        <v>2419.8036843429204</v>
      </c>
      <c r="F70" s="106">
        <f>+'Presupuesto de ventas'!E33/2</f>
        <v>2454.0728610749461</v>
      </c>
      <c r="G70" s="106">
        <f>+'Presupuesto de ventas'!F33/2</f>
        <v>2455.0152634350766</v>
      </c>
      <c r="H70" s="106">
        <f>+'Presupuesto de ventas'!G33/2</f>
        <v>2420.9345671750766</v>
      </c>
      <c r="I70" s="106">
        <f>+'Presupuesto de ventas'!H33/2</f>
        <v>2380.8596207516994</v>
      </c>
      <c r="J70" s="106">
        <f>+'Presupuesto de ventas'!I33/2</f>
        <v>4340.7623860566455</v>
      </c>
      <c r="K70" s="106">
        <f>+'Presupuesto de ventas'!J33/2</f>
        <v>2572.0730596222238</v>
      </c>
      <c r="L70" s="106">
        <f>+'Presupuesto de ventas'!K33/2</f>
        <v>2606.3422363542491</v>
      </c>
      <c r="M70" s="106">
        <f>+'Presupuesto de ventas'!L33/2</f>
        <v>2612.0537658095859</v>
      </c>
      <c r="N70" s="106">
        <f>+'Presupuesto de ventas'!M33/2</f>
        <v>2852.5976845858586</v>
      </c>
      <c r="O70" s="106">
        <f>+'Presupuesto de ventas'!N33/2</f>
        <v>4569.2235642701526</v>
      </c>
      <c r="P70" s="154"/>
    </row>
    <row r="71" spans="2:17" ht="12.75" customHeight="1" x14ac:dyDescent="0.2">
      <c r="B71" s="105" t="s">
        <v>1</v>
      </c>
      <c r="C71" s="105"/>
      <c r="D71" s="106">
        <f>+'Presupuesto de ventas'!C48/2</f>
        <v>553.14405381266977</v>
      </c>
      <c r="E71" s="106">
        <f>+'Presupuesto de ventas'!D48/2</f>
        <v>558.41623484836623</v>
      </c>
      <c r="F71" s="106">
        <f>+'Presupuesto de ventas'!E48/2</f>
        <v>566.32450640191064</v>
      </c>
      <c r="G71" s="106">
        <f>+'Presupuesto de ventas'!F48/2</f>
        <v>566.54198386963299</v>
      </c>
      <c r="H71" s="106">
        <f>+'Presupuesto de ventas'!G48/2</f>
        <v>558.67720780963305</v>
      </c>
      <c r="I71" s="106">
        <f>+'Presupuesto de ventas'!H48/2</f>
        <v>549.42914325039214</v>
      </c>
      <c r="J71" s="106">
        <f>+'Presupuesto de ventas'!I48/2</f>
        <v>1001.7143967823029</v>
      </c>
      <c r="K71" s="106">
        <f>+'Presupuesto de ventas'!J48/2</f>
        <v>593.55532145128245</v>
      </c>
      <c r="L71" s="106">
        <f>+'Presupuesto de ventas'!K48/2</f>
        <v>601.46359300482675</v>
      </c>
      <c r="M71" s="106">
        <f>+'Presupuesto de ventas'!L48/2</f>
        <v>602.78163826375055</v>
      </c>
      <c r="N71" s="106">
        <f>+'Presupuesto de ventas'!M48/2</f>
        <v>658.2917733659674</v>
      </c>
      <c r="O71" s="106">
        <f>+'Presupuesto de ventas'!N48/2</f>
        <v>1054.4362071392659</v>
      </c>
      <c r="P71" s="154"/>
    </row>
    <row r="72" spans="2:17" ht="12.75" customHeight="1" x14ac:dyDescent="0.2">
      <c r="B72" s="105" t="s">
        <v>130</v>
      </c>
      <c r="C72" s="105"/>
      <c r="D72" s="107">
        <f>+D60</f>
        <v>8.058898305084746</v>
      </c>
      <c r="E72" s="107">
        <f t="shared" ref="E72:O72" si="23">+E60</f>
        <v>8.058898305084746</v>
      </c>
      <c r="F72" s="107">
        <f t="shared" si="23"/>
        <v>8.058898305084746</v>
      </c>
      <c r="G72" s="107">
        <f t="shared" si="23"/>
        <v>8.058898305084746</v>
      </c>
      <c r="H72" s="107">
        <f t="shared" si="23"/>
        <v>8.058898305084746</v>
      </c>
      <c r="I72" s="107">
        <f t="shared" si="23"/>
        <v>8.058898305084746</v>
      </c>
      <c r="J72" s="107">
        <f t="shared" si="23"/>
        <v>8.058898305084746</v>
      </c>
      <c r="K72" s="107">
        <f t="shared" si="23"/>
        <v>8.058898305084746</v>
      </c>
      <c r="L72" s="107">
        <f t="shared" si="23"/>
        <v>8.058898305084746</v>
      </c>
      <c r="M72" s="107">
        <f t="shared" si="23"/>
        <v>8.058898305084746</v>
      </c>
      <c r="N72" s="107">
        <f t="shared" si="23"/>
        <v>8.058898305084746</v>
      </c>
      <c r="O72" s="107">
        <f t="shared" si="23"/>
        <v>8.058898305084746</v>
      </c>
      <c r="P72" s="154"/>
    </row>
    <row r="73" spans="2:17" ht="12.75" customHeight="1" x14ac:dyDescent="0.2">
      <c r="B73" s="105" t="s">
        <v>129</v>
      </c>
      <c r="C73" s="105"/>
      <c r="D73" s="107">
        <f t="shared" ref="D73:O74" si="24">+D61</f>
        <v>8.1957627118644076</v>
      </c>
      <c r="E73" s="107">
        <f t="shared" si="24"/>
        <v>8.1957627118644076</v>
      </c>
      <c r="F73" s="107">
        <f t="shared" si="24"/>
        <v>8.1957627118644076</v>
      </c>
      <c r="G73" s="107">
        <f t="shared" si="24"/>
        <v>8.1957627118644076</v>
      </c>
      <c r="H73" s="107">
        <f t="shared" si="24"/>
        <v>8.1957627118644076</v>
      </c>
      <c r="I73" s="107">
        <f t="shared" si="24"/>
        <v>8.1957627118644076</v>
      </c>
      <c r="J73" s="107">
        <f t="shared" si="24"/>
        <v>8.1957627118644076</v>
      </c>
      <c r="K73" s="107">
        <f t="shared" si="24"/>
        <v>8.1957627118644076</v>
      </c>
      <c r="L73" s="107">
        <f t="shared" si="24"/>
        <v>8.1957627118644076</v>
      </c>
      <c r="M73" s="107">
        <f t="shared" si="24"/>
        <v>8.1957627118644076</v>
      </c>
      <c r="N73" s="107">
        <f t="shared" si="24"/>
        <v>8.1957627118644076</v>
      </c>
      <c r="O73" s="107">
        <f t="shared" si="24"/>
        <v>8.1957627118644076</v>
      </c>
      <c r="P73" s="154"/>
    </row>
    <row r="74" spans="2:17" ht="12.75" customHeight="1" x14ac:dyDescent="0.2">
      <c r="B74" s="105" t="s">
        <v>128</v>
      </c>
      <c r="C74" s="105"/>
      <c r="D74" s="107">
        <f t="shared" si="24"/>
        <v>8.453389830508474</v>
      </c>
      <c r="E74" s="107">
        <f t="shared" si="24"/>
        <v>8.453389830508474</v>
      </c>
      <c r="F74" s="107">
        <f t="shared" si="24"/>
        <v>8.453389830508474</v>
      </c>
      <c r="G74" s="107">
        <f t="shared" si="24"/>
        <v>8.453389830508474</v>
      </c>
      <c r="H74" s="107">
        <f t="shared" si="24"/>
        <v>8.453389830508474</v>
      </c>
      <c r="I74" s="107">
        <f t="shared" si="24"/>
        <v>8.453389830508474</v>
      </c>
      <c r="J74" s="107">
        <f t="shared" si="24"/>
        <v>8.453389830508474</v>
      </c>
      <c r="K74" s="107">
        <f t="shared" si="24"/>
        <v>8.453389830508474</v>
      </c>
      <c r="L74" s="107">
        <f t="shared" si="24"/>
        <v>8.453389830508474</v>
      </c>
      <c r="M74" s="107">
        <f t="shared" si="24"/>
        <v>8.453389830508474</v>
      </c>
      <c r="N74" s="107">
        <f t="shared" si="24"/>
        <v>8.453389830508474</v>
      </c>
      <c r="O74" s="107">
        <f t="shared" si="24"/>
        <v>8.453389830508474</v>
      </c>
      <c r="P74" s="154"/>
    </row>
    <row r="75" spans="2:17" ht="12.75" customHeight="1" x14ac:dyDescent="0.2">
      <c r="B75" s="105" t="s">
        <v>127</v>
      </c>
      <c r="C75" s="108"/>
      <c r="D75" s="108">
        <f t="shared" ref="D75:O75" si="25">+D69*D72+D70*D73+D71*D74</f>
        <v>48466.884352675886</v>
      </c>
      <c r="E75" s="108">
        <f t="shared" si="25"/>
        <v>48928.836690014061</v>
      </c>
      <c r="F75" s="108">
        <f t="shared" si="25"/>
        <v>49621.765196021282</v>
      </c>
      <c r="G75" s="108">
        <f t="shared" si="25"/>
        <v>49640.820729936473</v>
      </c>
      <c r="H75" s="108">
        <f t="shared" si="25"/>
        <v>48951.703330712284</v>
      </c>
      <c r="I75" s="108">
        <f t="shared" si="25"/>
        <v>48141.381186978986</v>
      </c>
      <c r="J75" s="108">
        <f t="shared" si="25"/>
        <v>87770.944094249484</v>
      </c>
      <c r="K75" s="108">
        <f t="shared" si="25"/>
        <v>52007.749018372866</v>
      </c>
      <c r="L75" s="108">
        <f t="shared" si="25"/>
        <v>52700.677524380095</v>
      </c>
      <c r="M75" s="108">
        <f t="shared" si="25"/>
        <v>52816.165608714611</v>
      </c>
      <c r="N75" s="108">
        <f t="shared" si="25"/>
        <v>57680.004024505841</v>
      </c>
      <c r="O75" s="108">
        <f t="shared" si="25"/>
        <v>92390.46746763101</v>
      </c>
      <c r="P75" s="154"/>
    </row>
    <row r="76" spans="2:17" ht="12.75" customHeight="1" x14ac:dyDescent="0.2">
      <c r="B76" s="105" t="s">
        <v>126</v>
      </c>
      <c r="C76" s="297">
        <f>D75-O63</f>
        <v>-37879.346925483929</v>
      </c>
      <c r="D76" s="108">
        <f t="shared" ref="D76:N76" si="26">+E75-D75</f>
        <v>461.9523373381744</v>
      </c>
      <c r="E76" s="108">
        <f t="shared" si="26"/>
        <v>692.92850600722159</v>
      </c>
      <c r="F76" s="108">
        <f t="shared" si="26"/>
        <v>19.055533915190608</v>
      </c>
      <c r="G76" s="108">
        <f t="shared" si="26"/>
        <v>-689.11739922418928</v>
      </c>
      <c r="H76" s="108">
        <f t="shared" si="26"/>
        <v>-810.32214373329771</v>
      </c>
      <c r="I76" s="108">
        <f t="shared" si="26"/>
        <v>39629.562907270498</v>
      </c>
      <c r="J76" s="108">
        <f t="shared" si="26"/>
        <v>-35763.195075876618</v>
      </c>
      <c r="K76" s="108">
        <f t="shared" si="26"/>
        <v>692.92850600722886</v>
      </c>
      <c r="L76" s="108">
        <f t="shared" si="26"/>
        <v>115.48808433451632</v>
      </c>
      <c r="M76" s="108">
        <f t="shared" si="26"/>
        <v>4863.8384157912296</v>
      </c>
      <c r="N76" s="108">
        <f t="shared" si="26"/>
        <v>34710.463443125169</v>
      </c>
      <c r="O76" s="108"/>
      <c r="P76" s="157">
        <f>SUM(C76:O76)</f>
        <v>6044.2361894711939</v>
      </c>
      <c r="Q76" s="102">
        <v>6</v>
      </c>
    </row>
    <row r="77" spans="2:17" ht="12.75" customHeight="1" x14ac:dyDescent="0.2">
      <c r="B77" s="109" t="s">
        <v>24</v>
      </c>
      <c r="C77" s="105"/>
      <c r="D77" s="108">
        <f t="shared" ref="D77:O77" si="27">SUM(D75:D76)</f>
        <v>48928.836690014061</v>
      </c>
      <c r="E77" s="108">
        <f t="shared" si="27"/>
        <v>49621.765196021282</v>
      </c>
      <c r="F77" s="108">
        <f t="shared" si="27"/>
        <v>49640.820729936473</v>
      </c>
      <c r="G77" s="108">
        <f t="shared" si="27"/>
        <v>48951.703330712284</v>
      </c>
      <c r="H77" s="108">
        <f t="shared" si="27"/>
        <v>48141.381186978986</v>
      </c>
      <c r="I77" s="108">
        <f t="shared" si="27"/>
        <v>87770.944094249484</v>
      </c>
      <c r="J77" s="108">
        <f t="shared" si="27"/>
        <v>52007.749018372866</v>
      </c>
      <c r="K77" s="108">
        <f t="shared" si="27"/>
        <v>52700.677524380095</v>
      </c>
      <c r="L77" s="108">
        <f t="shared" si="27"/>
        <v>52816.165608714611</v>
      </c>
      <c r="M77" s="108">
        <f t="shared" si="27"/>
        <v>57680.004024505841</v>
      </c>
      <c r="N77" s="108">
        <f t="shared" si="27"/>
        <v>92390.46746763101</v>
      </c>
      <c r="O77" s="108">
        <f t="shared" si="27"/>
        <v>92390.46746763101</v>
      </c>
      <c r="P77" s="154"/>
    </row>
    <row r="78" spans="2:17" ht="12.75" customHeight="1" x14ac:dyDescent="0.2"/>
    <row r="79" spans="2:17" ht="12.75" customHeight="1" x14ac:dyDescent="0.2">
      <c r="B79" s="351" t="s">
        <v>66</v>
      </c>
      <c r="C79" s="351">
        <v>6</v>
      </c>
      <c r="D79" s="351" t="s">
        <v>139</v>
      </c>
      <c r="E79" s="352"/>
      <c r="F79" s="352"/>
      <c r="G79" s="352"/>
      <c r="H79" s="352"/>
      <c r="I79" s="352"/>
      <c r="J79" s="352"/>
      <c r="K79" s="352"/>
      <c r="L79" s="352"/>
      <c r="M79" s="352"/>
      <c r="N79" s="352"/>
      <c r="O79" s="352"/>
      <c r="P79" s="159" t="s">
        <v>50</v>
      </c>
    </row>
    <row r="80" spans="2:17" ht="12.75" customHeight="1" x14ac:dyDescent="0.2">
      <c r="B80" s="352"/>
      <c r="C80" s="352"/>
      <c r="D80" s="150">
        <v>1</v>
      </c>
      <c r="E80" s="150">
        <v>2</v>
      </c>
      <c r="F80" s="150">
        <v>3</v>
      </c>
      <c r="G80" s="150">
        <v>4</v>
      </c>
      <c r="H80" s="150">
        <v>5</v>
      </c>
      <c r="I80" s="150">
        <v>6</v>
      </c>
      <c r="J80" s="150">
        <v>7</v>
      </c>
      <c r="K80" s="150">
        <v>8</v>
      </c>
      <c r="L80" s="150">
        <v>9</v>
      </c>
      <c r="M80" s="150">
        <v>10</v>
      </c>
      <c r="N80" s="150">
        <v>11</v>
      </c>
      <c r="O80" s="150">
        <v>12</v>
      </c>
      <c r="P80" s="160"/>
    </row>
    <row r="81" spans="2:17" ht="12.75" customHeight="1" x14ac:dyDescent="0.2">
      <c r="B81" s="105" t="s">
        <v>0</v>
      </c>
      <c r="C81" s="105"/>
      <c r="D81" s="106">
        <f>+'Presupuesto de ventas'!C19/2</f>
        <v>3205.9307452225985</v>
      </c>
      <c r="E81" s="106">
        <f>+'Presupuesto de ventas'!D19/2</f>
        <v>3236.4874278086563</v>
      </c>
      <c r="F81" s="106">
        <f>+'Presupuesto de ventas'!E19/2</f>
        <v>3282.3224516877403</v>
      </c>
      <c r="G81" s="106">
        <f>+'Presupuesto de ventas'!F19/2</f>
        <v>3283.582914844415</v>
      </c>
      <c r="H81" s="106">
        <f>+'Presupuesto de ventas'!G19/2</f>
        <v>3237.9999835966646</v>
      </c>
      <c r="I81" s="106">
        <f>+'Presupuesto de ventas'!H19/2</f>
        <v>3184.3997427553982</v>
      </c>
      <c r="J81" s="106">
        <f>+'Presupuesto de ventas'!I19/2</f>
        <v>5805.7696913507634</v>
      </c>
      <c r="K81" s="106">
        <f>+'Presupuesto de ventas'!J19/2</f>
        <v>3440.1477172447244</v>
      </c>
      <c r="L81" s="106">
        <f>+'Presupuesto de ventas'!K19/2</f>
        <v>3485.9827411238084</v>
      </c>
      <c r="M81" s="106">
        <f>+'Presupuesto de ventas'!L19/2</f>
        <v>3493.6219117703213</v>
      </c>
      <c r="N81" s="106">
        <f>+'Presupuesto de ventas'!M19/2</f>
        <v>3815.3494031335858</v>
      </c>
      <c r="O81" s="106">
        <f>+'Presupuesto de ventas'!N19/2</f>
        <v>6111.336517211329</v>
      </c>
      <c r="P81" s="154"/>
    </row>
    <row r="82" spans="2:17" ht="12.75" customHeight="1" x14ac:dyDescent="0.2">
      <c r="B82" s="105" t="s">
        <v>131</v>
      </c>
      <c r="C82" s="105"/>
      <c r="D82" s="106">
        <f>+'Presupuesto de ventas'!C34/2</f>
        <v>2564.7445961780791</v>
      </c>
      <c r="E82" s="106">
        <f>+'Presupuesto de ventas'!D34/2</f>
        <v>2589.1899422469251</v>
      </c>
      <c r="F82" s="106">
        <f>+'Presupuesto de ventas'!E34/2</f>
        <v>2625.8579613501925</v>
      </c>
      <c r="G82" s="106">
        <f>+'Presupuesto de ventas'!F34/2</f>
        <v>2626.8663318755321</v>
      </c>
      <c r="H82" s="106">
        <f>+'Presupuesto de ventas'!G34/2</f>
        <v>2590.3999868773321</v>
      </c>
      <c r="I82" s="106">
        <f>+'Presupuesto de ventas'!H34/2</f>
        <v>2547.5197942043187</v>
      </c>
      <c r="J82" s="106">
        <f>+'Presupuesto de ventas'!I34/2</f>
        <v>4644.6157530806113</v>
      </c>
      <c r="K82" s="106">
        <f>+'Presupuesto de ventas'!J34/2</f>
        <v>2752.1181737957795</v>
      </c>
      <c r="L82" s="106">
        <f>+'Presupuesto de ventas'!K34/2</f>
        <v>2788.7861928990469</v>
      </c>
      <c r="M82" s="106">
        <f>+'Presupuesto de ventas'!L34/2</f>
        <v>2794.8975294162574</v>
      </c>
      <c r="N82" s="106">
        <f>+'Presupuesto de ventas'!M34/2</f>
        <v>3052.2795225068689</v>
      </c>
      <c r="O82" s="106">
        <f>+'Presupuesto de ventas'!N34/2</f>
        <v>4889.0692137690639</v>
      </c>
      <c r="P82" s="154"/>
    </row>
    <row r="83" spans="2:17" ht="12.75" customHeight="1" x14ac:dyDescent="0.2">
      <c r="B83" s="105" t="s">
        <v>1</v>
      </c>
      <c r="C83" s="105"/>
      <c r="D83" s="106">
        <f>+'Presupuesto de ventas'!C49/2</f>
        <v>591.86413757955677</v>
      </c>
      <c r="E83" s="106">
        <f>+'Presupuesto de ventas'!D49/2</f>
        <v>597.50537128775193</v>
      </c>
      <c r="F83" s="106">
        <f>+'Presupuesto de ventas'!E49/2</f>
        <v>605.96722185004444</v>
      </c>
      <c r="G83" s="106">
        <f>+'Presupuesto de ventas'!F49/2</f>
        <v>606.19992274050742</v>
      </c>
      <c r="H83" s="106">
        <f>+'Presupuesto de ventas'!G49/2</f>
        <v>597.78461235630743</v>
      </c>
      <c r="I83" s="106">
        <f>+'Presupuesto de ventas'!H49/2</f>
        <v>587.88918327791964</v>
      </c>
      <c r="J83" s="106">
        <f>+'Presupuesto de ventas'!I49/2</f>
        <v>1071.8344045570641</v>
      </c>
      <c r="K83" s="106">
        <f>+'Presupuesto de ventas'!J49/2</f>
        <v>635.10419395287227</v>
      </c>
      <c r="L83" s="106">
        <f>+'Presupuesto de ventas'!K49/2</f>
        <v>643.56604451516466</v>
      </c>
      <c r="M83" s="106">
        <f>+'Presupuesto de ventas'!L49/2</f>
        <v>644.97635294221323</v>
      </c>
      <c r="N83" s="106">
        <f>+'Presupuesto de ventas'!M49/2</f>
        <v>704.37219750158511</v>
      </c>
      <c r="O83" s="106">
        <f>+'Presupuesto de ventas'!N49/2</f>
        <v>1128.2467416390148</v>
      </c>
      <c r="P83" s="154"/>
    </row>
    <row r="84" spans="2:17" ht="12.75" customHeight="1" x14ac:dyDescent="0.2">
      <c r="B84" s="105" t="s">
        <v>130</v>
      </c>
      <c r="C84" s="105"/>
      <c r="D84" s="107">
        <f>+D72</f>
        <v>8.058898305084746</v>
      </c>
      <c r="E84" s="107">
        <f t="shared" ref="E84:O84" si="28">+E72</f>
        <v>8.058898305084746</v>
      </c>
      <c r="F84" s="107">
        <f t="shared" si="28"/>
        <v>8.058898305084746</v>
      </c>
      <c r="G84" s="107">
        <f t="shared" si="28"/>
        <v>8.058898305084746</v>
      </c>
      <c r="H84" s="107">
        <f t="shared" si="28"/>
        <v>8.058898305084746</v>
      </c>
      <c r="I84" s="107">
        <f t="shared" si="28"/>
        <v>8.058898305084746</v>
      </c>
      <c r="J84" s="107">
        <f t="shared" si="28"/>
        <v>8.058898305084746</v>
      </c>
      <c r="K84" s="107">
        <f t="shared" si="28"/>
        <v>8.058898305084746</v>
      </c>
      <c r="L84" s="107">
        <f t="shared" si="28"/>
        <v>8.058898305084746</v>
      </c>
      <c r="M84" s="107">
        <f t="shared" si="28"/>
        <v>8.058898305084746</v>
      </c>
      <c r="N84" s="107">
        <f t="shared" si="28"/>
        <v>8.058898305084746</v>
      </c>
      <c r="O84" s="107">
        <f t="shared" si="28"/>
        <v>8.058898305084746</v>
      </c>
      <c r="P84" s="154"/>
    </row>
    <row r="85" spans="2:17" ht="12.75" customHeight="1" x14ac:dyDescent="0.2">
      <c r="B85" s="105" t="s">
        <v>129</v>
      </c>
      <c r="C85" s="105"/>
      <c r="D85" s="107">
        <f t="shared" ref="D85:O86" si="29">+D73</f>
        <v>8.1957627118644076</v>
      </c>
      <c r="E85" s="107">
        <f t="shared" si="29"/>
        <v>8.1957627118644076</v>
      </c>
      <c r="F85" s="107">
        <f t="shared" si="29"/>
        <v>8.1957627118644076</v>
      </c>
      <c r="G85" s="107">
        <f t="shared" si="29"/>
        <v>8.1957627118644076</v>
      </c>
      <c r="H85" s="107">
        <f t="shared" si="29"/>
        <v>8.1957627118644076</v>
      </c>
      <c r="I85" s="107">
        <f t="shared" si="29"/>
        <v>8.1957627118644076</v>
      </c>
      <c r="J85" s="107">
        <f t="shared" si="29"/>
        <v>8.1957627118644076</v>
      </c>
      <c r="K85" s="107">
        <f t="shared" si="29"/>
        <v>8.1957627118644076</v>
      </c>
      <c r="L85" s="107">
        <f t="shared" si="29"/>
        <v>8.1957627118644076</v>
      </c>
      <c r="M85" s="107">
        <f t="shared" si="29"/>
        <v>8.1957627118644076</v>
      </c>
      <c r="N85" s="107">
        <f t="shared" si="29"/>
        <v>8.1957627118644076</v>
      </c>
      <c r="O85" s="107">
        <f t="shared" si="29"/>
        <v>8.1957627118644076</v>
      </c>
      <c r="P85" s="154"/>
    </row>
    <row r="86" spans="2:17" ht="12.75" customHeight="1" x14ac:dyDescent="0.2">
      <c r="B86" s="105" t="s">
        <v>128</v>
      </c>
      <c r="C86" s="105"/>
      <c r="D86" s="107">
        <f t="shared" si="29"/>
        <v>8.453389830508474</v>
      </c>
      <c r="E86" s="107">
        <f t="shared" si="29"/>
        <v>8.453389830508474</v>
      </c>
      <c r="F86" s="107">
        <f t="shared" si="29"/>
        <v>8.453389830508474</v>
      </c>
      <c r="G86" s="107">
        <f t="shared" si="29"/>
        <v>8.453389830508474</v>
      </c>
      <c r="H86" s="107">
        <f t="shared" si="29"/>
        <v>8.453389830508474</v>
      </c>
      <c r="I86" s="107">
        <f t="shared" si="29"/>
        <v>8.453389830508474</v>
      </c>
      <c r="J86" s="107">
        <f t="shared" si="29"/>
        <v>8.453389830508474</v>
      </c>
      <c r="K86" s="107">
        <f t="shared" si="29"/>
        <v>8.453389830508474</v>
      </c>
      <c r="L86" s="107">
        <f t="shared" si="29"/>
        <v>8.453389830508474</v>
      </c>
      <c r="M86" s="107">
        <f t="shared" si="29"/>
        <v>8.453389830508474</v>
      </c>
      <c r="N86" s="107">
        <f t="shared" si="29"/>
        <v>8.453389830508474</v>
      </c>
      <c r="O86" s="107">
        <f t="shared" si="29"/>
        <v>8.453389830508474</v>
      </c>
      <c r="P86" s="154"/>
    </row>
    <row r="87" spans="2:17" ht="12.75" customHeight="1" x14ac:dyDescent="0.2">
      <c r="B87" s="105" t="s">
        <v>127</v>
      </c>
      <c r="C87" s="108"/>
      <c r="D87" s="108">
        <f t="shared" ref="D87:O87" si="30">+D81*D84+D82*D85+D83*D86</f>
        <v>51859.566257363207</v>
      </c>
      <c r="E87" s="108">
        <f t="shared" si="30"/>
        <v>52353.855258315052</v>
      </c>
      <c r="F87" s="108">
        <f t="shared" si="30"/>
        <v>53095.288759742776</v>
      </c>
      <c r="G87" s="108">
        <f t="shared" si="30"/>
        <v>53115.678181032039</v>
      </c>
      <c r="H87" s="108">
        <f t="shared" si="30"/>
        <v>52378.322563862144</v>
      </c>
      <c r="I87" s="108">
        <f t="shared" si="30"/>
        <v>51511.277870067519</v>
      </c>
      <c r="J87" s="108">
        <f t="shared" si="30"/>
        <v>93914.910180846942</v>
      </c>
      <c r="K87" s="108">
        <f t="shared" si="30"/>
        <v>55648.29144965898</v>
      </c>
      <c r="L87" s="108">
        <f t="shared" si="30"/>
        <v>56389.724951086704</v>
      </c>
      <c r="M87" s="108">
        <f t="shared" si="30"/>
        <v>56513.29720132464</v>
      </c>
      <c r="N87" s="108">
        <f t="shared" si="30"/>
        <v>61717.604306221248</v>
      </c>
      <c r="O87" s="108">
        <f t="shared" si="30"/>
        <v>98857.800190365189</v>
      </c>
      <c r="P87" s="154"/>
    </row>
    <row r="88" spans="2:17" ht="12.75" customHeight="1" x14ac:dyDescent="0.2">
      <c r="B88" s="105" t="s">
        <v>126</v>
      </c>
      <c r="C88" s="297">
        <f>D87-O75</f>
        <v>-40530.901210267803</v>
      </c>
      <c r="D88" s="108">
        <f t="shared" ref="D88:N88" si="31">+E87-D87</f>
        <v>494.28900095184508</v>
      </c>
      <c r="E88" s="108">
        <f t="shared" si="31"/>
        <v>741.43350142772397</v>
      </c>
      <c r="F88" s="108">
        <f t="shared" si="31"/>
        <v>20.389421289262827</v>
      </c>
      <c r="G88" s="108">
        <f t="shared" si="31"/>
        <v>-737.35561716989469</v>
      </c>
      <c r="H88" s="108">
        <f t="shared" si="31"/>
        <v>-867.04469379462535</v>
      </c>
      <c r="I88" s="108">
        <f t="shared" si="31"/>
        <v>42403.632310779423</v>
      </c>
      <c r="J88" s="108">
        <f t="shared" si="31"/>
        <v>-38266.618731187962</v>
      </c>
      <c r="K88" s="108">
        <f t="shared" si="31"/>
        <v>741.43350142772397</v>
      </c>
      <c r="L88" s="108">
        <f t="shared" si="31"/>
        <v>123.5722502379358</v>
      </c>
      <c r="M88" s="108">
        <f t="shared" si="31"/>
        <v>5204.3071048966085</v>
      </c>
      <c r="N88" s="108">
        <f t="shared" si="31"/>
        <v>37140.195884143941</v>
      </c>
      <c r="O88" s="108"/>
      <c r="P88" s="157">
        <f>SUM(C88:O88)</f>
        <v>6467.3327227341797</v>
      </c>
      <c r="Q88" s="102">
        <v>7</v>
      </c>
    </row>
    <row r="89" spans="2:17" ht="12.75" customHeight="1" x14ac:dyDescent="0.2">
      <c r="B89" s="109" t="s">
        <v>24</v>
      </c>
      <c r="C89" s="105"/>
      <c r="D89" s="108">
        <f t="shared" ref="D89:O89" si="32">SUM(D87:D88)</f>
        <v>52353.855258315052</v>
      </c>
      <c r="E89" s="108">
        <f t="shared" si="32"/>
        <v>53095.288759742776</v>
      </c>
      <c r="F89" s="108">
        <f t="shared" si="32"/>
        <v>53115.678181032039</v>
      </c>
      <c r="G89" s="108">
        <f t="shared" si="32"/>
        <v>52378.322563862144</v>
      </c>
      <c r="H89" s="108">
        <f t="shared" si="32"/>
        <v>51511.277870067519</v>
      </c>
      <c r="I89" s="108">
        <f t="shared" si="32"/>
        <v>93914.910180846942</v>
      </c>
      <c r="J89" s="108">
        <f t="shared" si="32"/>
        <v>55648.29144965898</v>
      </c>
      <c r="K89" s="108">
        <f t="shared" si="32"/>
        <v>56389.724951086704</v>
      </c>
      <c r="L89" s="108">
        <f t="shared" si="32"/>
        <v>56513.29720132464</v>
      </c>
      <c r="M89" s="108">
        <f t="shared" si="32"/>
        <v>61717.604306221248</v>
      </c>
      <c r="N89" s="108">
        <f t="shared" si="32"/>
        <v>98857.800190365189</v>
      </c>
      <c r="O89" s="108">
        <f t="shared" si="32"/>
        <v>98857.800190365189</v>
      </c>
      <c r="P89" s="154"/>
    </row>
    <row r="90" spans="2:17" ht="12.75" customHeight="1" x14ac:dyDescent="0.2"/>
    <row r="91" spans="2:17" ht="12.75" customHeight="1" x14ac:dyDescent="0.2">
      <c r="B91" s="351" t="s">
        <v>66</v>
      </c>
      <c r="C91" s="351">
        <v>7</v>
      </c>
      <c r="D91" s="351" t="s">
        <v>140</v>
      </c>
      <c r="E91" s="352"/>
      <c r="F91" s="352"/>
      <c r="G91" s="352"/>
      <c r="H91" s="352"/>
      <c r="I91" s="352"/>
      <c r="J91" s="352"/>
      <c r="K91" s="352"/>
      <c r="L91" s="352"/>
      <c r="M91" s="352"/>
      <c r="N91" s="352"/>
      <c r="O91" s="352"/>
      <c r="P91" s="159" t="s">
        <v>50</v>
      </c>
    </row>
    <row r="92" spans="2:17" ht="12.75" customHeight="1" x14ac:dyDescent="0.2">
      <c r="B92" s="352"/>
      <c r="C92" s="352"/>
      <c r="D92" s="150">
        <v>1</v>
      </c>
      <c r="E92" s="150">
        <v>2</v>
      </c>
      <c r="F92" s="150">
        <v>3</v>
      </c>
      <c r="G92" s="150">
        <v>4</v>
      </c>
      <c r="H92" s="150">
        <v>5</v>
      </c>
      <c r="I92" s="150">
        <v>6</v>
      </c>
      <c r="J92" s="150">
        <v>7</v>
      </c>
      <c r="K92" s="150">
        <v>8</v>
      </c>
      <c r="L92" s="150">
        <v>9</v>
      </c>
      <c r="M92" s="150">
        <v>10</v>
      </c>
      <c r="N92" s="150">
        <v>11</v>
      </c>
      <c r="O92" s="150">
        <v>12</v>
      </c>
      <c r="P92" s="160"/>
    </row>
    <row r="93" spans="2:17" ht="12.75" customHeight="1" x14ac:dyDescent="0.2">
      <c r="B93" s="105" t="s">
        <v>0</v>
      </c>
      <c r="C93" s="105"/>
      <c r="D93" s="106">
        <f>+'Presupuesto de ventas'!C20/2</f>
        <v>3430.3458973881811</v>
      </c>
      <c r="E93" s="106">
        <f>+'Presupuesto de ventas'!D20/2</f>
        <v>3463.0415477552624</v>
      </c>
      <c r="F93" s="106">
        <f>+'Presupuesto de ventas'!E20/2</f>
        <v>3512.0850233058827</v>
      </c>
      <c r="G93" s="106">
        <f>+'Presupuesto de ventas'!F20/2</f>
        <v>3513.4337188835243</v>
      </c>
      <c r="H93" s="106">
        <f>+'Presupuesto de ventas'!G20/2</f>
        <v>3464.6599824484319</v>
      </c>
      <c r="I93" s="106">
        <f>+'Presupuesto de ventas'!H20/2</f>
        <v>3407.3077247482761</v>
      </c>
      <c r="J93" s="106">
        <f>+'Presupuesto de ventas'!I20/2</f>
        <v>6212.1735697453178</v>
      </c>
      <c r="K93" s="106">
        <f>+'Presupuesto de ventas'!J20/2</f>
        <v>3680.9580574518554</v>
      </c>
      <c r="L93" s="106">
        <f>+'Presupuesto de ventas'!K20/2</f>
        <v>3730.0015330024753</v>
      </c>
      <c r="M93" s="106">
        <f>+'Presupuesto de ventas'!L20/2</f>
        <v>3738.1754455942441</v>
      </c>
      <c r="N93" s="106">
        <f>+'Presupuesto de ventas'!M20/2</f>
        <v>4082.4238613529374</v>
      </c>
      <c r="O93" s="106">
        <f>+'Presupuesto de ventas'!N20/2</f>
        <v>6539.1300734161232</v>
      </c>
      <c r="P93" s="154"/>
    </row>
    <row r="94" spans="2:17" ht="12.75" customHeight="1" x14ac:dyDescent="0.2">
      <c r="B94" s="105" t="s">
        <v>131</v>
      </c>
      <c r="C94" s="105"/>
      <c r="D94" s="106">
        <f>+'Presupuesto de ventas'!C35/2</f>
        <v>2744.2767179105449</v>
      </c>
      <c r="E94" s="106">
        <f>+'Presupuesto de ventas'!D35/2</f>
        <v>2770.4332382042103</v>
      </c>
      <c r="F94" s="106">
        <f>+'Presupuesto de ventas'!E35/2</f>
        <v>2809.6680186447061</v>
      </c>
      <c r="G94" s="106">
        <f>+'Presupuesto de ventas'!F35/2</f>
        <v>2810.7469751068197</v>
      </c>
      <c r="H94" s="106">
        <f>+'Presupuesto de ventas'!G35/2</f>
        <v>2771.7279859587456</v>
      </c>
      <c r="I94" s="106">
        <f>+'Presupuesto de ventas'!H35/2</f>
        <v>2725.8461797986211</v>
      </c>
      <c r="J94" s="106">
        <f>+'Presupuesto de ventas'!I35/2</f>
        <v>4969.738855796254</v>
      </c>
      <c r="K94" s="106">
        <f>+'Presupuesto de ventas'!J35/2</f>
        <v>2944.7664459614844</v>
      </c>
      <c r="L94" s="106">
        <f>+'Presupuesto de ventas'!K35/2</f>
        <v>2984.0012264019806</v>
      </c>
      <c r="M94" s="106">
        <f>+'Presupuesto de ventas'!L35/2</f>
        <v>2990.5403564753951</v>
      </c>
      <c r="N94" s="106">
        <f>+'Presupuesto de ventas'!M35/2</f>
        <v>3265.9390890823502</v>
      </c>
      <c r="O94" s="106">
        <f>+'Presupuesto de ventas'!N35/2</f>
        <v>5231.3040587328987</v>
      </c>
      <c r="P94" s="154"/>
    </row>
    <row r="95" spans="2:17" ht="12.75" customHeight="1" x14ac:dyDescent="0.2">
      <c r="B95" s="105" t="s">
        <v>1</v>
      </c>
      <c r="C95" s="105"/>
      <c r="D95" s="106">
        <f>+'Presupuesto de ventas'!C50/2</f>
        <v>633.29462721012567</v>
      </c>
      <c r="E95" s="106">
        <f>+'Presupuesto de ventas'!D50/2</f>
        <v>639.3307472778946</v>
      </c>
      <c r="F95" s="106">
        <f>+'Presupuesto de ventas'!E50/2</f>
        <v>648.38492737954755</v>
      </c>
      <c r="G95" s="106">
        <f>+'Presupuesto de ventas'!F50/2</f>
        <v>648.633917332343</v>
      </c>
      <c r="H95" s="106">
        <f>+'Presupuesto de ventas'!G50/2</f>
        <v>639.62953522124894</v>
      </c>
      <c r="I95" s="106">
        <f>+'Presupuesto de ventas'!H50/2</f>
        <v>629.04142610737415</v>
      </c>
      <c r="J95" s="106">
        <f>+'Presupuesto de ventas'!I50/2</f>
        <v>1146.8628128760586</v>
      </c>
      <c r="K95" s="106">
        <f>+'Presupuesto de ventas'!J50/2</f>
        <v>679.56148752957336</v>
      </c>
      <c r="L95" s="106">
        <f>+'Presupuesto de ventas'!K50/2</f>
        <v>688.6156676312263</v>
      </c>
      <c r="M95" s="106">
        <f>+'Presupuesto de ventas'!L50/2</f>
        <v>690.12469764816819</v>
      </c>
      <c r="N95" s="106">
        <f>+'Presupuesto de ventas'!M50/2</f>
        <v>753.67825132669611</v>
      </c>
      <c r="O95" s="106">
        <f>+'Presupuesto de ventas'!N50/2</f>
        <v>1207.2240135537459</v>
      </c>
      <c r="P95" s="154"/>
    </row>
    <row r="96" spans="2:17" ht="12.75" customHeight="1" x14ac:dyDescent="0.2">
      <c r="B96" s="105" t="s">
        <v>130</v>
      </c>
      <c r="C96" s="105"/>
      <c r="D96" s="107">
        <f>+D84</f>
        <v>8.058898305084746</v>
      </c>
      <c r="E96" s="107">
        <f t="shared" ref="E96:O96" si="33">+E84</f>
        <v>8.058898305084746</v>
      </c>
      <c r="F96" s="107">
        <f t="shared" si="33"/>
        <v>8.058898305084746</v>
      </c>
      <c r="G96" s="107">
        <f t="shared" si="33"/>
        <v>8.058898305084746</v>
      </c>
      <c r="H96" s="107">
        <f t="shared" si="33"/>
        <v>8.058898305084746</v>
      </c>
      <c r="I96" s="107">
        <f t="shared" si="33"/>
        <v>8.058898305084746</v>
      </c>
      <c r="J96" s="107">
        <f t="shared" si="33"/>
        <v>8.058898305084746</v>
      </c>
      <c r="K96" s="107">
        <f t="shared" si="33"/>
        <v>8.058898305084746</v>
      </c>
      <c r="L96" s="107">
        <f t="shared" si="33"/>
        <v>8.058898305084746</v>
      </c>
      <c r="M96" s="107">
        <f t="shared" si="33"/>
        <v>8.058898305084746</v>
      </c>
      <c r="N96" s="107">
        <f t="shared" si="33"/>
        <v>8.058898305084746</v>
      </c>
      <c r="O96" s="107">
        <f t="shared" si="33"/>
        <v>8.058898305084746</v>
      </c>
      <c r="P96" s="154"/>
    </row>
    <row r="97" spans="2:17" ht="12.75" customHeight="1" x14ac:dyDescent="0.2">
      <c r="B97" s="105" t="s">
        <v>129</v>
      </c>
      <c r="C97" s="105"/>
      <c r="D97" s="107">
        <f t="shared" ref="D97:O98" si="34">+D85</f>
        <v>8.1957627118644076</v>
      </c>
      <c r="E97" s="107">
        <f t="shared" si="34"/>
        <v>8.1957627118644076</v>
      </c>
      <c r="F97" s="107">
        <f t="shared" si="34"/>
        <v>8.1957627118644076</v>
      </c>
      <c r="G97" s="107">
        <f t="shared" si="34"/>
        <v>8.1957627118644076</v>
      </c>
      <c r="H97" s="107">
        <f t="shared" si="34"/>
        <v>8.1957627118644076</v>
      </c>
      <c r="I97" s="107">
        <f t="shared" si="34"/>
        <v>8.1957627118644076</v>
      </c>
      <c r="J97" s="107">
        <f t="shared" si="34"/>
        <v>8.1957627118644076</v>
      </c>
      <c r="K97" s="107">
        <f t="shared" si="34"/>
        <v>8.1957627118644076</v>
      </c>
      <c r="L97" s="107">
        <f t="shared" si="34"/>
        <v>8.1957627118644076</v>
      </c>
      <c r="M97" s="107">
        <f t="shared" si="34"/>
        <v>8.1957627118644076</v>
      </c>
      <c r="N97" s="107">
        <f t="shared" si="34"/>
        <v>8.1957627118644076</v>
      </c>
      <c r="O97" s="107">
        <f t="shared" si="34"/>
        <v>8.1957627118644076</v>
      </c>
      <c r="P97" s="154"/>
    </row>
    <row r="98" spans="2:17" ht="12.75" customHeight="1" x14ac:dyDescent="0.2">
      <c r="B98" s="105" t="s">
        <v>128</v>
      </c>
      <c r="C98" s="105"/>
      <c r="D98" s="107">
        <f t="shared" si="34"/>
        <v>8.453389830508474</v>
      </c>
      <c r="E98" s="107">
        <f t="shared" si="34"/>
        <v>8.453389830508474</v>
      </c>
      <c r="F98" s="107">
        <f t="shared" si="34"/>
        <v>8.453389830508474</v>
      </c>
      <c r="G98" s="107">
        <f t="shared" si="34"/>
        <v>8.453389830508474</v>
      </c>
      <c r="H98" s="107">
        <f t="shared" si="34"/>
        <v>8.453389830508474</v>
      </c>
      <c r="I98" s="107">
        <f t="shared" si="34"/>
        <v>8.453389830508474</v>
      </c>
      <c r="J98" s="107">
        <f t="shared" si="34"/>
        <v>8.453389830508474</v>
      </c>
      <c r="K98" s="107">
        <f t="shared" si="34"/>
        <v>8.453389830508474</v>
      </c>
      <c r="L98" s="107">
        <f t="shared" si="34"/>
        <v>8.453389830508474</v>
      </c>
      <c r="M98" s="107">
        <f t="shared" si="34"/>
        <v>8.453389830508474</v>
      </c>
      <c r="N98" s="107">
        <f t="shared" si="34"/>
        <v>8.453389830508474</v>
      </c>
      <c r="O98" s="107">
        <f t="shared" si="34"/>
        <v>8.453389830508474</v>
      </c>
      <c r="P98" s="154"/>
    </row>
    <row r="99" spans="2:17" ht="12.75" customHeight="1" x14ac:dyDescent="0.2">
      <c r="B99" s="105" t="s">
        <v>127</v>
      </c>
      <c r="C99" s="108"/>
      <c r="D99" s="108">
        <f t="shared" ref="D99:O99" si="35">+D93*D96+D94*D97+D95*D98</f>
        <v>55489.735895378639</v>
      </c>
      <c r="E99" s="108">
        <f t="shared" si="35"/>
        <v>56018.625126397106</v>
      </c>
      <c r="F99" s="108">
        <f t="shared" si="35"/>
        <v>56811.958972924782</v>
      </c>
      <c r="G99" s="108">
        <f t="shared" si="35"/>
        <v>56833.775653704281</v>
      </c>
      <c r="H99" s="108">
        <f t="shared" si="35"/>
        <v>56044.805143332509</v>
      </c>
      <c r="I99" s="108">
        <f t="shared" si="35"/>
        <v>55117.067320972252</v>
      </c>
      <c r="J99" s="108">
        <f t="shared" si="35"/>
        <v>100488.95389350624</v>
      </c>
      <c r="K99" s="108">
        <f t="shared" si="35"/>
        <v>59543.671851135114</v>
      </c>
      <c r="L99" s="108">
        <f t="shared" si="35"/>
        <v>60337.005697662782</v>
      </c>
      <c r="M99" s="108">
        <f t="shared" si="35"/>
        <v>60469.228005417368</v>
      </c>
      <c r="N99" s="108">
        <f t="shared" si="35"/>
        <v>66037.836607656747</v>
      </c>
      <c r="O99" s="108">
        <f t="shared" si="35"/>
        <v>105777.84620369077</v>
      </c>
      <c r="P99" s="154"/>
    </row>
    <row r="100" spans="2:17" ht="12.75" customHeight="1" x14ac:dyDescent="0.2">
      <c r="B100" s="105" t="s">
        <v>126</v>
      </c>
      <c r="C100" s="297">
        <f>D99-O87</f>
        <v>-43368.064294986551</v>
      </c>
      <c r="D100" s="108">
        <f t="shared" ref="D100:N100" si="36">+E99-D99</f>
        <v>528.8892310184674</v>
      </c>
      <c r="E100" s="108">
        <f t="shared" si="36"/>
        <v>793.33384652767563</v>
      </c>
      <c r="F100" s="108">
        <f t="shared" si="36"/>
        <v>21.816680779498711</v>
      </c>
      <c r="G100" s="108">
        <f t="shared" si="36"/>
        <v>-788.97051037177152</v>
      </c>
      <c r="H100" s="108">
        <f t="shared" si="36"/>
        <v>-927.73782236025727</v>
      </c>
      <c r="I100" s="108">
        <f t="shared" si="36"/>
        <v>45371.886572533993</v>
      </c>
      <c r="J100" s="108">
        <f t="shared" si="36"/>
        <v>-40945.282042371131</v>
      </c>
      <c r="K100" s="108">
        <f t="shared" si="36"/>
        <v>793.33384652766836</v>
      </c>
      <c r="L100" s="108">
        <f t="shared" si="36"/>
        <v>132.22230775458593</v>
      </c>
      <c r="M100" s="108">
        <f t="shared" si="36"/>
        <v>5568.6086022393793</v>
      </c>
      <c r="N100" s="108">
        <f t="shared" si="36"/>
        <v>39740.009596034026</v>
      </c>
      <c r="O100" s="108"/>
      <c r="P100" s="157">
        <f>SUM(C100:O100)</f>
        <v>6920.0460133255838</v>
      </c>
      <c r="Q100" s="102">
        <v>8</v>
      </c>
    </row>
    <row r="101" spans="2:17" ht="12.75" customHeight="1" x14ac:dyDescent="0.2">
      <c r="B101" s="109" t="s">
        <v>24</v>
      </c>
      <c r="C101" s="105"/>
      <c r="D101" s="108">
        <f t="shared" ref="D101:O101" si="37">SUM(D99:D100)</f>
        <v>56018.625126397106</v>
      </c>
      <c r="E101" s="108">
        <f t="shared" si="37"/>
        <v>56811.958972924782</v>
      </c>
      <c r="F101" s="108">
        <f t="shared" si="37"/>
        <v>56833.775653704281</v>
      </c>
      <c r="G101" s="108">
        <f t="shared" si="37"/>
        <v>56044.805143332509</v>
      </c>
      <c r="H101" s="108">
        <f t="shared" si="37"/>
        <v>55117.067320972252</v>
      </c>
      <c r="I101" s="108">
        <f t="shared" si="37"/>
        <v>100488.95389350624</v>
      </c>
      <c r="J101" s="108">
        <f t="shared" si="37"/>
        <v>59543.671851135114</v>
      </c>
      <c r="K101" s="108">
        <f t="shared" si="37"/>
        <v>60337.005697662782</v>
      </c>
      <c r="L101" s="108">
        <f t="shared" si="37"/>
        <v>60469.228005417368</v>
      </c>
      <c r="M101" s="108">
        <f t="shared" si="37"/>
        <v>66037.836607656747</v>
      </c>
      <c r="N101" s="108">
        <f t="shared" si="37"/>
        <v>105777.84620369077</v>
      </c>
      <c r="O101" s="108">
        <f t="shared" si="37"/>
        <v>105777.84620369077</v>
      </c>
      <c r="P101" s="154"/>
    </row>
    <row r="102" spans="2:17" ht="12.75" customHeight="1" x14ac:dyDescent="0.2"/>
    <row r="103" spans="2:17" ht="12.75" customHeight="1" x14ac:dyDescent="0.2">
      <c r="B103" s="351" t="s">
        <v>66</v>
      </c>
      <c r="C103" s="351">
        <v>8</v>
      </c>
      <c r="D103" s="351" t="s">
        <v>141</v>
      </c>
      <c r="E103" s="352"/>
      <c r="F103" s="352"/>
      <c r="G103" s="352"/>
      <c r="H103" s="352"/>
      <c r="I103" s="352"/>
      <c r="J103" s="352"/>
      <c r="K103" s="352"/>
      <c r="L103" s="352"/>
      <c r="M103" s="352"/>
      <c r="N103" s="352"/>
      <c r="O103" s="352"/>
      <c r="P103" s="159" t="s">
        <v>50</v>
      </c>
    </row>
    <row r="104" spans="2:17" ht="12.75" customHeight="1" x14ac:dyDescent="0.2">
      <c r="B104" s="352"/>
      <c r="C104" s="352"/>
      <c r="D104" s="150">
        <v>1</v>
      </c>
      <c r="E104" s="150">
        <v>2</v>
      </c>
      <c r="F104" s="150">
        <v>3</v>
      </c>
      <c r="G104" s="150">
        <v>4</v>
      </c>
      <c r="H104" s="150">
        <v>5</v>
      </c>
      <c r="I104" s="150">
        <v>6</v>
      </c>
      <c r="J104" s="150">
        <v>7</v>
      </c>
      <c r="K104" s="150">
        <v>8</v>
      </c>
      <c r="L104" s="150">
        <v>9</v>
      </c>
      <c r="M104" s="150">
        <v>10</v>
      </c>
      <c r="N104" s="150">
        <v>11</v>
      </c>
      <c r="O104" s="150">
        <v>12</v>
      </c>
      <c r="P104" s="160"/>
    </row>
    <row r="105" spans="2:17" ht="12.75" customHeight="1" x14ac:dyDescent="0.2">
      <c r="B105" s="105" t="s">
        <v>0</v>
      </c>
      <c r="C105" s="105"/>
      <c r="D105" s="106">
        <f>+'Presupuesto de ventas'!C21/2</f>
        <v>3670.4701102053536</v>
      </c>
      <c r="E105" s="106">
        <f>+'Presupuesto de ventas'!D21/2</f>
        <v>3705.4544560981308</v>
      </c>
      <c r="F105" s="106">
        <f>+'Presupuesto de ventas'!E21/2</f>
        <v>3757.9309749372946</v>
      </c>
      <c r="G105" s="106">
        <f>+'Presupuesto de ventas'!F21/2</f>
        <v>3759.3740792053709</v>
      </c>
      <c r="H105" s="106">
        <f>+'Presupuesto de ventas'!G21/2</f>
        <v>3707.1861812198222</v>
      </c>
      <c r="I105" s="106">
        <f>+'Presupuesto de ventas'!H21/2</f>
        <v>3645.8192654806558</v>
      </c>
      <c r="J105" s="106">
        <f>+'Presupuesto de ventas'!I21/2</f>
        <v>6647.0257196274897</v>
      </c>
      <c r="K105" s="106">
        <f>+'Presupuesto de ventas'!J21/2</f>
        <v>3938.6251214734853</v>
      </c>
      <c r="L105" s="106">
        <f>+'Presupuesto de ventas'!K21/2</f>
        <v>3991.1016403126487</v>
      </c>
      <c r="M105" s="106">
        <f>+'Presupuesto de ventas'!L21/2</f>
        <v>3999.8477267858411</v>
      </c>
      <c r="N105" s="106">
        <f>+'Presupuesto de ventas'!M21/2</f>
        <v>4368.1935316476429</v>
      </c>
      <c r="O105" s="106">
        <f>+'Presupuesto de ventas'!N21/2</f>
        <v>6996.8691785552519</v>
      </c>
      <c r="P105" s="154"/>
    </row>
    <row r="106" spans="2:17" ht="12.75" customHeight="1" x14ac:dyDescent="0.2">
      <c r="B106" s="105" t="s">
        <v>131</v>
      </c>
      <c r="C106" s="105"/>
      <c r="D106" s="106">
        <f>+'Presupuesto de ventas'!C36/2</f>
        <v>2936.3760881642834</v>
      </c>
      <c r="E106" s="106">
        <f>+'Presupuesto de ventas'!D36/2</f>
        <v>2964.3635648785053</v>
      </c>
      <c r="F106" s="106">
        <f>+'Presupuesto de ventas'!E36/2</f>
        <v>3006.3447799498363</v>
      </c>
      <c r="G106" s="106">
        <f>+'Presupuesto de ventas'!F36/2</f>
        <v>3007.4992633642973</v>
      </c>
      <c r="H106" s="106">
        <f>+'Presupuesto de ventas'!G36/2</f>
        <v>2965.7489449758582</v>
      </c>
      <c r="I106" s="106">
        <f>+'Presupuesto de ventas'!H36/2</f>
        <v>2916.6554123845249</v>
      </c>
      <c r="J106" s="106">
        <f>+'Presupuesto de ventas'!I36/2</f>
        <v>5317.6205757019925</v>
      </c>
      <c r="K106" s="106">
        <f>+'Presupuesto de ventas'!J36/2</f>
        <v>3150.9000971787887</v>
      </c>
      <c r="L106" s="106">
        <f>+'Presupuesto de ventas'!K36/2</f>
        <v>3192.8813122501197</v>
      </c>
      <c r="M106" s="106">
        <f>+'Presupuesto de ventas'!L36/2</f>
        <v>3199.8781814286735</v>
      </c>
      <c r="N106" s="106">
        <f>+'Presupuesto de ventas'!M36/2</f>
        <v>3494.554825318115</v>
      </c>
      <c r="O106" s="106">
        <f>+'Presupuesto de ventas'!N36/2</f>
        <v>5597.4953428442022</v>
      </c>
      <c r="P106" s="154"/>
    </row>
    <row r="107" spans="2:17" ht="12.75" customHeight="1" x14ac:dyDescent="0.2">
      <c r="B107" s="105" t="s">
        <v>1</v>
      </c>
      <c r="C107" s="105"/>
      <c r="D107" s="106">
        <f>+'Presupuesto de ventas'!C51/2</f>
        <v>677.62525111483455</v>
      </c>
      <c r="E107" s="106">
        <f>+'Presupuesto de ventas'!D51/2</f>
        <v>684.08389958734722</v>
      </c>
      <c r="F107" s="106">
        <f>+'Presupuesto de ventas'!E51/2</f>
        <v>693.77187229611593</v>
      </c>
      <c r="G107" s="106">
        <f>+'Presupuesto de ventas'!F51/2</f>
        <v>694.03829154560697</v>
      </c>
      <c r="H107" s="106">
        <f>+'Presupuesto de ventas'!G51/2</f>
        <v>684.40360268673635</v>
      </c>
      <c r="I107" s="106">
        <f>+'Presupuesto de ventas'!H51/2</f>
        <v>673.07432593489023</v>
      </c>
      <c r="J107" s="106">
        <f>+'Presupuesto de ventas'!I51/2</f>
        <v>1227.1432097773827</v>
      </c>
      <c r="K107" s="106">
        <f>+'Presupuesto de ventas'!J51/2</f>
        <v>727.1307916566434</v>
      </c>
      <c r="L107" s="106">
        <f>+'Presupuesto de ventas'!K51/2</f>
        <v>736.81876436541211</v>
      </c>
      <c r="M107" s="106">
        <f>+'Presupuesto de ventas'!L51/2</f>
        <v>738.43342648353985</v>
      </c>
      <c r="N107" s="106">
        <f>+'Presupuesto de ventas'!M51/2</f>
        <v>806.43572891956489</v>
      </c>
      <c r="O107" s="106">
        <f>+'Presupuesto de ventas'!N51/2</f>
        <v>1291.729694502508</v>
      </c>
      <c r="P107" s="154"/>
    </row>
    <row r="108" spans="2:17" ht="12.75" customHeight="1" x14ac:dyDescent="0.2">
      <c r="B108" s="105" t="s">
        <v>130</v>
      </c>
      <c r="C108" s="105"/>
      <c r="D108" s="107">
        <f>+D96</f>
        <v>8.058898305084746</v>
      </c>
      <c r="E108" s="107">
        <f t="shared" ref="E108:O108" si="38">+E96</f>
        <v>8.058898305084746</v>
      </c>
      <c r="F108" s="107">
        <f t="shared" si="38"/>
        <v>8.058898305084746</v>
      </c>
      <c r="G108" s="107">
        <f t="shared" si="38"/>
        <v>8.058898305084746</v>
      </c>
      <c r="H108" s="107">
        <f t="shared" si="38"/>
        <v>8.058898305084746</v>
      </c>
      <c r="I108" s="107">
        <f t="shared" si="38"/>
        <v>8.058898305084746</v>
      </c>
      <c r="J108" s="107">
        <f t="shared" si="38"/>
        <v>8.058898305084746</v>
      </c>
      <c r="K108" s="107">
        <f t="shared" si="38"/>
        <v>8.058898305084746</v>
      </c>
      <c r="L108" s="107">
        <f t="shared" si="38"/>
        <v>8.058898305084746</v>
      </c>
      <c r="M108" s="107">
        <f t="shared" si="38"/>
        <v>8.058898305084746</v>
      </c>
      <c r="N108" s="107">
        <f t="shared" si="38"/>
        <v>8.058898305084746</v>
      </c>
      <c r="O108" s="107">
        <f t="shared" si="38"/>
        <v>8.058898305084746</v>
      </c>
      <c r="P108" s="154"/>
    </row>
    <row r="109" spans="2:17" ht="12.75" customHeight="1" x14ac:dyDescent="0.2">
      <c r="B109" s="105" t="s">
        <v>129</v>
      </c>
      <c r="C109" s="105"/>
      <c r="D109" s="107">
        <f t="shared" ref="D109:O110" si="39">+D97</f>
        <v>8.1957627118644076</v>
      </c>
      <c r="E109" s="107">
        <f t="shared" si="39"/>
        <v>8.1957627118644076</v>
      </c>
      <c r="F109" s="107">
        <f t="shared" si="39"/>
        <v>8.1957627118644076</v>
      </c>
      <c r="G109" s="107">
        <f t="shared" si="39"/>
        <v>8.1957627118644076</v>
      </c>
      <c r="H109" s="107">
        <f t="shared" si="39"/>
        <v>8.1957627118644076</v>
      </c>
      <c r="I109" s="107">
        <f t="shared" si="39"/>
        <v>8.1957627118644076</v>
      </c>
      <c r="J109" s="107">
        <f t="shared" si="39"/>
        <v>8.1957627118644076</v>
      </c>
      <c r="K109" s="107">
        <f t="shared" si="39"/>
        <v>8.1957627118644076</v>
      </c>
      <c r="L109" s="107">
        <f t="shared" si="39"/>
        <v>8.1957627118644076</v>
      </c>
      <c r="M109" s="107">
        <f t="shared" si="39"/>
        <v>8.1957627118644076</v>
      </c>
      <c r="N109" s="107">
        <f t="shared" si="39"/>
        <v>8.1957627118644076</v>
      </c>
      <c r="O109" s="107">
        <f t="shared" si="39"/>
        <v>8.1957627118644076</v>
      </c>
      <c r="P109" s="154"/>
    </row>
    <row r="110" spans="2:17" ht="12.75" customHeight="1" x14ac:dyDescent="0.2">
      <c r="B110" s="105" t="s">
        <v>128</v>
      </c>
      <c r="C110" s="105"/>
      <c r="D110" s="107">
        <f t="shared" si="39"/>
        <v>8.453389830508474</v>
      </c>
      <c r="E110" s="107">
        <f t="shared" si="39"/>
        <v>8.453389830508474</v>
      </c>
      <c r="F110" s="107">
        <f t="shared" si="39"/>
        <v>8.453389830508474</v>
      </c>
      <c r="G110" s="107">
        <f t="shared" si="39"/>
        <v>8.453389830508474</v>
      </c>
      <c r="H110" s="107">
        <f t="shared" si="39"/>
        <v>8.453389830508474</v>
      </c>
      <c r="I110" s="107">
        <f t="shared" si="39"/>
        <v>8.453389830508474</v>
      </c>
      <c r="J110" s="107">
        <f t="shared" si="39"/>
        <v>8.453389830508474</v>
      </c>
      <c r="K110" s="107">
        <f t="shared" si="39"/>
        <v>8.453389830508474</v>
      </c>
      <c r="L110" s="107">
        <f t="shared" si="39"/>
        <v>8.453389830508474</v>
      </c>
      <c r="M110" s="107">
        <f t="shared" si="39"/>
        <v>8.453389830508474</v>
      </c>
      <c r="N110" s="107">
        <f t="shared" si="39"/>
        <v>8.453389830508474</v>
      </c>
      <c r="O110" s="107">
        <f t="shared" si="39"/>
        <v>8.453389830508474</v>
      </c>
      <c r="P110" s="154"/>
    </row>
    <row r="111" spans="2:17" ht="12.75" customHeight="1" x14ac:dyDescent="0.2">
      <c r="B111" s="105" t="s">
        <v>127</v>
      </c>
      <c r="C111" s="108"/>
      <c r="D111" s="299">
        <f t="shared" ref="D111:O111" si="40">+D105*D108+D106*D109+D107*D110</f>
        <v>59374.017408055144</v>
      </c>
      <c r="E111" s="299">
        <f t="shared" si="40"/>
        <v>59939.92888524491</v>
      </c>
      <c r="F111" s="299">
        <f t="shared" si="40"/>
        <v>60788.796101029518</v>
      </c>
      <c r="G111" s="299">
        <f t="shared" si="40"/>
        <v>60812.139949463577</v>
      </c>
      <c r="H111" s="299">
        <f t="shared" si="40"/>
        <v>59967.941503365779</v>
      </c>
      <c r="I111" s="299">
        <f t="shared" si="40"/>
        <v>58975.262033440311</v>
      </c>
      <c r="J111" s="299">
        <f t="shared" si="40"/>
        <v>107523.18066605169</v>
      </c>
      <c r="K111" s="299">
        <f t="shared" si="40"/>
        <v>63711.728880714574</v>
      </c>
      <c r="L111" s="299">
        <f t="shared" si="40"/>
        <v>64560.596096499183</v>
      </c>
      <c r="M111" s="299">
        <f t="shared" si="40"/>
        <v>64702.07396579659</v>
      </c>
      <c r="N111" s="299">
        <f t="shared" si="40"/>
        <v>70660.485170192725</v>
      </c>
      <c r="O111" s="299">
        <f t="shared" si="40"/>
        <v>113182.29543794913</v>
      </c>
      <c r="P111" s="154"/>
    </row>
    <row r="112" spans="2:17" ht="12.75" customHeight="1" x14ac:dyDescent="0.2">
      <c r="B112" s="105" t="s">
        <v>126</v>
      </c>
      <c r="C112" s="297">
        <f>D111-O99</f>
        <v>-46403.828795635629</v>
      </c>
      <c r="D112" s="108">
        <f t="shared" ref="D112:N112" si="41">+E111-D111</f>
        <v>565.91147718976572</v>
      </c>
      <c r="E112" s="108">
        <f t="shared" si="41"/>
        <v>848.86721578460856</v>
      </c>
      <c r="F112" s="108">
        <f t="shared" si="41"/>
        <v>23.3438484340586</v>
      </c>
      <c r="G112" s="108">
        <f t="shared" si="41"/>
        <v>-844.1984460977983</v>
      </c>
      <c r="H112" s="108">
        <f t="shared" si="41"/>
        <v>-992.67946992546786</v>
      </c>
      <c r="I112" s="108">
        <f t="shared" si="41"/>
        <v>48547.918632611378</v>
      </c>
      <c r="J112" s="108">
        <f t="shared" si="41"/>
        <v>-43811.451785337114</v>
      </c>
      <c r="K112" s="108">
        <f t="shared" si="41"/>
        <v>848.86721578460856</v>
      </c>
      <c r="L112" s="108">
        <f t="shared" si="41"/>
        <v>141.47786929740687</v>
      </c>
      <c r="M112" s="108">
        <f t="shared" si="41"/>
        <v>5958.4112043961359</v>
      </c>
      <c r="N112" s="108">
        <f t="shared" si="41"/>
        <v>42521.810267756402</v>
      </c>
      <c r="O112" s="108"/>
      <c r="P112" s="157">
        <f>SUM(C112:O112)</f>
        <v>7404.4492342583544</v>
      </c>
      <c r="Q112" s="102">
        <v>9</v>
      </c>
    </row>
    <row r="113" spans="2:17" ht="12.75" customHeight="1" x14ac:dyDescent="0.2">
      <c r="B113" s="109" t="s">
        <v>24</v>
      </c>
      <c r="C113" s="105"/>
      <c r="D113" s="108">
        <f t="shared" ref="D113:O113" si="42">SUM(D111:D112)</f>
        <v>59939.92888524491</v>
      </c>
      <c r="E113" s="108">
        <f t="shared" si="42"/>
        <v>60788.796101029518</v>
      </c>
      <c r="F113" s="108">
        <f t="shared" si="42"/>
        <v>60812.139949463577</v>
      </c>
      <c r="G113" s="108">
        <f t="shared" si="42"/>
        <v>59967.941503365779</v>
      </c>
      <c r="H113" s="108">
        <f t="shared" si="42"/>
        <v>58975.262033440311</v>
      </c>
      <c r="I113" s="108">
        <f t="shared" si="42"/>
        <v>107523.18066605169</v>
      </c>
      <c r="J113" s="108">
        <f t="shared" si="42"/>
        <v>63711.728880714574</v>
      </c>
      <c r="K113" s="108">
        <f t="shared" si="42"/>
        <v>64560.596096499183</v>
      </c>
      <c r="L113" s="108">
        <f t="shared" si="42"/>
        <v>64702.07396579659</v>
      </c>
      <c r="M113" s="108">
        <f t="shared" si="42"/>
        <v>70660.485170192725</v>
      </c>
      <c r="N113" s="108">
        <f t="shared" si="42"/>
        <v>113182.29543794913</v>
      </c>
      <c r="O113" s="108">
        <f t="shared" si="42"/>
        <v>113182.29543794913</v>
      </c>
      <c r="P113" s="154"/>
    </row>
    <row r="114" spans="2:17" ht="12.75" customHeight="1" x14ac:dyDescent="0.2"/>
    <row r="115" spans="2:17" ht="12.75" customHeight="1" x14ac:dyDescent="0.2">
      <c r="B115" s="351" t="s">
        <v>66</v>
      </c>
      <c r="C115" s="351">
        <v>9</v>
      </c>
      <c r="D115" s="351" t="s">
        <v>142</v>
      </c>
      <c r="E115" s="352"/>
      <c r="F115" s="352"/>
      <c r="G115" s="352"/>
      <c r="H115" s="352"/>
      <c r="I115" s="352"/>
      <c r="J115" s="352"/>
      <c r="K115" s="352"/>
      <c r="L115" s="352"/>
      <c r="M115" s="352"/>
      <c r="N115" s="352"/>
      <c r="O115" s="352"/>
      <c r="P115" s="159" t="s">
        <v>50</v>
      </c>
    </row>
    <row r="116" spans="2:17" ht="12.75" customHeight="1" x14ac:dyDescent="0.2">
      <c r="B116" s="352"/>
      <c r="C116" s="352"/>
      <c r="D116" s="150">
        <v>1</v>
      </c>
      <c r="E116" s="150">
        <v>2</v>
      </c>
      <c r="F116" s="150">
        <v>3</v>
      </c>
      <c r="G116" s="150">
        <v>4</v>
      </c>
      <c r="H116" s="150">
        <v>5</v>
      </c>
      <c r="I116" s="150">
        <v>6</v>
      </c>
      <c r="J116" s="150">
        <v>7</v>
      </c>
      <c r="K116" s="150">
        <v>8</v>
      </c>
      <c r="L116" s="150">
        <v>9</v>
      </c>
      <c r="M116" s="150">
        <v>10</v>
      </c>
      <c r="N116" s="150">
        <v>11</v>
      </c>
      <c r="O116" s="150">
        <v>12</v>
      </c>
      <c r="P116" s="160"/>
    </row>
    <row r="117" spans="2:17" ht="12.75" customHeight="1" x14ac:dyDescent="0.2">
      <c r="B117" s="105" t="s">
        <v>0</v>
      </c>
      <c r="C117" s="105"/>
      <c r="D117" s="106">
        <f>+'Presupuesto de ventas'!C22/2</f>
        <v>3927.4030179197284</v>
      </c>
      <c r="E117" s="106">
        <f>+'Presupuesto de ventas'!D22/2</f>
        <v>3964.8362680250002</v>
      </c>
      <c r="F117" s="106">
        <f>+'Presupuesto de ventas'!E22/2</f>
        <v>4020.9861431829054</v>
      </c>
      <c r="G117" s="106">
        <f>+'Presupuesto de ventas'!F22/2</f>
        <v>4022.5302647497474</v>
      </c>
      <c r="H117" s="106">
        <f>+'Presupuesto de ventas'!G22/2</f>
        <v>3966.6892139052097</v>
      </c>
      <c r="I117" s="106">
        <f>+'Presupuesto de ventas'!H22/2</f>
        <v>3901.0266140643016</v>
      </c>
      <c r="J117" s="106">
        <f>+'Presupuesto de ventas'!I22/2</f>
        <v>7112.3175200014148</v>
      </c>
      <c r="K117" s="106">
        <f>+'Presupuesto de ventas'!J22/2</f>
        <v>4214.3288799766297</v>
      </c>
      <c r="L117" s="106">
        <f>+'Presupuesto de ventas'!K22/2</f>
        <v>4270.4787551345344</v>
      </c>
      <c r="M117" s="106">
        <f>+'Presupuesto de ventas'!L22/2</f>
        <v>4279.8370676608502</v>
      </c>
      <c r="N117" s="106">
        <f>+'Presupuesto de ventas'!M22/2</f>
        <v>4673.9670788629783</v>
      </c>
      <c r="O117" s="106">
        <f>+'Presupuesto de ventas'!N22/2</f>
        <v>7486.6500210541199</v>
      </c>
      <c r="P117" s="154"/>
    </row>
    <row r="118" spans="2:17" ht="12.75" customHeight="1" x14ac:dyDescent="0.2">
      <c r="B118" s="105" t="s">
        <v>131</v>
      </c>
      <c r="C118" s="105"/>
      <c r="D118" s="106">
        <f>+'Presupuesto de ventas'!C37/2</f>
        <v>3141.9224143357833</v>
      </c>
      <c r="E118" s="106">
        <f>+'Presupuesto de ventas'!D37/2</f>
        <v>3171.8690144200009</v>
      </c>
      <c r="F118" s="106">
        <f>+'Presupuesto de ventas'!E37/2</f>
        <v>3216.7889145463246</v>
      </c>
      <c r="G118" s="106">
        <f>+'Presupuesto de ventas'!F37/2</f>
        <v>3218.0242117997982</v>
      </c>
      <c r="H118" s="106">
        <f>+'Presupuesto de ventas'!G37/2</f>
        <v>3173.3513711241685</v>
      </c>
      <c r="I118" s="106">
        <f>+'Presupuesto de ventas'!H37/2</f>
        <v>3120.8212912514418</v>
      </c>
      <c r="J118" s="106">
        <f>+'Presupuesto de ventas'!I37/2</f>
        <v>5689.8540160011325</v>
      </c>
      <c r="K118" s="106">
        <f>+'Presupuesto de ventas'!J37/2</f>
        <v>3371.4631039813044</v>
      </c>
      <c r="L118" s="106">
        <f>+'Presupuesto de ventas'!K37/2</f>
        <v>3416.383004107628</v>
      </c>
      <c r="M118" s="106">
        <f>+'Presupuesto de ventas'!L37/2</f>
        <v>3423.8696541286808</v>
      </c>
      <c r="N118" s="106">
        <f>+'Presupuesto de ventas'!M37/2</f>
        <v>3739.1736630903833</v>
      </c>
      <c r="O118" s="106">
        <f>+'Presupuesto de ventas'!N37/2</f>
        <v>5989.3200168432968</v>
      </c>
      <c r="P118" s="154"/>
    </row>
    <row r="119" spans="2:17" ht="12.75" customHeight="1" x14ac:dyDescent="0.2">
      <c r="B119" s="105" t="s">
        <v>1</v>
      </c>
      <c r="C119" s="105"/>
      <c r="D119" s="106">
        <f>+'Presupuesto de ventas'!C52/2</f>
        <v>725.05901869287288</v>
      </c>
      <c r="E119" s="106">
        <f>+'Presupuesto de ventas'!D52/2</f>
        <v>731.9697725584615</v>
      </c>
      <c r="F119" s="106">
        <f>+'Presupuesto de ventas'!E52/2</f>
        <v>742.33590335684403</v>
      </c>
      <c r="G119" s="106">
        <f>+'Presupuesto de ventas'!F52/2</f>
        <v>742.62097195379943</v>
      </c>
      <c r="H119" s="106">
        <f>+'Presupuesto de ventas'!G52/2</f>
        <v>732.31185487480786</v>
      </c>
      <c r="I119" s="106">
        <f>+'Presupuesto de ventas'!H52/2</f>
        <v>720.18952875033256</v>
      </c>
      <c r="J119" s="106">
        <f>+'Presupuesto de ventas'!I52/2</f>
        <v>1313.0432344617996</v>
      </c>
      <c r="K119" s="106">
        <f>+'Presupuesto de ventas'!J52/2</f>
        <v>778.02994707260848</v>
      </c>
      <c r="L119" s="106">
        <f>+'Presupuesto de ventas'!K52/2</f>
        <v>788.39607787099089</v>
      </c>
      <c r="M119" s="106">
        <f>+'Presupuesto de ventas'!L52/2</f>
        <v>790.12376633738768</v>
      </c>
      <c r="N119" s="106">
        <f>+'Presupuesto de ventas'!M52/2</f>
        <v>862.88622994393438</v>
      </c>
      <c r="O119" s="106">
        <f>+'Presupuesto de ventas'!N52/2</f>
        <v>1382.1507731176835</v>
      </c>
      <c r="P119" s="154"/>
    </row>
    <row r="120" spans="2:17" ht="12.75" customHeight="1" x14ac:dyDescent="0.2">
      <c r="B120" s="105" t="s">
        <v>130</v>
      </c>
      <c r="C120" s="105"/>
      <c r="D120" s="107">
        <f>+D108</f>
        <v>8.058898305084746</v>
      </c>
      <c r="E120" s="107">
        <f t="shared" ref="E120:O120" si="43">+E108</f>
        <v>8.058898305084746</v>
      </c>
      <c r="F120" s="107">
        <f t="shared" si="43"/>
        <v>8.058898305084746</v>
      </c>
      <c r="G120" s="107">
        <f t="shared" si="43"/>
        <v>8.058898305084746</v>
      </c>
      <c r="H120" s="107">
        <f t="shared" si="43"/>
        <v>8.058898305084746</v>
      </c>
      <c r="I120" s="107">
        <f t="shared" si="43"/>
        <v>8.058898305084746</v>
      </c>
      <c r="J120" s="107">
        <f t="shared" si="43"/>
        <v>8.058898305084746</v>
      </c>
      <c r="K120" s="107">
        <f t="shared" si="43"/>
        <v>8.058898305084746</v>
      </c>
      <c r="L120" s="107">
        <f t="shared" si="43"/>
        <v>8.058898305084746</v>
      </c>
      <c r="M120" s="107">
        <f t="shared" si="43"/>
        <v>8.058898305084746</v>
      </c>
      <c r="N120" s="107">
        <f t="shared" si="43"/>
        <v>8.058898305084746</v>
      </c>
      <c r="O120" s="107">
        <f t="shared" si="43"/>
        <v>8.058898305084746</v>
      </c>
      <c r="P120" s="154"/>
    </row>
    <row r="121" spans="2:17" ht="12.75" customHeight="1" x14ac:dyDescent="0.2">
      <c r="B121" s="105" t="s">
        <v>129</v>
      </c>
      <c r="C121" s="105"/>
      <c r="D121" s="107">
        <f t="shared" ref="D121:O122" si="44">+D109</f>
        <v>8.1957627118644076</v>
      </c>
      <c r="E121" s="107">
        <f t="shared" si="44"/>
        <v>8.1957627118644076</v>
      </c>
      <c r="F121" s="107">
        <f t="shared" si="44"/>
        <v>8.1957627118644076</v>
      </c>
      <c r="G121" s="107">
        <f t="shared" si="44"/>
        <v>8.1957627118644076</v>
      </c>
      <c r="H121" s="107">
        <f t="shared" si="44"/>
        <v>8.1957627118644076</v>
      </c>
      <c r="I121" s="107">
        <f t="shared" si="44"/>
        <v>8.1957627118644076</v>
      </c>
      <c r="J121" s="107">
        <f t="shared" si="44"/>
        <v>8.1957627118644076</v>
      </c>
      <c r="K121" s="107">
        <f t="shared" si="44"/>
        <v>8.1957627118644076</v>
      </c>
      <c r="L121" s="107">
        <f t="shared" si="44"/>
        <v>8.1957627118644076</v>
      </c>
      <c r="M121" s="107">
        <f t="shared" si="44"/>
        <v>8.1957627118644076</v>
      </c>
      <c r="N121" s="107">
        <f t="shared" si="44"/>
        <v>8.1957627118644076</v>
      </c>
      <c r="O121" s="107">
        <f t="shared" si="44"/>
        <v>8.1957627118644076</v>
      </c>
      <c r="P121" s="154"/>
    </row>
    <row r="122" spans="2:17" ht="12.75" customHeight="1" x14ac:dyDescent="0.2">
      <c r="B122" s="105" t="s">
        <v>128</v>
      </c>
      <c r="C122" s="105"/>
      <c r="D122" s="107">
        <f t="shared" si="44"/>
        <v>8.453389830508474</v>
      </c>
      <c r="E122" s="107">
        <f t="shared" si="44"/>
        <v>8.453389830508474</v>
      </c>
      <c r="F122" s="107">
        <f t="shared" si="44"/>
        <v>8.453389830508474</v>
      </c>
      <c r="G122" s="107">
        <f t="shared" si="44"/>
        <v>8.453389830508474</v>
      </c>
      <c r="H122" s="107">
        <f t="shared" si="44"/>
        <v>8.453389830508474</v>
      </c>
      <c r="I122" s="107">
        <f t="shared" si="44"/>
        <v>8.453389830508474</v>
      </c>
      <c r="J122" s="107">
        <f t="shared" si="44"/>
        <v>8.453389830508474</v>
      </c>
      <c r="K122" s="107">
        <f t="shared" si="44"/>
        <v>8.453389830508474</v>
      </c>
      <c r="L122" s="107">
        <f t="shared" si="44"/>
        <v>8.453389830508474</v>
      </c>
      <c r="M122" s="107">
        <f t="shared" si="44"/>
        <v>8.453389830508474</v>
      </c>
      <c r="N122" s="107">
        <f t="shared" si="44"/>
        <v>8.453389830508474</v>
      </c>
      <c r="O122" s="107">
        <f t="shared" si="44"/>
        <v>8.453389830508474</v>
      </c>
      <c r="P122" s="154"/>
    </row>
    <row r="123" spans="2:17" ht="12.75" customHeight="1" x14ac:dyDescent="0.2">
      <c r="B123" s="105" t="s">
        <v>127</v>
      </c>
      <c r="C123" s="108"/>
      <c r="D123" s="108">
        <f t="shared" ref="D123:O123" si="45">+D117*D120+D118*D121+D119*D122</f>
        <v>63530.198626619007</v>
      </c>
      <c r="E123" s="108">
        <f t="shared" si="45"/>
        <v>64135.72390721205</v>
      </c>
      <c r="F123" s="108">
        <f t="shared" si="45"/>
        <v>65044.011828101582</v>
      </c>
      <c r="G123" s="108">
        <f t="shared" si="45"/>
        <v>65068.989745926039</v>
      </c>
      <c r="H123" s="108">
        <f t="shared" si="45"/>
        <v>64165.697408601387</v>
      </c>
      <c r="I123" s="108">
        <f t="shared" si="45"/>
        <v>63103.530375781134</v>
      </c>
      <c r="J123" s="108">
        <f t="shared" si="45"/>
        <v>115049.80331267531</v>
      </c>
      <c r="K123" s="108">
        <f t="shared" si="45"/>
        <v>68171.549902364597</v>
      </c>
      <c r="L123" s="108">
        <f t="shared" si="45"/>
        <v>69079.837823254114</v>
      </c>
      <c r="M123" s="108">
        <f t="shared" si="45"/>
        <v>69231.219143402355</v>
      </c>
      <c r="N123" s="108">
        <f t="shared" si="45"/>
        <v>75606.719132106213</v>
      </c>
      <c r="O123" s="108">
        <f t="shared" si="45"/>
        <v>121105.05611860557</v>
      </c>
      <c r="P123" s="154"/>
    </row>
    <row r="124" spans="2:17" ht="12.75" customHeight="1" x14ac:dyDescent="0.2">
      <c r="B124" s="105" t="s">
        <v>126</v>
      </c>
      <c r="C124" s="300">
        <f>D123-O111</f>
        <v>-49652.096811330121</v>
      </c>
      <c r="D124" s="108">
        <f t="shared" ref="D124:N124" si="46">+E123-D123</f>
        <v>605.52528059304314</v>
      </c>
      <c r="E124" s="108">
        <f t="shared" si="46"/>
        <v>908.28792088953196</v>
      </c>
      <c r="F124" s="108">
        <f t="shared" si="46"/>
        <v>24.977917824457109</v>
      </c>
      <c r="G124" s="108">
        <f t="shared" si="46"/>
        <v>-903.29233732465218</v>
      </c>
      <c r="H124" s="108">
        <f t="shared" si="46"/>
        <v>-1062.1670328202526</v>
      </c>
      <c r="I124" s="108">
        <f t="shared" si="46"/>
        <v>51946.27293689418</v>
      </c>
      <c r="J124" s="108">
        <f t="shared" si="46"/>
        <v>-46878.253410310717</v>
      </c>
      <c r="K124" s="108">
        <f t="shared" si="46"/>
        <v>908.28792088951741</v>
      </c>
      <c r="L124" s="108">
        <f t="shared" si="46"/>
        <v>151.38132014824077</v>
      </c>
      <c r="M124" s="108">
        <f t="shared" si="46"/>
        <v>6375.4999887038575</v>
      </c>
      <c r="N124" s="108">
        <f t="shared" si="46"/>
        <v>45498.336986499358</v>
      </c>
      <c r="O124" s="108"/>
      <c r="P124" s="157">
        <f>SUM(C124:O124)</f>
        <v>7922.7606806564436</v>
      </c>
      <c r="Q124" s="102">
        <v>10</v>
      </c>
    </row>
    <row r="125" spans="2:17" ht="12.75" customHeight="1" x14ac:dyDescent="0.2">
      <c r="B125" s="109" t="s">
        <v>24</v>
      </c>
      <c r="C125" s="105"/>
      <c r="D125" s="108">
        <f t="shared" ref="D125:O125" si="47">SUM(D123:D124)</f>
        <v>64135.72390721205</v>
      </c>
      <c r="E125" s="108">
        <f t="shared" si="47"/>
        <v>65044.011828101582</v>
      </c>
      <c r="F125" s="108">
        <f t="shared" si="47"/>
        <v>65068.989745926039</v>
      </c>
      <c r="G125" s="108">
        <f t="shared" si="47"/>
        <v>64165.697408601387</v>
      </c>
      <c r="H125" s="108">
        <f t="shared" si="47"/>
        <v>63103.530375781134</v>
      </c>
      <c r="I125" s="108">
        <f t="shared" si="47"/>
        <v>115049.80331267531</v>
      </c>
      <c r="J125" s="108">
        <f t="shared" si="47"/>
        <v>68171.549902364597</v>
      </c>
      <c r="K125" s="108">
        <f t="shared" si="47"/>
        <v>69079.837823254114</v>
      </c>
      <c r="L125" s="108">
        <f t="shared" si="47"/>
        <v>69231.219143402355</v>
      </c>
      <c r="M125" s="108">
        <f t="shared" si="47"/>
        <v>75606.719132106213</v>
      </c>
      <c r="N125" s="108">
        <f t="shared" si="47"/>
        <v>121105.05611860557</v>
      </c>
      <c r="O125" s="108">
        <f t="shared" si="47"/>
        <v>121105.05611860557</v>
      </c>
      <c r="P125" s="154"/>
    </row>
    <row r="126" spans="2:17" ht="12.75" customHeight="1" x14ac:dyDescent="0.2"/>
    <row r="127" spans="2:17" ht="12.75" customHeight="1" x14ac:dyDescent="0.2"/>
    <row r="128" spans="2:17" ht="12.75" customHeight="1" x14ac:dyDescent="0.2">
      <c r="B128" s="357" t="s">
        <v>143</v>
      </c>
      <c r="C128" s="357"/>
      <c r="D128" s="357"/>
      <c r="E128" s="357"/>
      <c r="F128" s="357"/>
      <c r="G128" s="357"/>
      <c r="H128" s="357"/>
      <c r="I128" s="357"/>
      <c r="J128" s="357"/>
      <c r="K128" s="357"/>
      <c r="L128" s="357"/>
      <c r="M128" s="357"/>
      <c r="N128" s="357"/>
    </row>
    <row r="129" spans="2:14" ht="12.75" customHeight="1" x14ac:dyDescent="0.2"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</row>
    <row r="130" spans="2:14" ht="12.75" customHeight="1" x14ac:dyDescent="0.2">
      <c r="B130" s="153"/>
      <c r="C130" s="153">
        <v>0</v>
      </c>
      <c r="D130" s="153">
        <v>1</v>
      </c>
      <c r="E130" s="153">
        <v>2</v>
      </c>
      <c r="F130" s="153">
        <v>3</v>
      </c>
      <c r="G130" s="153">
        <v>4</v>
      </c>
      <c r="H130" s="153">
        <v>5</v>
      </c>
      <c r="I130" s="153">
        <v>6</v>
      </c>
      <c r="J130" s="153">
        <v>7</v>
      </c>
      <c r="K130" s="153">
        <v>8</v>
      </c>
      <c r="L130" s="153">
        <v>9</v>
      </c>
      <c r="M130" s="153">
        <v>10</v>
      </c>
      <c r="N130" s="153" t="s">
        <v>125</v>
      </c>
    </row>
    <row r="131" spans="2:14" ht="12.75" customHeight="1" x14ac:dyDescent="0.2">
      <c r="B131" s="154" t="s">
        <v>124</v>
      </c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4"/>
    </row>
    <row r="132" spans="2:14" ht="12.75" customHeight="1" x14ac:dyDescent="0.2">
      <c r="B132" s="154" t="s">
        <v>123</v>
      </c>
      <c r="C132" s="155">
        <f>P16</f>
        <v>63370.572044550114</v>
      </c>
      <c r="D132" s="155">
        <f>P28</f>
        <v>7113.6732253382143</v>
      </c>
      <c r="E132" s="155">
        <f>P40</f>
        <v>4933.8971688921883</v>
      </c>
      <c r="F132" s="155">
        <f>P52</f>
        <v>5279.269970714653</v>
      </c>
      <c r="G132" s="155">
        <f>P64</f>
        <v>5648.8188686646463</v>
      </c>
      <c r="H132" s="155">
        <f>P76</f>
        <v>6044.2361894711939</v>
      </c>
      <c r="I132" s="155">
        <f>P88</f>
        <v>6467.3327227341797</v>
      </c>
      <c r="J132" s="155">
        <f>P100</f>
        <v>6920.0460133255838</v>
      </c>
      <c r="K132" s="155">
        <f>P112</f>
        <v>7404.4492342583544</v>
      </c>
      <c r="L132" s="155">
        <f>P124</f>
        <v>7922.7606806564436</v>
      </c>
      <c r="M132" s="155"/>
      <c r="N132" s="155"/>
    </row>
    <row r="133" spans="2:14" ht="12.75" customHeight="1" x14ac:dyDescent="0.2">
      <c r="B133" s="154" t="s">
        <v>122</v>
      </c>
      <c r="C133" s="154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6">
        <f>SUM(C132:M132)</f>
        <v>121105.05611860557</v>
      </c>
    </row>
    <row r="134" spans="2:14" ht="12.75" customHeight="1" x14ac:dyDescent="0.2"/>
    <row r="135" spans="2:14" ht="12.75" customHeight="1" x14ac:dyDescent="0.2"/>
    <row r="136" spans="2:14" ht="12.75" customHeight="1" x14ac:dyDescent="0.2"/>
    <row r="137" spans="2:14" ht="12.75" customHeight="1" x14ac:dyDescent="0.2"/>
    <row r="138" spans="2:14" ht="12.75" customHeight="1" x14ac:dyDescent="0.2"/>
    <row r="139" spans="2:14" ht="12.75" customHeight="1" x14ac:dyDescent="0.2"/>
    <row r="140" spans="2:14" ht="12.75" customHeight="1" x14ac:dyDescent="0.2"/>
    <row r="141" spans="2:14" ht="12.75" customHeight="1" x14ac:dyDescent="0.2"/>
    <row r="142" spans="2:14" ht="12.75" customHeight="1" x14ac:dyDescent="0.2"/>
    <row r="143" spans="2:14" ht="12.75" customHeight="1" x14ac:dyDescent="0.2"/>
    <row r="144" spans="2:1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</sheetData>
  <mergeCells count="33">
    <mergeCell ref="C103:C104"/>
    <mergeCell ref="D103:O103"/>
    <mergeCell ref="B128:N128"/>
    <mergeCell ref="B79:B80"/>
    <mergeCell ref="C79:C80"/>
    <mergeCell ref="D79:O79"/>
    <mergeCell ref="B115:B116"/>
    <mergeCell ref="C115:C116"/>
    <mergeCell ref="D115:O115"/>
    <mergeCell ref="B91:B92"/>
    <mergeCell ref="C91:C92"/>
    <mergeCell ref="D91:O91"/>
    <mergeCell ref="B103:B104"/>
    <mergeCell ref="B55:B56"/>
    <mergeCell ref="C55:C56"/>
    <mergeCell ref="D55:O55"/>
    <mergeCell ref="B67:B68"/>
    <mergeCell ref="C67:C68"/>
    <mergeCell ref="D67:O67"/>
    <mergeCell ref="B31:B32"/>
    <mergeCell ref="C31:C32"/>
    <mergeCell ref="D31:O31"/>
    <mergeCell ref="B43:B44"/>
    <mergeCell ref="C43:C44"/>
    <mergeCell ref="D43:O43"/>
    <mergeCell ref="B19:B20"/>
    <mergeCell ref="C19:C20"/>
    <mergeCell ref="D19:O19"/>
    <mergeCell ref="B3:O3"/>
    <mergeCell ref="B5:O5"/>
    <mergeCell ref="B7:B8"/>
    <mergeCell ref="C7:C8"/>
    <mergeCell ref="D7:O7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DEB1-724C-4072-A504-8859190A91D7}">
  <dimension ref="A1:Y990"/>
  <sheetViews>
    <sheetView topLeftCell="A10" workbookViewId="0">
      <selection activeCell="C22" sqref="C22"/>
    </sheetView>
  </sheetViews>
  <sheetFormatPr baseColWidth="10" defaultColWidth="14.42578125" defaultRowHeight="15" customHeight="1" x14ac:dyDescent="0.25"/>
  <cols>
    <col min="1" max="1" width="9.140625" style="42" customWidth="1"/>
    <col min="2" max="2" width="27" style="42" customWidth="1"/>
    <col min="3" max="12" width="13.140625" style="42" customWidth="1"/>
    <col min="13" max="25" width="10" style="42" customWidth="1"/>
    <col min="26" max="16384" width="14.42578125" style="42"/>
  </cols>
  <sheetData>
    <row r="1" spans="1:25" ht="12.7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spans="1:25" ht="15" customHeight="1" x14ac:dyDescent="0.25">
      <c r="A2" s="41"/>
      <c r="B2" s="361"/>
      <c r="C2" s="363"/>
      <c r="D2" s="363"/>
      <c r="E2" s="363"/>
      <c r="F2" s="363"/>
      <c r="G2" s="363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spans="1:25" ht="15" customHeight="1" x14ac:dyDescent="0.25">
      <c r="A3" s="41"/>
      <c r="B3" s="361" t="s">
        <v>221</v>
      </c>
      <c r="C3" s="363"/>
      <c r="D3" s="363"/>
      <c r="E3" s="363"/>
      <c r="F3" s="363"/>
      <c r="G3" s="363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ht="13.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spans="1:25" ht="12.75" customHeight="1" x14ac:dyDescent="0.25">
      <c r="A5" s="41"/>
      <c r="B5" s="364" t="s">
        <v>214</v>
      </c>
      <c r="C5" s="366" t="s">
        <v>190</v>
      </c>
      <c r="D5" s="366" t="s">
        <v>215</v>
      </c>
      <c r="E5" s="364" t="s">
        <v>216</v>
      </c>
      <c r="F5" s="365"/>
      <c r="G5" s="364" t="s">
        <v>50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spans="1:25" ht="20.25" customHeight="1" x14ac:dyDescent="0.25">
      <c r="A6" s="41"/>
      <c r="B6" s="365"/>
      <c r="C6" s="366"/>
      <c r="D6" s="367"/>
      <c r="E6" s="43" t="s">
        <v>217</v>
      </c>
      <c r="F6" s="43" t="s">
        <v>218</v>
      </c>
      <c r="G6" s="365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12.75" customHeight="1" x14ac:dyDescent="0.25">
      <c r="A7" s="41"/>
      <c r="B7" s="44" t="s">
        <v>219</v>
      </c>
      <c r="C7" s="45"/>
      <c r="D7" s="45"/>
      <c r="E7" s="45"/>
      <c r="F7" s="45"/>
      <c r="G7" s="46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ht="12.75" customHeight="1" x14ac:dyDescent="0.25">
      <c r="A8" s="41"/>
      <c r="B8" s="47" t="s">
        <v>213</v>
      </c>
      <c r="C8" s="46"/>
      <c r="D8" s="46"/>
      <c r="E8" s="46"/>
      <c r="F8" s="46"/>
      <c r="G8" s="48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 spans="1:25" ht="12.75" customHeight="1" x14ac:dyDescent="0.25">
      <c r="A9" s="41"/>
      <c r="B9" s="47" t="s">
        <v>2</v>
      </c>
      <c r="C9" s="46">
        <f>+Resumen!C10</f>
        <v>8.058898305084746</v>
      </c>
      <c r="D9" s="47">
        <f>+'Presupuesto de ventas'!C13</f>
        <v>4219.9095022624433</v>
      </c>
      <c r="E9" s="46"/>
      <c r="F9" s="46">
        <f>+C9*D9</f>
        <v>34007.821535393821</v>
      </c>
      <c r="G9" s="46">
        <f>+E9+F9</f>
        <v>34007.821535393821</v>
      </c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 spans="1:25" ht="12.75" customHeight="1" x14ac:dyDescent="0.25">
      <c r="A10" s="41"/>
      <c r="B10" s="47" t="s">
        <v>3</v>
      </c>
      <c r="C10" s="46">
        <f>+Resumen!C11</f>
        <v>8.1957627118644076</v>
      </c>
      <c r="D10" s="47">
        <f>+'Presupuesto de ventas'!C28</f>
        <v>3164.9321266968327</v>
      </c>
      <c r="E10" s="46"/>
      <c r="F10" s="46">
        <f t="shared" ref="F10:F11" si="0">+C10*D10</f>
        <v>25939.03270956362</v>
      </c>
      <c r="G10" s="46">
        <f t="shared" ref="G10:G11" si="1">+E10+F10</f>
        <v>25939.03270956362</v>
      </c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spans="1:25" ht="12.75" customHeight="1" x14ac:dyDescent="0.25">
      <c r="A11" s="41"/>
      <c r="B11" s="47" t="s">
        <v>4</v>
      </c>
      <c r="C11" s="46">
        <f>+Resumen!C12</f>
        <v>8.453389830508474</v>
      </c>
      <c r="D11" s="47">
        <f>+'Presupuesto de ventas'!C43</f>
        <v>773.65007541478133</v>
      </c>
      <c r="E11" s="46"/>
      <c r="F11" s="46">
        <f t="shared" si="0"/>
        <v>6539.9656798834267</v>
      </c>
      <c r="G11" s="46">
        <f t="shared" si="1"/>
        <v>6539.9656798834267</v>
      </c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 spans="1:25" ht="13.5" customHeight="1" x14ac:dyDescent="0.25">
      <c r="A12" s="41"/>
      <c r="B12" s="49" t="s">
        <v>220</v>
      </c>
      <c r="C12" s="48"/>
      <c r="D12" s="48"/>
      <c r="E12" s="48">
        <f>SUM(E7:E11)</f>
        <v>0</v>
      </c>
      <c r="F12" s="48">
        <f>SUM(F7:F11)</f>
        <v>66486.819924840878</v>
      </c>
      <c r="G12" s="48">
        <f>SUM(G9:G11)</f>
        <v>66486.819924840878</v>
      </c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 spans="1:25" ht="12.75" customHeight="1" x14ac:dyDescent="0.25">
      <c r="A13" s="41"/>
      <c r="B13" s="362"/>
      <c r="C13" s="363"/>
      <c r="D13" s="50"/>
      <c r="E13" s="50"/>
      <c r="F13" s="50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</row>
    <row r="14" spans="1:25" ht="12" customHeight="1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 spans="1:25" ht="13.5" customHeight="1" x14ac:dyDescent="0.25">
      <c r="A15" s="41"/>
      <c r="B15" s="361" t="s">
        <v>222</v>
      </c>
      <c r="C15" s="361"/>
      <c r="D15" s="361"/>
      <c r="E15" s="361"/>
      <c r="F15" s="361"/>
      <c r="G15" s="361"/>
      <c r="H15" s="361"/>
      <c r="I15" s="361"/>
      <c r="J15" s="361"/>
      <c r="K15" s="361"/>
      <c r="L15" s="36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</row>
    <row r="16" spans="1:25" ht="13.5" customHeight="1" x14ac:dyDescent="0.25">
      <c r="A16" s="41"/>
      <c r="B16" s="51"/>
      <c r="C16" s="51"/>
      <c r="D16" s="51"/>
      <c r="E16" s="51"/>
      <c r="F16" s="5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 spans="1:25" ht="13.5" customHeight="1" x14ac:dyDescent="0.25">
      <c r="A17" s="41"/>
      <c r="B17" s="52" t="s">
        <v>373</v>
      </c>
      <c r="C17" s="52">
        <v>1</v>
      </c>
      <c r="D17" s="52">
        <v>2</v>
      </c>
      <c r="E17" s="52">
        <v>3</v>
      </c>
      <c r="F17" s="52">
        <v>4</v>
      </c>
      <c r="G17" s="52">
        <v>5</v>
      </c>
      <c r="H17" s="53">
        <v>6</v>
      </c>
      <c r="I17" s="53">
        <v>7</v>
      </c>
      <c r="J17" s="54">
        <v>8</v>
      </c>
      <c r="K17" s="54">
        <v>9</v>
      </c>
      <c r="L17" s="54">
        <v>10</v>
      </c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</row>
    <row r="18" spans="1:25" ht="13.5" customHeight="1" x14ac:dyDescent="0.25">
      <c r="A18" s="41"/>
      <c r="B18" s="58" t="s">
        <v>213</v>
      </c>
      <c r="C18" s="45"/>
      <c r="D18" s="45"/>
      <c r="E18" s="45"/>
      <c r="F18" s="45"/>
      <c r="G18" s="55"/>
      <c r="H18" s="56"/>
      <c r="I18" s="56"/>
      <c r="J18" s="46"/>
      <c r="K18" s="46"/>
      <c r="L18" s="4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 spans="1:25" ht="13.5" customHeight="1" x14ac:dyDescent="0.25">
      <c r="A19" s="41"/>
      <c r="B19" s="58" t="s">
        <v>2</v>
      </c>
      <c r="C19" s="45">
        <f>+'Presupuesto de ventas'!D74*Resumen!$C$10</f>
        <v>483533.89830508479</v>
      </c>
      <c r="D19" s="45">
        <f>+'Presupuesto de ventas'!E74*Resumen!$C$10</f>
        <v>523828.3898305085</v>
      </c>
      <c r="E19" s="45">
        <f>+'Presupuesto de ventas'!F74*Resumen!$C$10</f>
        <v>560496.37711864407</v>
      </c>
      <c r="F19" s="45">
        <f>+'Presupuesto de ventas'!G74*Resumen!$C$10</f>
        <v>599731.12351694913</v>
      </c>
      <c r="G19" s="45">
        <f>+'Presupuesto de ventas'!H74*Resumen!$C$10</f>
        <v>641712.30216313561</v>
      </c>
      <c r="H19" s="45">
        <f>+'Presupuesto de ventas'!I74*Resumen!$C$10</f>
        <v>686632.16331455519</v>
      </c>
      <c r="I19" s="45">
        <f>+'Presupuesto de ventas'!J74*Resumen!$C$10</f>
        <v>734696.41474657401</v>
      </c>
      <c r="J19" s="45">
        <f>+'Presupuesto de ventas'!K74*Resumen!$C$10</f>
        <v>786125.16377883439</v>
      </c>
      <c r="K19" s="45">
        <f>+'Presupuesto de ventas'!L74*Resumen!$C$10</f>
        <v>841153.92524335277</v>
      </c>
      <c r="L19" s="45">
        <f>+'Presupuesto de ventas'!M74*Resumen!$C$10</f>
        <v>900034.70001038746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</row>
    <row r="20" spans="1:25" ht="13.5" customHeight="1" x14ac:dyDescent="0.25">
      <c r="A20" s="41"/>
      <c r="B20" s="58" t="s">
        <v>3</v>
      </c>
      <c r="C20" s="45">
        <f>+'Presupuesto de ventas'!D75*Resumen!$C$11</f>
        <v>368809.32203389832</v>
      </c>
      <c r="D20" s="45">
        <f>+'Presupuesto de ventas'!E75*Resumen!$C$11</f>
        <v>426179.66101694922</v>
      </c>
      <c r="E20" s="45">
        <f>+'Presupuesto de ventas'!F75*Resumen!$C$11</f>
        <v>456012.23728813563</v>
      </c>
      <c r="F20" s="45">
        <f>+'Presupuesto de ventas'!G75*Resumen!$C$11</f>
        <v>487933.09389830515</v>
      </c>
      <c r="G20" s="45">
        <f>+'Presupuesto de ventas'!H75*Resumen!$C$11</f>
        <v>522088.41047118651</v>
      </c>
      <c r="H20" s="45">
        <f>+'Presupuesto de ventas'!I75*Resumen!$C$11</f>
        <v>558634.59920416959</v>
      </c>
      <c r="I20" s="45">
        <f>+'Presupuesto de ventas'!J75*Resumen!$C$11</f>
        <v>597739.02114846162</v>
      </c>
      <c r="J20" s="45">
        <f>+'Presupuesto de ventas'!K75*Resumen!$C$11</f>
        <v>639580.75262885389</v>
      </c>
      <c r="K20" s="45">
        <f>+'Presupuesto de ventas'!L75*Resumen!$C$11</f>
        <v>684351.40531287377</v>
      </c>
      <c r="L20" s="45">
        <f>+'Presupuesto de ventas'!M75*Resumen!$C$11</f>
        <v>732256.00368477497</v>
      </c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 spans="1:25" ht="13.5" customHeight="1" x14ac:dyDescent="0.25">
      <c r="A21" s="41"/>
      <c r="B21" s="58" t="s">
        <v>4</v>
      </c>
      <c r="C21" s="45">
        <f>+'Presupuesto de ventas'!D76*Resumen!$C$12</f>
        <v>92987.288135593219</v>
      </c>
      <c r="D21" s="45">
        <f>+'Presupuesto de ventas'!E76*Resumen!$C$12</f>
        <v>101440.67796610169</v>
      </c>
      <c r="E21" s="45">
        <f>+'Presupuesto de ventas'!F76*Resumen!$C$12</f>
        <v>108541.5254237288</v>
      </c>
      <c r="F21" s="45">
        <f>+'Presupuesto de ventas'!G76*Resumen!$C$12</f>
        <v>116139.43220338984</v>
      </c>
      <c r="G21" s="45">
        <f>+'Presupuesto de ventas'!H76*Resumen!$C$12</f>
        <v>124269.19245762713</v>
      </c>
      <c r="H21" s="45">
        <f>+'Presupuesto de ventas'!I76*Resumen!$C$12</f>
        <v>132968.03592966104</v>
      </c>
      <c r="I21" s="45">
        <f>+'Presupuesto de ventas'!J76*Resumen!$C$12</f>
        <v>142275.7984447373</v>
      </c>
      <c r="J21" s="45">
        <f>+'Presupuesto de ventas'!K76*Resumen!$C$12</f>
        <v>152235.10433586893</v>
      </c>
      <c r="K21" s="45">
        <f>+'Presupuesto de ventas'!L76*Resumen!$C$12</f>
        <v>162891.56163937974</v>
      </c>
      <c r="L21" s="45">
        <f>+'Presupuesto de ventas'!M76*Resumen!$C$12</f>
        <v>174293.97095413634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 spans="1:25" ht="13.5" customHeight="1" x14ac:dyDescent="0.25">
      <c r="A22" s="41"/>
      <c r="B22" s="49" t="s">
        <v>223</v>
      </c>
      <c r="C22" s="48">
        <f>SUM(C19:C21)</f>
        <v>945330.50847457629</v>
      </c>
      <c r="D22" s="48">
        <f t="shared" ref="D22:L22" si="2">SUM(D19:D21)</f>
        <v>1051448.7288135595</v>
      </c>
      <c r="E22" s="48">
        <f t="shared" si="2"/>
        <v>1125050.1398305085</v>
      </c>
      <c r="F22" s="48">
        <f t="shared" si="2"/>
        <v>1203803.6496186443</v>
      </c>
      <c r="G22" s="48">
        <f t="shared" si="2"/>
        <v>1288069.9050919493</v>
      </c>
      <c r="H22" s="48">
        <f t="shared" si="2"/>
        <v>1378234.7984483859</v>
      </c>
      <c r="I22" s="48">
        <f t="shared" si="2"/>
        <v>1474711.2343397727</v>
      </c>
      <c r="J22" s="48">
        <f t="shared" si="2"/>
        <v>1577941.0207435573</v>
      </c>
      <c r="K22" s="48">
        <f t="shared" si="2"/>
        <v>1688396.8921956061</v>
      </c>
      <c r="L22" s="48">
        <f t="shared" si="2"/>
        <v>1806584.6746492987</v>
      </c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 spans="1:25" ht="12.75" customHeight="1" x14ac:dyDescent="0.25">
      <c r="A23" s="41"/>
      <c r="B23" s="362"/>
      <c r="C23" s="363"/>
      <c r="D23" s="50"/>
      <c r="E23" s="50"/>
      <c r="F23" s="50"/>
      <c r="G23" s="50"/>
      <c r="H23" s="57"/>
      <c r="I23" s="57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spans="1:25" ht="12.75" customHeight="1" x14ac:dyDescent="0.2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spans="1:25" ht="12.75" customHeight="1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spans="1:25" ht="12.75" customHeight="1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spans="1:25" ht="12.75" customHeight="1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 spans="1:25" ht="12.75" customHeight="1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 spans="1:25" ht="12.75" customHeight="1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</row>
    <row r="30" spans="1:25" ht="12.75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 spans="1:25" ht="12.75" customHeight="1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25" ht="12.75" customHeight="1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 spans="1:25" ht="12.75" customHeigh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</row>
    <row r="34" spans="1:25" ht="12.7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25" ht="12.75" customHeight="1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 spans="1:25" ht="12.75" customHeight="1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 spans="1:25" ht="12.75" customHeight="1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 spans="1:25" ht="12.75" customHeight="1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 spans="1:25" ht="12.75" customHeight="1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</row>
    <row r="40" spans="1:25" ht="12.75" customHeight="1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 spans="1:25" ht="12.75" customHeight="1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 spans="1:25" ht="12.75" customHeight="1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 spans="1:25" ht="12.75" customHeight="1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 spans="1:25" ht="12.75" customHeight="1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 spans="1:25" ht="12.7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</row>
    <row r="46" spans="1:25" ht="12.75" customHeight="1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 spans="1:25" ht="12.75" customHeight="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</row>
    <row r="48" spans="1:25" ht="12.75" customHeight="1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 spans="1:25" ht="12.75" customHeight="1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 spans="1:25" ht="12.75" customHeight="1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 spans="1:25" ht="12.75" customHeight="1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</row>
    <row r="52" spans="1:25" ht="12.75" customHeight="1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 spans="1:25" ht="12.75" customHeight="1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 spans="1:25" ht="12.75" customHeight="1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 spans="1:25" ht="12.75" customHeight="1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</row>
    <row r="56" spans="1:25" ht="12.75" customHeight="1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spans="1:25" ht="12.75" customHeight="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 spans="1:25" ht="12.75" customHeight="1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spans="1:25" ht="12.75" customHeight="1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</row>
    <row r="60" spans="1:25" ht="12.75" customHeigh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spans="1:25" ht="12.75" customHeight="1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 spans="1:25" ht="12.75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spans="1:25" ht="12.75" customHeight="1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 spans="1:25" ht="12.75" customHeight="1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 spans="1:25" ht="12.75" customHeight="1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 spans="1:25" ht="12.75" customHeight="1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 spans="1:25" ht="12.75" customHeigh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 spans="1:25" ht="12.75" customHeight="1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 spans="1:25" ht="12.75" customHeight="1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spans="1:25" ht="12.75" customHeight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spans="1:25" ht="12.75" customHeigh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spans="1:25" ht="12.75" customHeigh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spans="1:25" ht="12.75" customHeigh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spans="1:25" ht="12.75" customHeight="1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1:25" ht="12.75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 spans="1:25" ht="12.75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spans="1:25" ht="12.75" customHeight="1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 spans="1:25" ht="12.75" customHeight="1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spans="1:25" ht="12.75" customHeight="1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 spans="1:25" ht="12.75" customHeight="1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spans="1:25" ht="12.75" customHeight="1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 spans="1:25" ht="12.75" customHeight="1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spans="1:25" ht="12.75" customHeight="1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 spans="1:25" ht="12.75" customHeight="1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 spans="1:25" ht="12.75" customHeight="1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 spans="1:25" ht="12.75" customHeight="1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spans="1:25" ht="12.75" customHeight="1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spans="1:25" ht="12.75" customHeight="1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 spans="1:25" ht="12.75" customHeight="1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 spans="1:25" ht="12.75" customHeight="1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 spans="1:25" ht="12.75" customHeight="1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 spans="1:25" ht="12.75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spans="1:25" ht="12.75" customHeight="1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 spans="1:25" ht="12.75" customHeight="1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 spans="1:25" ht="12.75" customHeight="1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 spans="1:25" ht="12.75" customHeight="1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spans="1:25" ht="12.75" customHeight="1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 spans="1:25" ht="12.75" customHeight="1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spans="1:25" ht="12.75" customHeight="1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 spans="1:25" ht="12.75" customHeight="1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 spans="1:25" ht="12.75" customHeight="1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 spans="1:25" ht="12.75" customHeight="1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 spans="1:25" ht="12.75" customHeight="1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 spans="1:25" ht="12.75" customHeight="1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 spans="1:25" ht="12.75" customHeight="1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 spans="1:25" ht="12.75" customHeight="1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spans="1:25" ht="12.75" customHeight="1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 spans="1:25" ht="12.75" customHeight="1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 spans="1:25" ht="12.75" customHeight="1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</row>
    <row r="110" spans="1:25" ht="12.75" customHeight="1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 spans="1:25" ht="12.75" customHeight="1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 spans="1:25" ht="12.75" customHeight="1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 spans="1:25" ht="12.75" customHeight="1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 spans="1:25" ht="12.75" customHeight="1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 spans="1:25" ht="12.75" customHeight="1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 spans="1:25" ht="12.75" customHeight="1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 spans="1:25" ht="12.75" customHeight="1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</row>
    <row r="118" spans="1:25" ht="12.75" customHeight="1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 spans="1:25" ht="12.75" customHeight="1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 spans="1:25" ht="12.75" customHeight="1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</row>
    <row r="121" spans="1:25" ht="12.75" customHeight="1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 spans="1:25" ht="12.75" customHeight="1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 spans="1:25" ht="12.75" customHeight="1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 spans="1:25" ht="12.75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 spans="1:25" ht="12.75" customHeight="1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 spans="1:25" ht="12.75" customHeight="1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spans="1:25" ht="12.75" customHeight="1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 spans="1:25" ht="12.75" customHeight="1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 spans="1:25" ht="12.75" customHeight="1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 spans="1:25" ht="12.75" customHeight="1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 spans="1:25" ht="12.75" customHeight="1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 spans="1:25" ht="12.75" customHeight="1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 spans="1:25" ht="12.75" customHeight="1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 spans="1:25" ht="12.75" customHeight="1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spans="1:25" ht="12.75" customHeight="1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 spans="1:25" ht="12.75" customHeight="1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spans="1:25" ht="12.75" customHeight="1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spans="1:25" ht="12.75" customHeight="1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 spans="1:25" ht="12.75" customHeight="1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spans="1:25" ht="12.75" customHeight="1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 spans="1:25" ht="12.75" customHeight="1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 spans="1:25" ht="12.75" customHeight="1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spans="1:25" ht="12.75" customHeight="1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 spans="1:25" ht="12.75" customHeight="1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 spans="1:25" ht="12.75" customHeight="1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 spans="1:25" ht="12.75" customHeight="1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 spans="1:25" ht="12.75" customHeight="1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 spans="1:25" ht="12.75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 spans="1:25" ht="12.75" customHeight="1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 spans="1:25" ht="12.75" customHeight="1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ht="12.75" customHeight="1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spans="1:25" ht="12.75" customHeight="1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 spans="1:25" ht="12.75" customHeight="1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 spans="1:25" ht="12.75" customHeight="1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</row>
    <row r="155" spans="1:25" ht="12.75" customHeight="1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 spans="1:25" ht="12.75" customHeight="1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 spans="1:25" ht="12.75" customHeight="1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 spans="1:25" ht="12.75" customHeight="1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 spans="1:25" ht="12.75" customHeight="1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 spans="1:25" ht="12.75" customHeight="1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 spans="1:25" ht="12.75" customHeight="1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 spans="1:25" ht="12.75" customHeight="1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 spans="1:25" ht="12.75" customHeight="1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 spans="1:25" ht="12.75" customHeight="1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 spans="1:25" ht="12.75" customHeight="1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spans="1:25" ht="12.75" customHeight="1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 spans="1:25" ht="12.75" customHeight="1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 spans="1:25" ht="12.75" customHeight="1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 spans="1:25" ht="12.75" customHeight="1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 spans="1:25" ht="12.75" customHeight="1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 spans="1:25" ht="12.75" customHeight="1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</row>
    <row r="172" spans="1:25" ht="12.75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 spans="1:25" ht="12.75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 spans="1:25" ht="12.75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</row>
    <row r="175" spans="1:25" ht="12.75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</row>
    <row r="176" spans="1:25" ht="12.75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 spans="1:25" ht="12.75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 spans="1:25" ht="12.75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 spans="1:25" ht="12.75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 spans="1:25" ht="12.75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 spans="1:25" ht="12.75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 spans="1:25" ht="12.75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 spans="1:25" ht="12.75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 spans="1:25" ht="12.75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 spans="1:25" ht="12.75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 spans="1:25" ht="12.75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 spans="1:25" ht="12.75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 spans="1:25" ht="12.75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 spans="1:25" ht="12.75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 spans="1:25" ht="12.75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 spans="1:25" ht="12.75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 spans="1:25" ht="12.75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 spans="1:25" ht="12.75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 spans="1:25" ht="12.75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 spans="1:25" ht="12.75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 spans="1:25" ht="12.75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 spans="1:25" ht="12.75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</row>
    <row r="198" spans="1:25" ht="12.75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 spans="1:25" ht="12.75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 spans="1:25" ht="12.75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 spans="1:25" ht="12.75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 spans="1:25" ht="12.75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 spans="1:25" ht="12.75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</row>
    <row r="204" spans="1:25" ht="12.75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 spans="1:25" ht="12.75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 spans="1:25" ht="12.75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 spans="1:25" ht="12.75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spans="1:25" ht="12.75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 spans="1:25" ht="12.75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 spans="1:25" ht="12.75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</row>
    <row r="211" spans="1:25" ht="12.75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 spans="1:25" ht="12.75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 spans="1:25" ht="12.75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</row>
    <row r="214" spans="1:25" ht="12.75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</row>
    <row r="215" spans="1:25" ht="12.75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 spans="1:25" ht="12.75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 spans="1:25" ht="12.75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 spans="1:25" ht="12.75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 spans="1:25" ht="12.75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 spans="1:25" ht="12.75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 spans="1:25" ht="12.75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 spans="1:25" ht="12.75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 spans="1:25" ht="12.75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 spans="1:25" ht="12.75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 spans="1:25" ht="12.75" customHeight="1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 spans="1:25" ht="12.75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 spans="1:25" ht="12.75" customHeight="1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 spans="1:25" ht="12.75" customHeight="1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 spans="1:25" ht="12.75" customHeight="1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 spans="1:25" ht="12.75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 spans="1:25" ht="12.75" customHeight="1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 spans="1:25" ht="12.75" customHeight="1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 spans="1:25" ht="12.75" customHeigh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</row>
    <row r="234" spans="1:25" ht="12.75" customHeight="1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 spans="1:25" ht="12.75" customHeight="1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 spans="1:25" ht="12.75" customHeight="1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 spans="1:25" ht="12.75" customHeight="1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 spans="1:25" ht="12.75" customHeight="1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 spans="1:25" ht="12.75" customHeight="1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 spans="1:25" ht="12.75" customHeight="1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</row>
    <row r="241" spans="1:25" ht="12.75" customHeight="1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 spans="1:25" ht="12.75" customHeight="1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 spans="1:25" ht="12.75" customHeight="1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 spans="1:25" ht="12.75" customHeight="1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 spans="1:25" ht="12.75" customHeight="1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 spans="1:25" ht="12.75" customHeight="1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 spans="1:25" ht="12.75" customHeight="1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 spans="1:25" ht="12.75" customHeight="1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 spans="1:25" ht="12.75" customHeight="1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 spans="1:25" ht="12.75" customHeight="1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 spans="1:25" ht="12.75" customHeight="1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spans="1:25" ht="12.75" customHeight="1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 spans="1:25" ht="12.75" customHeight="1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</row>
    <row r="254" spans="1:25" ht="12.75" customHeight="1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 spans="1:25" ht="12.75" customHeight="1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spans="1:25" ht="12.75" customHeight="1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</row>
    <row r="257" spans="1:25" ht="12.75" customHeight="1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 spans="1:25" ht="12.75" customHeight="1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 spans="1:25" ht="12.75" customHeight="1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spans="1:25" ht="12.75" customHeight="1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 spans="1:25" ht="12.75" customHeight="1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 spans="1:25" ht="12.75" customHeight="1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 spans="1:25" ht="12.75" customHeight="1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spans="1:25" ht="12.75" customHeight="1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 spans="1:25" ht="12.75" customHeight="1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 spans="1:25" ht="12.75" customHeight="1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 spans="1:25" ht="12.75" customHeight="1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 spans="1:25" ht="12.75" customHeight="1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</row>
    <row r="269" spans="1:25" ht="12.75" customHeight="1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</row>
    <row r="270" spans="1:25" ht="12.75" customHeight="1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</row>
    <row r="271" spans="1:25" ht="12.75" customHeight="1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 spans="1:25" ht="12.75" customHeight="1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</row>
    <row r="273" spans="1:25" ht="12.75" customHeight="1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</row>
    <row r="274" spans="1:25" ht="12.75" customHeight="1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</row>
    <row r="275" spans="1:25" ht="12.75" customHeight="1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</row>
    <row r="276" spans="1:25" ht="12.75" customHeight="1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</row>
    <row r="277" spans="1:25" ht="12.75" customHeight="1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</row>
    <row r="278" spans="1:25" ht="12.75" customHeight="1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</row>
    <row r="279" spans="1:25" ht="12.75" customHeight="1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 spans="1:25" ht="12.75" customHeight="1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</row>
    <row r="281" spans="1:25" ht="12.75" customHeight="1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</row>
    <row r="282" spans="1:25" ht="12.75" customHeight="1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</row>
    <row r="283" spans="1:25" ht="12.75" customHeight="1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</row>
    <row r="284" spans="1:25" ht="12.75" customHeight="1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 spans="1:25" ht="12.75" customHeight="1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</row>
    <row r="286" spans="1:25" ht="12.75" customHeight="1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</row>
    <row r="287" spans="1:25" ht="12.75" customHeight="1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</row>
    <row r="288" spans="1:25" ht="12.75" customHeight="1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</row>
    <row r="289" spans="1:25" ht="12.75" customHeight="1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</row>
    <row r="290" spans="1:25" ht="12.75" customHeight="1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</row>
    <row r="291" spans="1:25" ht="12.75" customHeight="1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</row>
    <row r="292" spans="1:25" ht="12.75" customHeight="1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</row>
    <row r="293" spans="1:25" ht="12.75" customHeight="1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 spans="1:25" ht="12.75" customHeight="1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</row>
    <row r="295" spans="1:25" ht="12.75" customHeight="1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</row>
    <row r="296" spans="1:25" ht="12.75" customHeight="1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</row>
    <row r="297" spans="1:25" ht="12.75" customHeight="1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</row>
    <row r="298" spans="1:25" ht="12.75" customHeight="1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</row>
    <row r="299" spans="1:25" ht="12.75" customHeight="1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</row>
    <row r="300" spans="1:25" ht="12.75" customHeight="1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</row>
    <row r="301" spans="1:25" ht="12.75" customHeight="1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</row>
    <row r="302" spans="1:25" ht="12.75" customHeight="1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</row>
    <row r="303" spans="1:25" ht="12.75" customHeight="1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</row>
    <row r="304" spans="1:25" ht="12.75" customHeight="1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</row>
    <row r="305" spans="1:25" ht="12.75" customHeight="1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</row>
    <row r="306" spans="1:25" ht="12.75" customHeight="1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</row>
    <row r="307" spans="1:25" ht="12.75" customHeight="1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</row>
    <row r="308" spans="1:25" ht="12.75" customHeight="1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</row>
    <row r="309" spans="1:25" ht="12.75" customHeight="1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</row>
    <row r="310" spans="1:25" ht="12.75" customHeight="1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</row>
    <row r="311" spans="1:25" ht="12.75" customHeight="1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</row>
    <row r="312" spans="1:25" ht="12.75" customHeight="1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</row>
    <row r="313" spans="1:25" ht="12.75" customHeight="1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</row>
    <row r="314" spans="1:25" ht="12.75" customHeight="1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</row>
    <row r="315" spans="1:25" ht="12.75" customHeight="1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</row>
    <row r="316" spans="1:25" ht="12.75" customHeight="1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</row>
    <row r="317" spans="1:25" ht="12.75" customHeight="1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</row>
    <row r="318" spans="1:25" ht="12.75" customHeight="1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</row>
    <row r="319" spans="1:25" ht="12.75" customHeight="1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</row>
    <row r="320" spans="1:25" ht="12.75" customHeight="1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</row>
    <row r="321" spans="1:25" ht="12.75" customHeight="1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</row>
    <row r="322" spans="1:25" ht="12.75" customHeight="1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</row>
    <row r="323" spans="1:25" ht="12.75" customHeight="1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</row>
    <row r="324" spans="1:25" ht="12.75" customHeigh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</row>
    <row r="325" spans="1:25" ht="12.75" customHeigh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</row>
    <row r="326" spans="1:25" ht="12.75" customHeigh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</row>
    <row r="327" spans="1:25" ht="12.75" customHeight="1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</row>
    <row r="328" spans="1:25" ht="12.75" customHeight="1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</row>
    <row r="329" spans="1:25" ht="12.75" customHeight="1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</row>
    <row r="330" spans="1:25" ht="12.75" customHeight="1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</row>
    <row r="331" spans="1:25" ht="12.75" customHeight="1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</row>
    <row r="332" spans="1:25" ht="12.75" customHeight="1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</row>
    <row r="333" spans="1:25" ht="12.75" customHeight="1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</row>
    <row r="334" spans="1:25" ht="12.75" customHeight="1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</row>
    <row r="335" spans="1:25" ht="12.75" customHeight="1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</row>
    <row r="336" spans="1:25" ht="12.75" customHeight="1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</row>
    <row r="337" spans="1:25" ht="12.75" customHeight="1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</row>
    <row r="338" spans="1:25" ht="12.75" customHeight="1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</row>
    <row r="339" spans="1:25" ht="12.75" customHeight="1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</row>
    <row r="340" spans="1:25" ht="12.75" customHeight="1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</row>
    <row r="341" spans="1:25" ht="12.75" customHeight="1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</row>
    <row r="342" spans="1:25" ht="12.75" customHeight="1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</row>
    <row r="343" spans="1:25" ht="12.75" customHeight="1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</row>
    <row r="344" spans="1:25" ht="12.75" customHeight="1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</row>
    <row r="345" spans="1:25" ht="12.75" customHeight="1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</row>
    <row r="346" spans="1:25" ht="12.75" customHeight="1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</row>
    <row r="347" spans="1:25" ht="12.75" customHeight="1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</row>
    <row r="348" spans="1:25" ht="12.75" customHeight="1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</row>
    <row r="349" spans="1:25" ht="12.75" customHeight="1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</row>
    <row r="350" spans="1:25" ht="12.75" customHeight="1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</row>
    <row r="351" spans="1:25" ht="12.75" customHeight="1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</row>
    <row r="352" spans="1:25" ht="12.75" customHeight="1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</row>
    <row r="353" spans="1:25" ht="12.75" customHeight="1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</row>
    <row r="354" spans="1:25" ht="12.75" customHeight="1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</row>
    <row r="355" spans="1:25" ht="12.75" customHeight="1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</row>
    <row r="356" spans="1:25" ht="12.75" customHeight="1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</row>
    <row r="357" spans="1:25" ht="12.75" customHeight="1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</row>
    <row r="358" spans="1:25" ht="12.75" customHeight="1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</row>
    <row r="359" spans="1:25" ht="12.75" customHeight="1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</row>
    <row r="360" spans="1:25" ht="12.75" customHeight="1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</row>
    <row r="361" spans="1:25" ht="12.75" customHeight="1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</row>
    <row r="362" spans="1:25" ht="12.75" customHeight="1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</row>
    <row r="363" spans="1:25" ht="12.75" customHeight="1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</row>
    <row r="364" spans="1:25" ht="12.75" customHeight="1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</row>
    <row r="365" spans="1:25" ht="12.75" customHeight="1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</row>
    <row r="366" spans="1:25" ht="12.75" customHeight="1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</row>
    <row r="367" spans="1:25" ht="12.75" customHeight="1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</row>
    <row r="368" spans="1:25" ht="12.75" customHeight="1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</row>
    <row r="369" spans="1:25" ht="12.75" customHeight="1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</row>
    <row r="370" spans="1:25" ht="12.75" customHeight="1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</row>
    <row r="371" spans="1:25" ht="12.75" customHeight="1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</row>
    <row r="372" spans="1:25" ht="12.75" customHeight="1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</row>
    <row r="373" spans="1:25" ht="12.75" customHeight="1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</row>
    <row r="374" spans="1:25" ht="12.75" customHeight="1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</row>
    <row r="375" spans="1:25" ht="12.75" customHeight="1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</row>
    <row r="376" spans="1:25" ht="12.75" customHeight="1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</row>
    <row r="377" spans="1:25" ht="12.75" customHeight="1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</row>
    <row r="378" spans="1:25" ht="12.75" customHeight="1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</row>
    <row r="379" spans="1:25" ht="12.75" customHeight="1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</row>
    <row r="380" spans="1:25" ht="12.75" customHeight="1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</row>
    <row r="381" spans="1:25" ht="12.75" customHeight="1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</row>
    <row r="382" spans="1:25" ht="12.75" customHeight="1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</row>
    <row r="383" spans="1:25" ht="12.75" customHeight="1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</row>
    <row r="384" spans="1:25" ht="12.75" customHeight="1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</row>
    <row r="385" spans="1:25" ht="12.75" customHeight="1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</row>
    <row r="386" spans="1:25" ht="12.75" customHeight="1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</row>
    <row r="387" spans="1:25" ht="12.75" customHeight="1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</row>
    <row r="388" spans="1:25" ht="12.75" customHeight="1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</row>
    <row r="389" spans="1:25" ht="12.75" customHeight="1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</row>
    <row r="390" spans="1:25" ht="12.75" customHeight="1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</row>
    <row r="391" spans="1:25" ht="12.75" customHeight="1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</row>
    <row r="392" spans="1:25" ht="12.75" customHeight="1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</row>
    <row r="393" spans="1:25" ht="12.75" customHeight="1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</row>
    <row r="394" spans="1:25" ht="12.75" customHeight="1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</row>
    <row r="395" spans="1:25" ht="12.75" customHeight="1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</row>
    <row r="396" spans="1:25" ht="12.75" customHeight="1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</row>
    <row r="397" spans="1:25" ht="12.75" customHeight="1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</row>
    <row r="398" spans="1:25" ht="12.75" customHeight="1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</row>
    <row r="399" spans="1:25" ht="12.75" customHeight="1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</row>
    <row r="400" spans="1:25" ht="12.75" customHeight="1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</row>
    <row r="401" spans="1:25" ht="12.75" customHeight="1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</row>
    <row r="402" spans="1:25" ht="12.75" customHeight="1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</row>
    <row r="403" spans="1:25" ht="12.75" customHeight="1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</row>
    <row r="404" spans="1:25" ht="12.75" customHeight="1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</row>
    <row r="405" spans="1:25" ht="12.75" customHeight="1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</row>
    <row r="406" spans="1:25" ht="12.75" customHeight="1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</row>
    <row r="407" spans="1:25" ht="12.75" customHeight="1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</row>
    <row r="408" spans="1:25" ht="12.75" customHeight="1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</row>
    <row r="409" spans="1:25" ht="12.75" customHeight="1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</row>
    <row r="410" spans="1:25" ht="12.75" customHeight="1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</row>
    <row r="411" spans="1:25" ht="12.75" customHeight="1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</row>
    <row r="412" spans="1:25" ht="12.75" customHeight="1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</row>
    <row r="413" spans="1:25" ht="12.75" customHeight="1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</row>
    <row r="414" spans="1:25" ht="12.75" customHeight="1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</row>
    <row r="415" spans="1:25" ht="12.75" customHeight="1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</row>
    <row r="416" spans="1:25" ht="12.75" customHeight="1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 spans="1:25" ht="12.75" customHeight="1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</row>
    <row r="418" spans="1:25" ht="12.75" customHeight="1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</row>
    <row r="419" spans="1:25" ht="12.75" customHeight="1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</row>
    <row r="420" spans="1:25" ht="12.75" customHeight="1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</row>
    <row r="421" spans="1:25" ht="12.75" customHeight="1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 spans="1:25" ht="12.75" customHeight="1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</row>
    <row r="423" spans="1:25" ht="12.75" customHeight="1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</row>
    <row r="424" spans="1:25" ht="12.75" customHeight="1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</row>
    <row r="425" spans="1:25" ht="12.75" customHeight="1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</row>
    <row r="426" spans="1:25" ht="12.75" customHeight="1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</row>
    <row r="427" spans="1:25" ht="12.75" customHeight="1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</row>
    <row r="428" spans="1:25" ht="12.75" customHeight="1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</row>
    <row r="429" spans="1:25" ht="12.75" customHeight="1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</row>
    <row r="430" spans="1:25" ht="12.75" customHeight="1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</row>
    <row r="431" spans="1:25" ht="12.75" customHeight="1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</row>
    <row r="432" spans="1:25" ht="12.75" customHeight="1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</row>
    <row r="433" spans="1:25" ht="12.75" customHeight="1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</row>
    <row r="434" spans="1:25" ht="12.75" customHeight="1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</row>
    <row r="435" spans="1:25" ht="12.75" customHeight="1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</row>
    <row r="436" spans="1:25" ht="12.75" customHeight="1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 spans="1:25" ht="12.75" customHeight="1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</row>
    <row r="438" spans="1:25" ht="12.75" customHeight="1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</row>
    <row r="439" spans="1:25" ht="12.75" customHeight="1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</row>
    <row r="440" spans="1:25" ht="12.75" customHeight="1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</row>
    <row r="441" spans="1:25" ht="12.75" customHeight="1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</row>
    <row r="442" spans="1:25" ht="12.75" customHeight="1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</row>
    <row r="443" spans="1:25" ht="12.75" customHeight="1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</row>
    <row r="444" spans="1:25" ht="12.75" customHeight="1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</row>
    <row r="445" spans="1:25" ht="12.75" customHeight="1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</row>
    <row r="446" spans="1:25" ht="12.75" customHeight="1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</row>
    <row r="447" spans="1:25" ht="12.75" customHeight="1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</row>
    <row r="448" spans="1:25" ht="12.75" customHeight="1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</row>
    <row r="449" spans="1:25" ht="12.75" customHeight="1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</row>
    <row r="450" spans="1:25" ht="12.75" customHeight="1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</row>
    <row r="451" spans="1:25" ht="12.75" customHeight="1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</row>
    <row r="452" spans="1:25" ht="12.75" customHeight="1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</row>
    <row r="453" spans="1:25" ht="12.75" customHeight="1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</row>
    <row r="454" spans="1:25" ht="12.75" customHeight="1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</row>
    <row r="455" spans="1:25" ht="12.75" customHeight="1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</row>
    <row r="456" spans="1:25" ht="12.75" customHeight="1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</row>
    <row r="457" spans="1:25" ht="12.75" customHeight="1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</row>
    <row r="458" spans="1:25" ht="12.75" customHeight="1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</row>
    <row r="459" spans="1:25" ht="12.75" customHeight="1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</row>
    <row r="460" spans="1:25" ht="12.75" customHeight="1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</row>
    <row r="461" spans="1:25" ht="12.75" customHeight="1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</row>
    <row r="462" spans="1:25" ht="12.75" customHeight="1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</row>
    <row r="463" spans="1:25" ht="12.75" customHeight="1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</row>
    <row r="464" spans="1:25" ht="12.75" customHeight="1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</row>
    <row r="465" spans="1:25" ht="12.75" customHeight="1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</row>
    <row r="466" spans="1:25" ht="12.75" customHeight="1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</row>
    <row r="467" spans="1:25" ht="12.75" customHeight="1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</row>
    <row r="468" spans="1:25" ht="12.75" customHeight="1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</row>
    <row r="469" spans="1:25" ht="12.75" customHeight="1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</row>
    <row r="470" spans="1:25" ht="12.75" customHeight="1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</row>
    <row r="471" spans="1:25" ht="12.75" customHeight="1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</row>
    <row r="472" spans="1:25" ht="12.75" customHeight="1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</row>
    <row r="473" spans="1:25" ht="12.75" customHeight="1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</row>
    <row r="474" spans="1:25" ht="12.75" customHeight="1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</row>
    <row r="475" spans="1:25" ht="12.75" customHeight="1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</row>
    <row r="476" spans="1:25" ht="12.75" customHeight="1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</row>
    <row r="477" spans="1:25" ht="12.75" customHeight="1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</row>
    <row r="478" spans="1:25" ht="12.75" customHeight="1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</row>
    <row r="479" spans="1:25" ht="12.75" customHeight="1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</row>
    <row r="480" spans="1:25" ht="12.75" customHeight="1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</row>
    <row r="481" spans="1:25" ht="12.75" customHeight="1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</row>
    <row r="482" spans="1:25" ht="12.75" customHeight="1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</row>
    <row r="483" spans="1:25" ht="12.75" customHeight="1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</row>
    <row r="484" spans="1:25" ht="12.75" customHeight="1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</row>
    <row r="485" spans="1:25" ht="12.75" customHeight="1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</row>
    <row r="486" spans="1:25" ht="12.75" customHeight="1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</row>
    <row r="487" spans="1:25" ht="12.75" customHeight="1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</row>
    <row r="488" spans="1:25" ht="12.75" customHeight="1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</row>
    <row r="489" spans="1:25" ht="12.75" customHeight="1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</row>
    <row r="490" spans="1:25" ht="12.75" customHeight="1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</row>
    <row r="491" spans="1:25" ht="12.75" customHeight="1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</row>
    <row r="492" spans="1:25" ht="12.75" customHeight="1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</row>
    <row r="493" spans="1:25" ht="12.75" customHeight="1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</row>
    <row r="494" spans="1:25" ht="12.75" customHeight="1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</row>
    <row r="495" spans="1:25" ht="12.75" customHeight="1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</row>
    <row r="496" spans="1:25" ht="12.75" customHeight="1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</row>
    <row r="497" spans="1:25" ht="12.75" customHeight="1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</row>
    <row r="498" spans="1:25" ht="12.75" customHeight="1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</row>
    <row r="499" spans="1:25" ht="12.75" customHeight="1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</row>
    <row r="500" spans="1:25" ht="12.75" customHeight="1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</row>
    <row r="501" spans="1:25" ht="12.75" customHeight="1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</row>
    <row r="502" spans="1:25" ht="12.75" customHeight="1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</row>
    <row r="503" spans="1:25" ht="12.75" customHeight="1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</row>
    <row r="504" spans="1:25" ht="12.75" customHeight="1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</row>
    <row r="505" spans="1:25" ht="12.75" customHeight="1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</row>
    <row r="506" spans="1:25" ht="12.75" customHeight="1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</row>
    <row r="507" spans="1:25" ht="12.75" customHeight="1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</row>
    <row r="508" spans="1:25" ht="12.75" customHeight="1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</row>
    <row r="509" spans="1:25" ht="12.75" customHeight="1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 spans="1:25" ht="12.75" customHeight="1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</row>
    <row r="511" spans="1:25" ht="12.75" customHeight="1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</row>
    <row r="512" spans="1:25" ht="12.75" customHeight="1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</row>
    <row r="513" spans="1:25" ht="12.75" customHeight="1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</row>
    <row r="514" spans="1:25" ht="12.75" customHeight="1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</row>
    <row r="515" spans="1:25" ht="12.75" customHeight="1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</row>
    <row r="516" spans="1:25" ht="12.75" customHeight="1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</row>
    <row r="517" spans="1:25" ht="12.75" customHeight="1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</row>
    <row r="518" spans="1:25" ht="12.75" customHeight="1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</row>
    <row r="519" spans="1:25" ht="12.75" customHeight="1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</row>
    <row r="520" spans="1:25" ht="12.75" customHeight="1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</row>
    <row r="521" spans="1:25" ht="12.75" customHeight="1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</row>
    <row r="522" spans="1:25" ht="12.75" customHeight="1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</row>
    <row r="523" spans="1:25" ht="12.75" customHeight="1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</row>
    <row r="524" spans="1:25" ht="12.75" customHeight="1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</row>
    <row r="525" spans="1:25" ht="12.75" customHeight="1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</row>
    <row r="526" spans="1:25" ht="12.75" customHeight="1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</row>
    <row r="527" spans="1:25" ht="12.75" customHeight="1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</row>
    <row r="528" spans="1:25" ht="12.75" customHeight="1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</row>
    <row r="529" spans="1:25" ht="12.75" customHeight="1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</row>
    <row r="530" spans="1:25" ht="12.75" customHeight="1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</row>
    <row r="531" spans="1:25" ht="12.75" customHeight="1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</row>
    <row r="532" spans="1:25" ht="12.75" customHeight="1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</row>
    <row r="533" spans="1:25" ht="12.75" customHeight="1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</row>
    <row r="534" spans="1:25" ht="12.75" customHeight="1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</row>
    <row r="535" spans="1:25" ht="12.75" customHeight="1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</row>
    <row r="536" spans="1:25" ht="12.75" customHeight="1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</row>
    <row r="537" spans="1:25" ht="12.75" customHeight="1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</row>
    <row r="538" spans="1:25" ht="12.75" customHeight="1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</row>
    <row r="539" spans="1:25" ht="12.75" customHeight="1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</row>
    <row r="540" spans="1:25" ht="12.75" customHeight="1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</row>
    <row r="541" spans="1:25" ht="12.75" customHeight="1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</row>
    <row r="542" spans="1:25" ht="12.75" customHeight="1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</row>
    <row r="543" spans="1:25" ht="12.75" customHeight="1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</row>
    <row r="544" spans="1:25" ht="12.75" customHeight="1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</row>
    <row r="545" spans="1:25" ht="12.75" customHeight="1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</row>
    <row r="546" spans="1:25" ht="12.75" customHeight="1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</row>
    <row r="547" spans="1:25" ht="12.75" customHeight="1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</row>
    <row r="548" spans="1:25" ht="12.75" customHeight="1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</row>
    <row r="549" spans="1:25" ht="12.75" customHeight="1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</row>
    <row r="550" spans="1:25" ht="12.75" customHeight="1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</row>
    <row r="551" spans="1:25" ht="12.75" customHeight="1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</row>
    <row r="552" spans="1:25" ht="12.75" customHeight="1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</row>
    <row r="553" spans="1:25" ht="12.75" customHeight="1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</row>
    <row r="554" spans="1:25" ht="12.75" customHeight="1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</row>
    <row r="555" spans="1:25" ht="12.75" customHeight="1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</row>
    <row r="556" spans="1:25" ht="12.75" customHeight="1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</row>
    <row r="557" spans="1:25" ht="12.75" customHeight="1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</row>
    <row r="558" spans="1:25" ht="12.75" customHeight="1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</row>
    <row r="559" spans="1:25" ht="12.75" customHeight="1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</row>
    <row r="560" spans="1:25" ht="12.75" customHeight="1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</row>
    <row r="561" spans="1:25" ht="12.75" customHeight="1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</row>
    <row r="562" spans="1:25" ht="12.75" customHeight="1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</row>
    <row r="563" spans="1:25" ht="12.75" customHeight="1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</row>
    <row r="564" spans="1:25" ht="12.75" customHeight="1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</row>
    <row r="565" spans="1:25" ht="12.75" customHeight="1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</row>
    <row r="566" spans="1:25" ht="12.75" customHeight="1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</row>
    <row r="567" spans="1:25" ht="12.75" customHeight="1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</row>
    <row r="568" spans="1:25" ht="12.75" customHeight="1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</row>
    <row r="569" spans="1:25" ht="12.75" customHeight="1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</row>
    <row r="570" spans="1:25" ht="12.75" customHeight="1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</row>
    <row r="571" spans="1:25" ht="12.75" customHeight="1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</row>
    <row r="572" spans="1:25" ht="12.75" customHeight="1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</row>
    <row r="573" spans="1:25" ht="12.75" customHeight="1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</row>
    <row r="574" spans="1:25" ht="12.75" customHeight="1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</row>
    <row r="575" spans="1:25" ht="12.75" customHeight="1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</row>
    <row r="576" spans="1:25" ht="12.75" customHeight="1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</row>
    <row r="577" spans="1:25" ht="12.75" customHeight="1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</row>
    <row r="578" spans="1:25" ht="12.75" customHeight="1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</row>
    <row r="579" spans="1:25" ht="12.75" customHeight="1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</row>
    <row r="580" spans="1:25" ht="12.75" customHeight="1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</row>
    <row r="581" spans="1:25" ht="12.75" customHeight="1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</row>
    <row r="582" spans="1:25" ht="12.75" customHeight="1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</row>
    <row r="583" spans="1:25" ht="12.75" customHeight="1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</row>
    <row r="584" spans="1:25" ht="12.75" customHeight="1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</row>
    <row r="585" spans="1:25" ht="12.75" customHeight="1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</row>
    <row r="586" spans="1:25" ht="12.75" customHeight="1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</row>
    <row r="587" spans="1:25" ht="12.75" customHeight="1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</row>
    <row r="588" spans="1:25" ht="12.75" customHeight="1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</row>
    <row r="589" spans="1:25" ht="12.75" customHeight="1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</row>
    <row r="590" spans="1:25" ht="12.75" customHeight="1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</row>
    <row r="591" spans="1:25" ht="12.75" customHeight="1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</row>
    <row r="592" spans="1:25" ht="12.75" customHeight="1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</row>
    <row r="593" spans="1:25" ht="12.75" customHeight="1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</row>
    <row r="594" spans="1:25" ht="12.75" customHeight="1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</row>
    <row r="595" spans="1:25" ht="12.75" customHeight="1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</row>
    <row r="596" spans="1:25" ht="12.75" customHeight="1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</row>
    <row r="597" spans="1:25" ht="12.75" customHeight="1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</row>
    <row r="598" spans="1:25" ht="12.75" customHeight="1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</row>
    <row r="599" spans="1:25" ht="12.75" customHeight="1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</row>
    <row r="600" spans="1:25" ht="12.75" customHeight="1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</row>
    <row r="601" spans="1:25" ht="12.75" customHeight="1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</row>
    <row r="602" spans="1:25" ht="12.75" customHeight="1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</row>
    <row r="603" spans="1:25" ht="12.75" customHeight="1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</row>
    <row r="604" spans="1:25" ht="12.75" customHeight="1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</row>
    <row r="605" spans="1:25" ht="12.75" customHeight="1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</row>
    <row r="606" spans="1:25" ht="12.75" customHeight="1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</row>
    <row r="607" spans="1:25" ht="12.75" customHeight="1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</row>
    <row r="608" spans="1:25" ht="12.75" customHeight="1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</row>
    <row r="609" spans="1:25" ht="12.75" customHeight="1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</row>
    <row r="610" spans="1:25" ht="12.75" customHeight="1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</row>
    <row r="611" spans="1:25" ht="12.75" customHeight="1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</row>
    <row r="612" spans="1:25" ht="12.75" customHeight="1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</row>
    <row r="613" spans="1:25" ht="12.75" customHeight="1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</row>
    <row r="614" spans="1:25" ht="12.75" customHeight="1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</row>
    <row r="615" spans="1:25" ht="12.75" customHeight="1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</row>
    <row r="616" spans="1:25" ht="12.75" customHeight="1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</row>
    <row r="617" spans="1:25" ht="12.75" customHeight="1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</row>
    <row r="618" spans="1:25" ht="12.75" customHeight="1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</row>
    <row r="619" spans="1:25" ht="12.75" customHeight="1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</row>
    <row r="620" spans="1:25" ht="12.75" customHeight="1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</row>
    <row r="621" spans="1:25" ht="12.75" customHeight="1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</row>
    <row r="622" spans="1:25" ht="12.75" customHeight="1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</row>
    <row r="623" spans="1:25" ht="12.75" customHeight="1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</row>
    <row r="624" spans="1:25" ht="12.75" customHeight="1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</row>
    <row r="625" spans="1:25" ht="12.75" customHeight="1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</row>
    <row r="626" spans="1:25" ht="12.75" customHeight="1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</row>
    <row r="627" spans="1:25" ht="12.75" customHeight="1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</row>
    <row r="628" spans="1:25" ht="12.75" customHeight="1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</row>
    <row r="629" spans="1:25" ht="12.75" customHeight="1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</row>
    <row r="630" spans="1:25" ht="12.75" customHeight="1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</row>
    <row r="631" spans="1:25" ht="12.75" customHeight="1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</row>
    <row r="632" spans="1:25" ht="12.75" customHeight="1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</row>
    <row r="633" spans="1:25" ht="12.75" customHeight="1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</row>
    <row r="634" spans="1:25" ht="12.75" customHeight="1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</row>
    <row r="635" spans="1:25" ht="12.75" customHeight="1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</row>
    <row r="636" spans="1:25" ht="12.75" customHeight="1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</row>
    <row r="637" spans="1:25" ht="12.75" customHeight="1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</row>
    <row r="638" spans="1:25" ht="12.75" customHeight="1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</row>
    <row r="639" spans="1:25" ht="12.75" customHeight="1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</row>
    <row r="640" spans="1:25" ht="12.75" customHeight="1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</row>
    <row r="641" spans="1:25" ht="12.75" customHeight="1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</row>
    <row r="642" spans="1:25" ht="12.75" customHeight="1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</row>
    <row r="643" spans="1:25" ht="12.75" customHeight="1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</row>
    <row r="644" spans="1:25" ht="12.75" customHeight="1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</row>
    <row r="645" spans="1:25" ht="12.75" customHeight="1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</row>
    <row r="646" spans="1:25" ht="12.75" customHeight="1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</row>
    <row r="647" spans="1:25" ht="12.75" customHeight="1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</row>
    <row r="648" spans="1:25" ht="12.75" customHeight="1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</row>
    <row r="649" spans="1:25" ht="12.75" customHeight="1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</row>
    <row r="650" spans="1:25" ht="12.75" customHeight="1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</row>
    <row r="651" spans="1:25" ht="12.75" customHeight="1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</row>
    <row r="652" spans="1:25" ht="12.75" customHeight="1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</row>
    <row r="653" spans="1:25" ht="12.75" customHeight="1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</row>
    <row r="654" spans="1:25" ht="12.75" customHeight="1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</row>
    <row r="655" spans="1:25" ht="12.75" customHeight="1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</row>
    <row r="656" spans="1:25" ht="12.75" customHeight="1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</row>
    <row r="657" spans="1:25" ht="12.75" customHeight="1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</row>
    <row r="658" spans="1:25" ht="12.75" customHeight="1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</row>
    <row r="659" spans="1:25" ht="12.75" customHeight="1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</row>
    <row r="660" spans="1:25" ht="12.75" customHeight="1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</row>
    <row r="661" spans="1:25" ht="12.75" customHeight="1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</row>
    <row r="662" spans="1:25" ht="12.75" customHeight="1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</row>
    <row r="663" spans="1:25" ht="12.75" customHeight="1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</row>
    <row r="664" spans="1:25" ht="12.75" customHeight="1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</row>
    <row r="665" spans="1:25" ht="12.75" customHeight="1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</row>
    <row r="666" spans="1:25" ht="12.75" customHeight="1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</row>
    <row r="667" spans="1:25" ht="12.75" customHeight="1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</row>
    <row r="668" spans="1:25" ht="12.75" customHeight="1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</row>
    <row r="669" spans="1:25" ht="12.75" customHeight="1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</row>
    <row r="670" spans="1:25" ht="12.75" customHeight="1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</row>
    <row r="671" spans="1:25" ht="12.75" customHeight="1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</row>
    <row r="672" spans="1:25" ht="12.75" customHeight="1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</row>
    <row r="673" spans="1:25" ht="12.75" customHeight="1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</row>
    <row r="674" spans="1:25" ht="12.75" customHeight="1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</row>
    <row r="675" spans="1:25" ht="12.75" customHeight="1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</row>
    <row r="676" spans="1:25" ht="12.75" customHeight="1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</row>
    <row r="677" spans="1:25" ht="12.75" customHeight="1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</row>
    <row r="678" spans="1:25" ht="12.75" customHeight="1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</row>
    <row r="679" spans="1:25" ht="12.75" customHeight="1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</row>
    <row r="680" spans="1:25" ht="12.75" customHeight="1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</row>
    <row r="681" spans="1:25" ht="12.75" customHeight="1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</row>
    <row r="682" spans="1:25" ht="12.75" customHeight="1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</row>
    <row r="683" spans="1:25" ht="12.75" customHeight="1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</row>
    <row r="684" spans="1:25" ht="12.75" customHeight="1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</row>
    <row r="685" spans="1:25" ht="12.75" customHeight="1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</row>
    <row r="686" spans="1:25" ht="12.75" customHeight="1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</row>
    <row r="687" spans="1:25" ht="12.75" customHeight="1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</row>
    <row r="688" spans="1:25" ht="12.75" customHeight="1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</row>
    <row r="689" spans="1:25" ht="12.75" customHeight="1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</row>
    <row r="690" spans="1:25" ht="12.75" customHeight="1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</row>
    <row r="691" spans="1:25" ht="12.75" customHeight="1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</row>
    <row r="692" spans="1:25" ht="12.75" customHeight="1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</row>
    <row r="693" spans="1:25" ht="12.75" customHeight="1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</row>
    <row r="694" spans="1:25" ht="12.75" customHeight="1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</row>
    <row r="695" spans="1:25" ht="12.75" customHeight="1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</row>
    <row r="696" spans="1:25" ht="12.75" customHeight="1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</row>
    <row r="697" spans="1:25" ht="12.75" customHeight="1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</row>
    <row r="698" spans="1:25" ht="12.75" customHeight="1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</row>
    <row r="699" spans="1:25" ht="12.75" customHeight="1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</row>
    <row r="700" spans="1:25" ht="12.75" customHeight="1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</row>
    <row r="701" spans="1:25" ht="12.75" customHeight="1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</row>
    <row r="702" spans="1:25" ht="12.75" customHeight="1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</row>
    <row r="703" spans="1:25" ht="12.75" customHeight="1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</row>
    <row r="704" spans="1:25" ht="12.75" customHeight="1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</row>
    <row r="705" spans="1:25" ht="12.75" customHeight="1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</row>
    <row r="706" spans="1:25" ht="12.75" customHeight="1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</row>
    <row r="707" spans="1:25" ht="12.75" customHeight="1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</row>
    <row r="708" spans="1:25" ht="12.75" customHeight="1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</row>
    <row r="709" spans="1:25" ht="12.75" customHeight="1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</row>
    <row r="710" spans="1:25" ht="12.75" customHeight="1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</row>
    <row r="711" spans="1:25" ht="12.75" customHeight="1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</row>
    <row r="712" spans="1:25" ht="12.75" customHeight="1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</row>
    <row r="713" spans="1:25" ht="12.75" customHeight="1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</row>
    <row r="714" spans="1:25" ht="12.75" customHeight="1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</row>
    <row r="715" spans="1:25" ht="12.75" customHeight="1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</row>
    <row r="716" spans="1:25" ht="12.75" customHeight="1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</row>
    <row r="717" spans="1:25" ht="12.75" customHeight="1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</row>
    <row r="718" spans="1:25" ht="12.75" customHeight="1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</row>
    <row r="719" spans="1:25" ht="12.75" customHeight="1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</row>
    <row r="720" spans="1:25" ht="12.75" customHeight="1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</row>
    <row r="721" spans="1:25" ht="12.75" customHeight="1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</row>
    <row r="722" spans="1:25" ht="12.75" customHeight="1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</row>
    <row r="723" spans="1:25" ht="12.75" customHeight="1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</row>
    <row r="724" spans="1:25" ht="12.75" customHeight="1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</row>
    <row r="725" spans="1:25" ht="12.75" customHeight="1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</row>
    <row r="726" spans="1:25" ht="12.75" customHeight="1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</row>
    <row r="727" spans="1:25" ht="12.75" customHeight="1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</row>
    <row r="728" spans="1:25" ht="12.75" customHeight="1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</row>
    <row r="729" spans="1:25" ht="12.75" customHeight="1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</row>
    <row r="730" spans="1:25" ht="12.75" customHeight="1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</row>
    <row r="731" spans="1:25" ht="12.75" customHeight="1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</row>
    <row r="732" spans="1:25" ht="12.75" customHeight="1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</row>
    <row r="733" spans="1:25" ht="12.75" customHeight="1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</row>
    <row r="734" spans="1:25" ht="12.75" customHeight="1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</row>
    <row r="735" spans="1:25" ht="12.75" customHeight="1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</row>
    <row r="736" spans="1:25" ht="12.75" customHeight="1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</row>
    <row r="737" spans="1:25" ht="12.75" customHeight="1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</row>
    <row r="738" spans="1:25" ht="12.75" customHeight="1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</row>
    <row r="739" spans="1:25" ht="12.75" customHeight="1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</row>
    <row r="740" spans="1:25" ht="12.75" customHeight="1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</row>
    <row r="741" spans="1:25" ht="12.75" customHeight="1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</row>
    <row r="742" spans="1:25" ht="12.75" customHeight="1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</row>
    <row r="743" spans="1:25" ht="12.75" customHeight="1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</row>
    <row r="744" spans="1:25" ht="12.75" customHeight="1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</row>
    <row r="745" spans="1:25" ht="12.75" customHeight="1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</row>
    <row r="746" spans="1:25" ht="12.75" customHeight="1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</row>
    <row r="747" spans="1:25" ht="12.75" customHeight="1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</row>
    <row r="748" spans="1:25" ht="12.75" customHeight="1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</row>
    <row r="749" spans="1:25" ht="12.75" customHeight="1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</row>
    <row r="750" spans="1:25" ht="12.75" customHeight="1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</row>
    <row r="751" spans="1:25" ht="12.75" customHeight="1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</row>
    <row r="752" spans="1:25" ht="12.75" customHeight="1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</row>
    <row r="753" spans="1:25" ht="12.75" customHeight="1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</row>
    <row r="754" spans="1:25" ht="12.75" customHeight="1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</row>
    <row r="755" spans="1:25" ht="12.75" customHeight="1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</row>
    <row r="756" spans="1:25" ht="12.75" customHeight="1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</row>
    <row r="757" spans="1:25" ht="12.75" customHeight="1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</row>
    <row r="758" spans="1:25" ht="12.75" customHeight="1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</row>
    <row r="759" spans="1:25" ht="12.75" customHeight="1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</row>
    <row r="760" spans="1:25" ht="12.75" customHeight="1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</row>
    <row r="761" spans="1:25" ht="12.75" customHeight="1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</row>
    <row r="762" spans="1:25" ht="12.75" customHeight="1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</row>
    <row r="763" spans="1:25" ht="12.75" customHeight="1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</row>
    <row r="764" spans="1:25" ht="12.75" customHeight="1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</row>
    <row r="765" spans="1:25" ht="12.75" customHeight="1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</row>
    <row r="766" spans="1:25" ht="12.75" customHeight="1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</row>
    <row r="767" spans="1:25" ht="12.75" customHeight="1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</row>
    <row r="768" spans="1:25" ht="12.75" customHeight="1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</row>
    <row r="769" spans="1:25" ht="12.75" customHeight="1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</row>
    <row r="770" spans="1:25" ht="12.75" customHeight="1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</row>
    <row r="771" spans="1:25" ht="12.75" customHeight="1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</row>
    <row r="772" spans="1:25" ht="12.75" customHeight="1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</row>
    <row r="773" spans="1:25" ht="12.75" customHeight="1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</row>
    <row r="774" spans="1:25" ht="12.75" customHeight="1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</row>
    <row r="775" spans="1:25" ht="12.75" customHeight="1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</row>
    <row r="776" spans="1:25" ht="12.75" customHeight="1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</row>
    <row r="777" spans="1:25" ht="12.75" customHeight="1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</row>
    <row r="778" spans="1:25" ht="12.75" customHeight="1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</row>
    <row r="779" spans="1:25" ht="12.75" customHeight="1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</row>
    <row r="780" spans="1:25" ht="12.75" customHeight="1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</row>
    <row r="781" spans="1:25" ht="12.75" customHeight="1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</row>
    <row r="782" spans="1:25" ht="12.75" customHeight="1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</row>
    <row r="783" spans="1:25" ht="12.75" customHeight="1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</row>
    <row r="784" spans="1:25" ht="12.75" customHeight="1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</row>
    <row r="785" spans="1:25" ht="12.75" customHeight="1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</row>
    <row r="786" spans="1:25" ht="12.75" customHeight="1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</row>
    <row r="787" spans="1:25" ht="12.75" customHeight="1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</row>
    <row r="788" spans="1:25" ht="12.75" customHeight="1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</row>
    <row r="789" spans="1:25" ht="12.75" customHeight="1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</row>
    <row r="790" spans="1:25" ht="12.75" customHeight="1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</row>
    <row r="791" spans="1:25" ht="12.75" customHeight="1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</row>
    <row r="792" spans="1:25" ht="12.75" customHeight="1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</row>
    <row r="793" spans="1:25" ht="12.75" customHeight="1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</row>
    <row r="794" spans="1:25" ht="12.75" customHeight="1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</row>
    <row r="795" spans="1:25" ht="12.75" customHeight="1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</row>
    <row r="796" spans="1:25" ht="12.75" customHeight="1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</row>
    <row r="797" spans="1:25" ht="12.75" customHeight="1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</row>
    <row r="798" spans="1:25" ht="12.75" customHeight="1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</row>
    <row r="799" spans="1:25" ht="12.75" customHeight="1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</row>
    <row r="800" spans="1:25" ht="12.75" customHeight="1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</row>
    <row r="801" spans="1:25" ht="12.75" customHeight="1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</row>
    <row r="802" spans="1:25" ht="12.75" customHeight="1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</row>
    <row r="803" spans="1:25" ht="12.75" customHeight="1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</row>
    <row r="804" spans="1:25" ht="12.75" customHeight="1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</row>
    <row r="805" spans="1:25" ht="12.75" customHeight="1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</row>
    <row r="806" spans="1:25" ht="12.75" customHeight="1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</row>
    <row r="807" spans="1:25" ht="12.75" customHeight="1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</row>
    <row r="808" spans="1:25" ht="12.75" customHeight="1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</row>
    <row r="809" spans="1:25" ht="12.75" customHeight="1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</row>
    <row r="810" spans="1:25" ht="12.75" customHeight="1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</row>
    <row r="811" spans="1:25" ht="12.75" customHeight="1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</row>
    <row r="812" spans="1:25" ht="12.75" customHeight="1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</row>
    <row r="813" spans="1:25" ht="12.75" customHeight="1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 spans="1:25" ht="12.75" customHeight="1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</row>
    <row r="815" spans="1:25" ht="12.75" customHeight="1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</row>
    <row r="816" spans="1:25" ht="12.75" customHeight="1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</row>
    <row r="817" spans="1:25" ht="12.75" customHeight="1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</row>
    <row r="818" spans="1:25" ht="12.75" customHeight="1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</row>
    <row r="819" spans="1:25" ht="12.75" customHeight="1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</row>
    <row r="820" spans="1:25" ht="12.75" customHeight="1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</row>
    <row r="821" spans="1:25" ht="12.75" customHeight="1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</row>
    <row r="822" spans="1:25" ht="12.75" customHeight="1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</row>
    <row r="823" spans="1:25" ht="12.75" customHeight="1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</row>
    <row r="824" spans="1:25" ht="12.75" customHeight="1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</row>
    <row r="825" spans="1:25" ht="12.75" customHeight="1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</row>
    <row r="826" spans="1:25" ht="12.75" customHeight="1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</row>
    <row r="827" spans="1:25" ht="12.75" customHeight="1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</row>
    <row r="828" spans="1:25" ht="12.75" customHeight="1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</row>
    <row r="829" spans="1:25" ht="12.75" customHeight="1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</row>
    <row r="830" spans="1:25" ht="12.75" customHeight="1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</row>
    <row r="831" spans="1:25" ht="12.75" customHeight="1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</row>
    <row r="832" spans="1:25" ht="12.75" customHeight="1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</row>
    <row r="833" spans="1:25" ht="12.75" customHeight="1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</row>
    <row r="834" spans="1:25" ht="12.75" customHeight="1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</row>
    <row r="835" spans="1:25" ht="12.75" customHeight="1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</row>
    <row r="836" spans="1:25" ht="12.75" customHeight="1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</row>
    <row r="837" spans="1:25" ht="12.75" customHeight="1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</row>
    <row r="838" spans="1:25" ht="12.75" customHeight="1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</row>
    <row r="839" spans="1:25" ht="12.75" customHeight="1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</row>
    <row r="840" spans="1:25" ht="12.75" customHeight="1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</row>
    <row r="841" spans="1:25" ht="12.75" customHeight="1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</row>
    <row r="842" spans="1:25" ht="12.75" customHeight="1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</row>
    <row r="843" spans="1:25" ht="12.75" customHeight="1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</row>
    <row r="844" spans="1:25" ht="12.75" customHeight="1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</row>
    <row r="845" spans="1:25" ht="12.75" customHeight="1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</row>
    <row r="846" spans="1:25" ht="12.75" customHeight="1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</row>
    <row r="847" spans="1:25" ht="12.75" customHeight="1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</row>
    <row r="848" spans="1:25" ht="12.75" customHeight="1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</row>
    <row r="849" spans="1:25" ht="12.75" customHeight="1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</row>
    <row r="850" spans="1:25" ht="12.75" customHeight="1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</row>
    <row r="851" spans="1:25" ht="12.75" customHeight="1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</row>
    <row r="852" spans="1:25" ht="12.75" customHeight="1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</row>
    <row r="853" spans="1:25" ht="12.75" customHeight="1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</row>
    <row r="854" spans="1:25" ht="12.75" customHeight="1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</row>
    <row r="855" spans="1:25" ht="12.75" customHeight="1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</row>
    <row r="856" spans="1:25" ht="12.75" customHeight="1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</row>
    <row r="857" spans="1:25" ht="12.75" customHeight="1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</row>
    <row r="858" spans="1:25" ht="12.75" customHeight="1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</row>
    <row r="859" spans="1:25" ht="12.75" customHeight="1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</row>
    <row r="860" spans="1:25" ht="12.75" customHeight="1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</row>
    <row r="861" spans="1:25" ht="12.75" customHeight="1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</row>
    <row r="862" spans="1:25" ht="12.75" customHeight="1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</row>
    <row r="863" spans="1:25" ht="12.75" customHeight="1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</row>
    <row r="864" spans="1:25" ht="12.75" customHeight="1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</row>
    <row r="865" spans="1:25" ht="12.75" customHeight="1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</row>
    <row r="866" spans="1:25" ht="12.75" customHeight="1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</row>
    <row r="867" spans="1:25" ht="12.75" customHeight="1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</row>
    <row r="868" spans="1:25" ht="12.75" customHeight="1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</row>
    <row r="869" spans="1:25" ht="12.75" customHeight="1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</row>
    <row r="870" spans="1:25" ht="12.75" customHeight="1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</row>
    <row r="871" spans="1:25" ht="12.75" customHeight="1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</row>
    <row r="872" spans="1:25" ht="12.75" customHeight="1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</row>
    <row r="873" spans="1:25" ht="12.75" customHeight="1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</row>
    <row r="874" spans="1:25" ht="12.75" customHeight="1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</row>
    <row r="875" spans="1:25" ht="12.75" customHeight="1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</row>
    <row r="876" spans="1:25" ht="12.75" customHeight="1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</row>
    <row r="877" spans="1:25" ht="12.75" customHeight="1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</row>
    <row r="878" spans="1:25" ht="12.75" customHeight="1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</row>
    <row r="879" spans="1:25" ht="12.75" customHeight="1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</row>
    <row r="880" spans="1:25" ht="12.75" customHeight="1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</row>
    <row r="881" spans="1:25" ht="12.75" customHeight="1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</row>
    <row r="882" spans="1:25" ht="12.75" customHeight="1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</row>
    <row r="883" spans="1:25" ht="12.75" customHeight="1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</row>
    <row r="884" spans="1:25" ht="12.75" customHeight="1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</row>
    <row r="885" spans="1:25" ht="12.75" customHeight="1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</row>
    <row r="886" spans="1:25" ht="12.75" customHeight="1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</row>
    <row r="887" spans="1:25" ht="12.75" customHeight="1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</row>
    <row r="888" spans="1:25" ht="12.75" customHeight="1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</row>
    <row r="889" spans="1:25" ht="12.75" customHeight="1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</row>
    <row r="890" spans="1:25" ht="12.75" customHeight="1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</row>
    <row r="891" spans="1:25" ht="12.75" customHeight="1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</row>
    <row r="892" spans="1:25" ht="12.75" customHeight="1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</row>
    <row r="893" spans="1:25" ht="12.75" customHeight="1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</row>
    <row r="894" spans="1:25" ht="12.75" customHeight="1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</row>
    <row r="895" spans="1:25" ht="12.75" customHeight="1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</row>
    <row r="896" spans="1:25" ht="12.75" customHeight="1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</row>
    <row r="897" spans="1:25" ht="12.75" customHeight="1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</row>
    <row r="898" spans="1:25" ht="12.75" customHeight="1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</row>
    <row r="899" spans="1:25" ht="12.75" customHeight="1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</row>
    <row r="900" spans="1:25" ht="12.75" customHeight="1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</row>
    <row r="901" spans="1:25" ht="12.75" customHeight="1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</row>
    <row r="902" spans="1:25" ht="12.75" customHeight="1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</row>
    <row r="903" spans="1:25" ht="12.75" customHeight="1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</row>
    <row r="904" spans="1:25" ht="12.75" customHeight="1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</row>
    <row r="905" spans="1:25" ht="12.75" customHeight="1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</row>
    <row r="906" spans="1:25" ht="12.75" customHeight="1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</row>
    <row r="907" spans="1:25" ht="12.75" customHeight="1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</row>
    <row r="908" spans="1:25" ht="12.75" customHeight="1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</row>
    <row r="909" spans="1:25" ht="12.75" customHeight="1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</row>
    <row r="910" spans="1:25" ht="12.75" customHeight="1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</row>
    <row r="911" spans="1:25" ht="12.75" customHeight="1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</row>
    <row r="912" spans="1:25" ht="12.75" customHeight="1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</row>
    <row r="913" spans="1:25" ht="12.75" customHeight="1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</row>
    <row r="914" spans="1:25" ht="12.75" customHeight="1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</row>
    <row r="915" spans="1:25" ht="12.75" customHeight="1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</row>
    <row r="916" spans="1:25" ht="12.75" customHeight="1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</row>
    <row r="917" spans="1:25" ht="12.75" customHeight="1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</row>
    <row r="918" spans="1:25" ht="12.75" customHeight="1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</row>
    <row r="919" spans="1:25" ht="12.75" customHeight="1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</row>
    <row r="920" spans="1:25" ht="12.75" customHeight="1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</row>
    <row r="921" spans="1:25" ht="12.75" customHeight="1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</row>
    <row r="922" spans="1:25" ht="12.75" customHeight="1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</row>
    <row r="923" spans="1:25" ht="12.75" customHeight="1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</row>
    <row r="924" spans="1:25" ht="12.75" customHeight="1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</row>
    <row r="925" spans="1:25" ht="12.75" customHeight="1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</row>
    <row r="926" spans="1:25" ht="12.75" customHeight="1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</row>
    <row r="927" spans="1:25" ht="12.75" customHeight="1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</row>
    <row r="928" spans="1:25" ht="12.75" customHeight="1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</row>
    <row r="929" spans="1:25" ht="12.75" customHeight="1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</row>
    <row r="930" spans="1:25" ht="12.75" customHeight="1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</row>
    <row r="931" spans="1:25" ht="12.75" customHeight="1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</row>
    <row r="932" spans="1:25" ht="12.75" customHeight="1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</row>
    <row r="933" spans="1:25" ht="12.75" customHeight="1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</row>
    <row r="934" spans="1:25" ht="12.75" customHeight="1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</row>
    <row r="935" spans="1:25" ht="12.75" customHeight="1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</row>
    <row r="936" spans="1:25" ht="12.75" customHeight="1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</row>
    <row r="937" spans="1:25" ht="12.75" customHeight="1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</row>
    <row r="938" spans="1:25" ht="12.75" customHeight="1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</row>
    <row r="939" spans="1:25" ht="12.75" customHeight="1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</row>
    <row r="940" spans="1:25" ht="12.75" customHeight="1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</row>
    <row r="941" spans="1:25" ht="12.75" customHeight="1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</row>
    <row r="942" spans="1:25" ht="12.75" customHeight="1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</row>
    <row r="943" spans="1:25" ht="12.75" customHeight="1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</row>
    <row r="944" spans="1:25" ht="12.75" customHeight="1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</row>
    <row r="945" spans="1:25" ht="12.75" customHeight="1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</row>
    <row r="946" spans="1:25" ht="12.75" customHeight="1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</row>
    <row r="947" spans="1:25" ht="12.75" customHeight="1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</row>
    <row r="948" spans="1:25" ht="12.75" customHeight="1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</row>
    <row r="949" spans="1:25" ht="12.75" customHeight="1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</row>
    <row r="950" spans="1:25" ht="12.75" customHeight="1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</row>
    <row r="951" spans="1:25" ht="12.75" customHeight="1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</row>
    <row r="952" spans="1:25" ht="12.75" customHeight="1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</row>
    <row r="953" spans="1:25" ht="12.75" customHeight="1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</row>
    <row r="954" spans="1:25" ht="12.75" customHeight="1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</row>
    <row r="955" spans="1:25" ht="12.75" customHeight="1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</row>
    <row r="956" spans="1:25" ht="12.75" customHeight="1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</row>
    <row r="957" spans="1:25" ht="12.75" customHeight="1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</row>
    <row r="958" spans="1:25" ht="12.75" customHeight="1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</row>
    <row r="959" spans="1:25" ht="12.75" customHeight="1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</row>
    <row r="960" spans="1:25" ht="12.75" customHeight="1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</row>
    <row r="961" spans="1:25" ht="12.75" customHeight="1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</row>
    <row r="962" spans="1:25" ht="12.75" customHeight="1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</row>
    <row r="963" spans="1:25" ht="12.75" customHeight="1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</row>
    <row r="964" spans="1:25" ht="12.75" customHeight="1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</row>
    <row r="965" spans="1:25" ht="12.75" customHeight="1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</row>
    <row r="966" spans="1:25" ht="12.75" customHeight="1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</row>
    <row r="967" spans="1:25" ht="12.75" customHeight="1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</row>
    <row r="968" spans="1:25" ht="12.75" customHeight="1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</row>
    <row r="969" spans="1:25" ht="12.75" customHeight="1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</row>
    <row r="970" spans="1:25" ht="12.75" customHeight="1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</row>
    <row r="971" spans="1:25" ht="12.75" customHeight="1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</row>
    <row r="972" spans="1:25" ht="12.75" customHeight="1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</row>
    <row r="973" spans="1:25" ht="12.75" customHeight="1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</row>
    <row r="974" spans="1:25" ht="12.75" customHeight="1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</row>
    <row r="975" spans="1:25" ht="12.75" customHeight="1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</row>
    <row r="976" spans="1:25" ht="12.75" customHeight="1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</row>
    <row r="977" spans="1:25" ht="12.75" customHeight="1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</row>
    <row r="978" spans="1:25" ht="12.75" customHeight="1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</row>
    <row r="979" spans="1:25" ht="12.75" customHeight="1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</row>
    <row r="980" spans="1:25" ht="12.75" customHeight="1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</row>
    <row r="981" spans="1:25" ht="12.75" customHeight="1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</row>
    <row r="982" spans="1:25" ht="12.75" customHeight="1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</row>
    <row r="983" spans="1:25" ht="12.75" customHeight="1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</row>
    <row r="984" spans="1:25" ht="12.75" customHeight="1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</row>
    <row r="985" spans="1:25" ht="12.75" customHeight="1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</row>
    <row r="986" spans="1:25" ht="12.75" customHeight="1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</row>
    <row r="987" spans="1:25" ht="12.75" customHeight="1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</row>
    <row r="988" spans="1:25" ht="12.75" customHeight="1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</row>
    <row r="989" spans="1:25" ht="12.75" customHeight="1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</row>
    <row r="990" spans="1:25" ht="12.75" customHeight="1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</row>
  </sheetData>
  <mergeCells count="10">
    <mergeCell ref="B15:L15"/>
    <mergeCell ref="B13:C13"/>
    <mergeCell ref="B23:C23"/>
    <mergeCell ref="B2:G2"/>
    <mergeCell ref="B3:G3"/>
    <mergeCell ref="B5:B6"/>
    <mergeCell ref="C5:C6"/>
    <mergeCell ref="D5:D6"/>
    <mergeCell ref="E5:F5"/>
    <mergeCell ref="G5:G6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2465-FB5F-4207-A5A9-DC67E3B3FF0D}">
  <dimension ref="B2:X156"/>
  <sheetViews>
    <sheetView topLeftCell="A67" zoomScale="85" zoomScaleNormal="85" workbookViewId="0">
      <selection activeCell="M164" sqref="M164"/>
    </sheetView>
  </sheetViews>
  <sheetFormatPr baseColWidth="10" defaultColWidth="11.42578125" defaultRowHeight="12.75" x14ac:dyDescent="0.2"/>
  <cols>
    <col min="1" max="1" width="4.5703125" style="84" customWidth="1"/>
    <col min="2" max="2" width="11.42578125" style="84"/>
    <col min="3" max="3" width="0" style="84" hidden="1" customWidth="1"/>
    <col min="4" max="5" width="11.42578125" style="84"/>
    <col min="6" max="7" width="0" style="84" hidden="1" customWidth="1"/>
    <col min="8" max="8" width="12.5703125" style="84" customWidth="1"/>
    <col min="9" max="9" width="11.5703125" style="84" customWidth="1"/>
    <col min="10" max="11" width="12.5703125" style="84" customWidth="1"/>
    <col min="12" max="16384" width="11.42578125" style="84"/>
  </cols>
  <sheetData>
    <row r="2" spans="2:24" x14ac:dyDescent="0.2">
      <c r="B2" s="83" t="s">
        <v>176</v>
      </c>
    </row>
    <row r="5" spans="2:24" x14ac:dyDescent="0.2">
      <c r="B5" s="371" t="s">
        <v>172</v>
      </c>
      <c r="C5" s="371" t="s">
        <v>171</v>
      </c>
      <c r="D5" s="371" t="s">
        <v>170</v>
      </c>
      <c r="E5" s="371" t="s">
        <v>169</v>
      </c>
      <c r="F5" s="371" t="s">
        <v>168</v>
      </c>
      <c r="G5" s="371" t="s">
        <v>167</v>
      </c>
      <c r="H5" s="371" t="s">
        <v>159</v>
      </c>
      <c r="I5" s="371" t="s">
        <v>158</v>
      </c>
      <c r="J5" s="371" t="s">
        <v>157</v>
      </c>
      <c r="K5" s="371" t="s">
        <v>166</v>
      </c>
      <c r="L5" s="371" t="s">
        <v>155</v>
      </c>
      <c r="M5" s="371" t="s">
        <v>165</v>
      </c>
      <c r="N5" s="85" t="s">
        <v>154</v>
      </c>
      <c r="O5" s="85" t="s">
        <v>153</v>
      </c>
      <c r="P5" s="85" t="s">
        <v>152</v>
      </c>
      <c r="Q5" s="85" t="s">
        <v>151</v>
      </c>
      <c r="R5" s="85" t="s">
        <v>150</v>
      </c>
      <c r="X5" s="86"/>
    </row>
    <row r="6" spans="2:24" x14ac:dyDescent="0.2">
      <c r="B6" s="372"/>
      <c r="C6" s="372"/>
      <c r="D6" s="372"/>
      <c r="E6" s="372"/>
      <c r="F6" s="372"/>
      <c r="G6" s="372"/>
      <c r="H6" s="372"/>
      <c r="I6" s="372"/>
      <c r="J6" s="372"/>
      <c r="K6" s="372"/>
      <c r="L6" s="372"/>
      <c r="M6" s="372"/>
      <c r="N6" s="87">
        <v>0.13</v>
      </c>
      <c r="O6" s="87">
        <v>0.1</v>
      </c>
      <c r="P6" s="88">
        <v>1.3299999999999999E-2</v>
      </c>
      <c r="Q6" s="88">
        <v>1.55E-2</v>
      </c>
      <c r="R6" s="87">
        <v>0.09</v>
      </c>
      <c r="X6" s="86"/>
    </row>
    <row r="7" spans="2:24" ht="15" x14ac:dyDescent="0.25">
      <c r="B7" s="368">
        <v>44197</v>
      </c>
      <c r="C7" s="89"/>
      <c r="D7" s="89" t="s">
        <v>163</v>
      </c>
      <c r="E7" s="90"/>
      <c r="F7" s="91"/>
      <c r="G7" s="89"/>
      <c r="H7" s="92">
        <v>1500</v>
      </c>
      <c r="I7" s="92"/>
      <c r="J7" s="92"/>
      <c r="K7" s="92"/>
      <c r="L7" s="92">
        <f>+SUM(H7:K7)</f>
        <v>1500</v>
      </c>
      <c r="M7" s="92"/>
      <c r="N7" s="92">
        <f>+L7*$N$6</f>
        <v>195</v>
      </c>
      <c r="O7" s="92"/>
      <c r="P7" s="92"/>
      <c r="Q7" s="92"/>
      <c r="R7" s="92">
        <f>+L7*$R$6</f>
        <v>135</v>
      </c>
      <c r="S7" s="93"/>
      <c r="T7" s="94"/>
      <c r="U7" s="94"/>
      <c r="V7" s="94"/>
      <c r="W7" s="95"/>
      <c r="X7" s="86"/>
    </row>
    <row r="8" spans="2:24" ht="15" x14ac:dyDescent="0.25">
      <c r="B8" s="369"/>
      <c r="C8" s="89"/>
      <c r="D8" s="89" t="s">
        <v>162</v>
      </c>
      <c r="E8" s="90"/>
      <c r="F8" s="91"/>
      <c r="G8" s="89"/>
      <c r="H8" s="92">
        <v>930</v>
      </c>
      <c r="I8" s="92"/>
      <c r="J8" s="92"/>
      <c r="K8" s="92"/>
      <c r="L8" s="92">
        <f>+SUM(H8:K8)</f>
        <v>930</v>
      </c>
      <c r="M8" s="92"/>
      <c r="N8" s="92">
        <f>+L8*$N$6</f>
        <v>120.9</v>
      </c>
      <c r="O8" s="92"/>
      <c r="P8" s="92"/>
      <c r="Q8" s="92"/>
      <c r="R8" s="92">
        <f>+L8*$R$6</f>
        <v>83.7</v>
      </c>
      <c r="S8" s="93"/>
      <c r="T8" s="94"/>
      <c r="U8" s="94"/>
      <c r="V8" s="94"/>
      <c r="W8" s="95"/>
      <c r="X8" s="86"/>
    </row>
    <row r="9" spans="2:24" ht="15" x14ac:dyDescent="0.25">
      <c r="B9" s="369"/>
      <c r="C9" s="89"/>
      <c r="D9" s="89" t="s">
        <v>161</v>
      </c>
      <c r="E9" s="90"/>
      <c r="F9" s="91"/>
      <c r="G9" s="89"/>
      <c r="H9" s="92">
        <v>930</v>
      </c>
      <c r="I9" s="92"/>
      <c r="J9" s="92"/>
      <c r="K9" s="92"/>
      <c r="L9" s="92">
        <f>+SUM(H9:K9)</f>
        <v>930</v>
      </c>
      <c r="M9" s="92"/>
      <c r="N9" s="92">
        <f>+L9*$N$6</f>
        <v>120.9</v>
      </c>
      <c r="O9" s="92"/>
      <c r="P9" s="92"/>
      <c r="Q9" s="92"/>
      <c r="R9" s="92">
        <f>+L9*$R$6</f>
        <v>83.7</v>
      </c>
      <c r="S9" s="93"/>
      <c r="T9" s="94"/>
      <c r="U9" s="94"/>
      <c r="V9" s="94"/>
      <c r="W9" s="95"/>
      <c r="X9" s="86"/>
    </row>
    <row r="10" spans="2:24" ht="15" x14ac:dyDescent="0.25">
      <c r="B10" s="369"/>
      <c r="C10" s="89"/>
      <c r="D10" s="89" t="s">
        <v>160</v>
      </c>
      <c r="E10" s="90"/>
      <c r="F10" s="91"/>
      <c r="G10" s="89"/>
      <c r="H10" s="92">
        <v>930</v>
      </c>
      <c r="I10" s="92"/>
      <c r="J10" s="92"/>
      <c r="K10" s="92"/>
      <c r="L10" s="92">
        <f>+SUM(H10:K10)</f>
        <v>930</v>
      </c>
      <c r="M10" s="92"/>
      <c r="N10" s="92">
        <f>+L10*$N$6</f>
        <v>120.9</v>
      </c>
      <c r="O10" s="92"/>
      <c r="P10" s="92"/>
      <c r="Q10" s="92"/>
      <c r="R10" s="92">
        <f>+L10*$R$6</f>
        <v>83.7</v>
      </c>
      <c r="S10" s="93"/>
      <c r="T10" s="94"/>
      <c r="U10" s="94"/>
      <c r="V10" s="94"/>
      <c r="W10" s="95"/>
      <c r="X10" s="86"/>
    </row>
    <row r="11" spans="2:24" ht="15" x14ac:dyDescent="0.25">
      <c r="B11" s="370"/>
      <c r="C11" s="89"/>
      <c r="D11" s="89"/>
      <c r="E11" s="90"/>
      <c r="F11" s="91"/>
      <c r="G11" s="89"/>
      <c r="H11" s="96">
        <f>+SUM(H7:H10)</f>
        <v>4290</v>
      </c>
      <c r="I11" s="96">
        <f>+SUM(I7:I10)</f>
        <v>0</v>
      </c>
      <c r="J11" s="96">
        <f>+SUM(J7:J10)</f>
        <v>0</v>
      </c>
      <c r="K11" s="96">
        <f>+SUM(K7:K10)</f>
        <v>0</v>
      </c>
      <c r="L11" s="96">
        <f>+SUM(L7:L10)</f>
        <v>4290</v>
      </c>
      <c r="M11" s="96"/>
      <c r="N11" s="96">
        <f>+SUM(N7:N10)</f>
        <v>557.69999999999993</v>
      </c>
      <c r="O11" s="96">
        <f>+SUM(O7:O10)</f>
        <v>0</v>
      </c>
      <c r="P11" s="96">
        <f>+SUM(P7:P10)</f>
        <v>0</v>
      </c>
      <c r="Q11" s="96">
        <f>+SUM(Q7:Q10)</f>
        <v>0</v>
      </c>
      <c r="R11" s="96">
        <f>+SUM(R7:R10)</f>
        <v>386.09999999999997</v>
      </c>
      <c r="S11" s="97">
        <f>+O11+P11+Q11</f>
        <v>0</v>
      </c>
      <c r="T11" s="97"/>
      <c r="U11" s="94"/>
      <c r="V11" s="94"/>
      <c r="W11" s="95"/>
      <c r="X11" s="86"/>
    </row>
    <row r="12" spans="2:24" ht="15" x14ac:dyDescent="0.25">
      <c r="M12" s="98" t="s">
        <v>174</v>
      </c>
      <c r="N12" s="98">
        <v>0</v>
      </c>
      <c r="O12" s="99">
        <v>0</v>
      </c>
      <c r="P12" s="99">
        <v>0</v>
      </c>
      <c r="Q12" s="99">
        <v>0</v>
      </c>
      <c r="R12" s="99">
        <v>84</v>
      </c>
      <c r="S12" s="97">
        <f>+L11-N11-S11</f>
        <v>3732.3</v>
      </c>
      <c r="T12" s="94"/>
      <c r="U12" s="94"/>
      <c r="V12" s="94"/>
      <c r="W12" s="95"/>
      <c r="X12" s="86"/>
    </row>
    <row r="13" spans="2:24" ht="15" x14ac:dyDescent="0.25">
      <c r="M13" s="98" t="s">
        <v>173</v>
      </c>
      <c r="N13" s="98">
        <v>0</v>
      </c>
      <c r="O13" s="99">
        <v>0</v>
      </c>
      <c r="P13" s="99">
        <v>0</v>
      </c>
      <c r="Q13" s="99">
        <v>0</v>
      </c>
      <c r="R13" s="99">
        <v>0</v>
      </c>
      <c r="S13" s="93"/>
      <c r="T13" s="94"/>
      <c r="U13" s="94"/>
      <c r="V13" s="94"/>
      <c r="W13" s="95"/>
      <c r="X13" s="86"/>
    </row>
    <row r="14" spans="2:24" ht="15" x14ac:dyDescent="0.25">
      <c r="S14" s="100"/>
      <c r="X14" s="86"/>
    </row>
    <row r="16" spans="2:24" x14ac:dyDescent="0.2">
      <c r="B16" s="371" t="s">
        <v>172</v>
      </c>
      <c r="C16" s="371" t="s">
        <v>171</v>
      </c>
      <c r="D16" s="371" t="s">
        <v>170</v>
      </c>
      <c r="E16" s="371" t="s">
        <v>169</v>
      </c>
      <c r="F16" s="371" t="s">
        <v>168</v>
      </c>
      <c r="G16" s="371" t="s">
        <v>167</v>
      </c>
      <c r="H16" s="371" t="s">
        <v>159</v>
      </c>
      <c r="I16" s="371" t="s">
        <v>158</v>
      </c>
      <c r="J16" s="371" t="s">
        <v>157</v>
      </c>
      <c r="K16" s="371" t="s">
        <v>166</v>
      </c>
      <c r="L16" s="371" t="s">
        <v>155</v>
      </c>
      <c r="M16" s="371" t="s">
        <v>165</v>
      </c>
      <c r="N16" s="85" t="s">
        <v>154</v>
      </c>
      <c r="O16" s="85" t="s">
        <v>153</v>
      </c>
      <c r="P16" s="85" t="s">
        <v>152</v>
      </c>
      <c r="Q16" s="85" t="s">
        <v>151</v>
      </c>
      <c r="R16" s="85" t="s">
        <v>150</v>
      </c>
    </row>
    <row r="17" spans="2:19" x14ac:dyDescent="0.2">
      <c r="B17" s="372"/>
      <c r="C17" s="372"/>
      <c r="D17" s="372"/>
      <c r="E17" s="372"/>
      <c r="F17" s="372"/>
      <c r="G17" s="372"/>
      <c r="H17" s="372"/>
      <c r="I17" s="372"/>
      <c r="J17" s="372"/>
      <c r="K17" s="372"/>
      <c r="L17" s="372"/>
      <c r="M17" s="372"/>
      <c r="N17" s="87">
        <v>0.13</v>
      </c>
      <c r="O17" s="87">
        <v>0.1</v>
      </c>
      <c r="P17" s="88">
        <v>1.3299999999999999E-2</v>
      </c>
      <c r="Q17" s="88">
        <v>1.55E-2</v>
      </c>
      <c r="R17" s="87">
        <v>0.09</v>
      </c>
    </row>
    <row r="18" spans="2:19" x14ac:dyDescent="0.2">
      <c r="B18" s="368">
        <v>44228</v>
      </c>
      <c r="C18" s="89"/>
      <c r="D18" s="89" t="s">
        <v>163</v>
      </c>
      <c r="E18" s="90"/>
      <c r="F18" s="91"/>
      <c r="G18" s="89"/>
      <c r="H18" s="92">
        <v>1500</v>
      </c>
      <c r="I18" s="92"/>
      <c r="J18" s="92"/>
      <c r="K18" s="92"/>
      <c r="L18" s="92">
        <f>+SUM(H18:K18)</f>
        <v>1500</v>
      </c>
      <c r="M18" s="92"/>
      <c r="N18" s="92">
        <f>+L18*$N$6</f>
        <v>195</v>
      </c>
      <c r="O18" s="92"/>
      <c r="P18" s="92"/>
      <c r="Q18" s="92"/>
      <c r="R18" s="92">
        <f>+L18*$R$6</f>
        <v>135</v>
      </c>
    </row>
    <row r="19" spans="2:19" x14ac:dyDescent="0.2">
      <c r="B19" s="369"/>
      <c r="C19" s="89"/>
      <c r="D19" s="89" t="s">
        <v>162</v>
      </c>
      <c r="E19" s="90"/>
      <c r="F19" s="91"/>
      <c r="G19" s="89"/>
      <c r="H19" s="92">
        <v>930</v>
      </c>
      <c r="I19" s="92"/>
      <c r="J19" s="92"/>
      <c r="K19" s="92"/>
      <c r="L19" s="92">
        <f>+SUM(H19:K19)</f>
        <v>930</v>
      </c>
      <c r="M19" s="92"/>
      <c r="N19" s="92">
        <f>+L19*$N$6</f>
        <v>120.9</v>
      </c>
      <c r="O19" s="92"/>
      <c r="P19" s="92"/>
      <c r="Q19" s="92"/>
      <c r="R19" s="92">
        <f>+L19*$R$6</f>
        <v>83.7</v>
      </c>
    </row>
    <row r="20" spans="2:19" x14ac:dyDescent="0.2">
      <c r="B20" s="369"/>
      <c r="C20" s="89"/>
      <c r="D20" s="89" t="s">
        <v>161</v>
      </c>
      <c r="E20" s="90"/>
      <c r="F20" s="91"/>
      <c r="G20" s="89"/>
      <c r="H20" s="92">
        <v>930</v>
      </c>
      <c r="I20" s="92"/>
      <c r="J20" s="92"/>
      <c r="K20" s="92"/>
      <c r="L20" s="92">
        <f>+SUM(H20:K20)</f>
        <v>930</v>
      </c>
      <c r="M20" s="92"/>
      <c r="N20" s="92">
        <f>+L20*$N$6</f>
        <v>120.9</v>
      </c>
      <c r="O20" s="92"/>
      <c r="P20" s="92"/>
      <c r="Q20" s="92"/>
      <c r="R20" s="92">
        <f>+L20*$R$6</f>
        <v>83.7</v>
      </c>
    </row>
    <row r="21" spans="2:19" x14ac:dyDescent="0.2">
      <c r="B21" s="369"/>
      <c r="C21" s="89"/>
      <c r="D21" s="89" t="s">
        <v>160</v>
      </c>
      <c r="E21" s="90"/>
      <c r="F21" s="91"/>
      <c r="G21" s="89"/>
      <c r="H21" s="92">
        <v>930</v>
      </c>
      <c r="I21" s="92"/>
      <c r="J21" s="92"/>
      <c r="K21" s="92"/>
      <c r="L21" s="92">
        <f>+SUM(H21:K21)</f>
        <v>930</v>
      </c>
      <c r="M21" s="92"/>
      <c r="N21" s="92">
        <f>+L21*$N$6</f>
        <v>120.9</v>
      </c>
      <c r="O21" s="92"/>
      <c r="P21" s="92"/>
      <c r="Q21" s="92"/>
      <c r="R21" s="92">
        <f>+L21*$R$6</f>
        <v>83.7</v>
      </c>
    </row>
    <row r="22" spans="2:19" x14ac:dyDescent="0.2">
      <c r="B22" s="370"/>
      <c r="C22" s="89"/>
      <c r="D22" s="89"/>
      <c r="E22" s="90"/>
      <c r="F22" s="91"/>
      <c r="G22" s="89"/>
      <c r="H22" s="96">
        <f>+SUM(H18:H21)</f>
        <v>4290</v>
      </c>
      <c r="I22" s="96">
        <f>+SUM(I18:I21)</f>
        <v>0</v>
      </c>
      <c r="J22" s="96">
        <f>+SUM(J18:J21)</f>
        <v>0</v>
      </c>
      <c r="K22" s="96">
        <f>+SUM(K18:K21)</f>
        <v>0</v>
      </c>
      <c r="L22" s="96">
        <f>+SUM(L18:L21)</f>
        <v>4290</v>
      </c>
      <c r="M22" s="96"/>
      <c r="N22" s="96">
        <f>+SUM(N18:N21)</f>
        <v>557.69999999999993</v>
      </c>
      <c r="O22" s="96">
        <f>+SUM(O18:O21)</f>
        <v>0</v>
      </c>
      <c r="P22" s="96">
        <f>+SUM(P18:P21)</f>
        <v>0</v>
      </c>
      <c r="Q22" s="96">
        <f>+SUM(Q18:Q21)</f>
        <v>0</v>
      </c>
      <c r="R22" s="96">
        <f>+SUM(R18:R21)</f>
        <v>386.09999999999997</v>
      </c>
      <c r="S22" s="97">
        <f>+O22+P22+Q22</f>
        <v>0</v>
      </c>
    </row>
    <row r="23" spans="2:19" x14ac:dyDescent="0.2">
      <c r="M23" s="98" t="s">
        <v>174</v>
      </c>
      <c r="N23" s="98">
        <v>0</v>
      </c>
      <c r="O23" s="99">
        <v>0</v>
      </c>
      <c r="P23" s="99">
        <v>0</v>
      </c>
      <c r="Q23" s="99">
        <v>0</v>
      </c>
      <c r="R23" s="99">
        <v>84</v>
      </c>
      <c r="S23" s="97">
        <f>+L22-N22-S22</f>
        <v>3732.3</v>
      </c>
    </row>
    <row r="24" spans="2:19" x14ac:dyDescent="0.2">
      <c r="M24" s="98" t="s">
        <v>173</v>
      </c>
      <c r="N24" s="98">
        <v>0</v>
      </c>
      <c r="O24" s="99">
        <v>0</v>
      </c>
      <c r="P24" s="99">
        <v>0</v>
      </c>
      <c r="Q24" s="99">
        <v>0</v>
      </c>
      <c r="R24" s="99">
        <v>0</v>
      </c>
    </row>
    <row r="27" spans="2:19" x14ac:dyDescent="0.2">
      <c r="B27" s="371" t="s">
        <v>172</v>
      </c>
      <c r="C27" s="371" t="s">
        <v>171</v>
      </c>
      <c r="D27" s="371" t="s">
        <v>170</v>
      </c>
      <c r="E27" s="371" t="s">
        <v>169</v>
      </c>
      <c r="F27" s="371" t="s">
        <v>168</v>
      </c>
      <c r="G27" s="371" t="s">
        <v>167</v>
      </c>
      <c r="H27" s="371" t="s">
        <v>159</v>
      </c>
      <c r="I27" s="371" t="s">
        <v>158</v>
      </c>
      <c r="J27" s="371" t="s">
        <v>157</v>
      </c>
      <c r="K27" s="371" t="s">
        <v>166</v>
      </c>
      <c r="L27" s="371" t="s">
        <v>155</v>
      </c>
      <c r="M27" s="371" t="s">
        <v>165</v>
      </c>
      <c r="N27" s="85" t="s">
        <v>154</v>
      </c>
      <c r="O27" s="85" t="s">
        <v>153</v>
      </c>
      <c r="P27" s="85" t="s">
        <v>152</v>
      </c>
      <c r="Q27" s="85" t="s">
        <v>151</v>
      </c>
      <c r="R27" s="85" t="s">
        <v>150</v>
      </c>
    </row>
    <row r="28" spans="2:19" x14ac:dyDescent="0.2">
      <c r="B28" s="372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87">
        <v>0.13</v>
      </c>
      <c r="O28" s="87">
        <v>0.1</v>
      </c>
      <c r="P28" s="88">
        <v>1.3299999999999999E-2</v>
      </c>
      <c r="Q28" s="88">
        <v>1.55E-2</v>
      </c>
      <c r="R28" s="87">
        <v>0.09</v>
      </c>
    </row>
    <row r="29" spans="2:19" x14ac:dyDescent="0.2">
      <c r="B29" s="368">
        <v>44256</v>
      </c>
      <c r="C29" s="89"/>
      <c r="D29" s="89" t="s">
        <v>163</v>
      </c>
      <c r="E29" s="90"/>
      <c r="F29" s="91"/>
      <c r="G29" s="89"/>
      <c r="H29" s="92">
        <v>1500</v>
      </c>
      <c r="I29" s="92"/>
      <c r="J29" s="92"/>
      <c r="K29" s="92"/>
      <c r="L29" s="92">
        <f>+SUM(H29:K29)</f>
        <v>1500</v>
      </c>
      <c r="M29" s="92"/>
      <c r="N29" s="92">
        <f>+L29*$N$6</f>
        <v>195</v>
      </c>
      <c r="O29" s="92"/>
      <c r="P29" s="92"/>
      <c r="Q29" s="92"/>
      <c r="R29" s="92">
        <f>+L29*$R$6</f>
        <v>135</v>
      </c>
    </row>
    <row r="30" spans="2:19" x14ac:dyDescent="0.2">
      <c r="B30" s="369"/>
      <c r="C30" s="89"/>
      <c r="D30" s="89" t="s">
        <v>162</v>
      </c>
      <c r="E30" s="90"/>
      <c r="F30" s="91"/>
      <c r="G30" s="89"/>
      <c r="H30" s="92">
        <v>930</v>
      </c>
      <c r="I30" s="92"/>
      <c r="J30" s="92"/>
      <c r="K30" s="92"/>
      <c r="L30" s="92">
        <f>+SUM(H30:K30)</f>
        <v>930</v>
      </c>
      <c r="M30" s="92"/>
      <c r="N30" s="92">
        <f>+L30*$N$6</f>
        <v>120.9</v>
      </c>
      <c r="O30" s="92"/>
      <c r="P30" s="92"/>
      <c r="Q30" s="92"/>
      <c r="R30" s="92"/>
    </row>
    <row r="31" spans="2:19" x14ac:dyDescent="0.2">
      <c r="B31" s="369"/>
      <c r="C31" s="89"/>
      <c r="D31" s="89" t="s">
        <v>161</v>
      </c>
      <c r="E31" s="90"/>
      <c r="F31" s="91"/>
      <c r="G31" s="89"/>
      <c r="H31" s="92">
        <v>930</v>
      </c>
      <c r="I31" s="92"/>
      <c r="J31" s="92"/>
      <c r="K31" s="92"/>
      <c r="L31" s="92">
        <f>+SUM(H31:K31)</f>
        <v>930</v>
      </c>
      <c r="M31" s="92"/>
      <c r="N31" s="92">
        <f>+L31*$N$6</f>
        <v>120.9</v>
      </c>
      <c r="O31" s="92"/>
      <c r="P31" s="92"/>
      <c r="Q31" s="92"/>
      <c r="R31" s="92">
        <f>+L31*$R$6</f>
        <v>83.7</v>
      </c>
    </row>
    <row r="32" spans="2:19" x14ac:dyDescent="0.2">
      <c r="B32" s="369"/>
      <c r="C32" s="89"/>
      <c r="D32" s="89" t="s">
        <v>160</v>
      </c>
      <c r="E32" s="90"/>
      <c r="F32" s="91"/>
      <c r="G32" s="89"/>
      <c r="H32" s="92">
        <v>930</v>
      </c>
      <c r="I32" s="92"/>
      <c r="J32" s="92"/>
      <c r="K32" s="92"/>
      <c r="L32" s="92">
        <f>+SUM(H32:K32)</f>
        <v>930</v>
      </c>
      <c r="M32" s="92"/>
      <c r="N32" s="92">
        <f>+L32*$N$6</f>
        <v>120.9</v>
      </c>
      <c r="O32" s="92"/>
      <c r="P32" s="92"/>
      <c r="Q32" s="92"/>
      <c r="R32" s="92">
        <f>+L32*$R$6</f>
        <v>83.7</v>
      </c>
    </row>
    <row r="33" spans="2:19" x14ac:dyDescent="0.2">
      <c r="B33" s="370"/>
      <c r="C33" s="89"/>
      <c r="D33" s="89"/>
      <c r="E33" s="90"/>
      <c r="F33" s="91"/>
      <c r="G33" s="89"/>
      <c r="H33" s="96">
        <f>+SUM(H29:H32)</f>
        <v>4290</v>
      </c>
      <c r="I33" s="96">
        <f>+SUM(I29:I32)</f>
        <v>0</v>
      </c>
      <c r="J33" s="96">
        <f>+SUM(J29:J32)</f>
        <v>0</v>
      </c>
      <c r="K33" s="96">
        <f>+SUM(K29:K32)</f>
        <v>0</v>
      </c>
      <c r="L33" s="96">
        <f>+SUM(L29:L32)</f>
        <v>4290</v>
      </c>
      <c r="M33" s="96"/>
      <c r="N33" s="96">
        <f>+SUM(N29:N32)</f>
        <v>557.69999999999993</v>
      </c>
      <c r="O33" s="96">
        <f>+SUM(O29:O32)</f>
        <v>0</v>
      </c>
      <c r="P33" s="96">
        <f>+SUM(P29:P32)</f>
        <v>0</v>
      </c>
      <c r="Q33" s="96">
        <f>+SUM(Q29:Q32)</f>
        <v>0</v>
      </c>
      <c r="R33" s="96">
        <f>+SUM(R29:R32)</f>
        <v>302.39999999999998</v>
      </c>
      <c r="S33" s="97">
        <f>+O33+P33+Q33</f>
        <v>0</v>
      </c>
    </row>
    <row r="34" spans="2:19" x14ac:dyDescent="0.2">
      <c r="M34" s="98" t="s">
        <v>174</v>
      </c>
      <c r="N34" s="98">
        <v>0</v>
      </c>
      <c r="O34" s="99">
        <v>0</v>
      </c>
      <c r="P34" s="99">
        <v>0</v>
      </c>
      <c r="Q34" s="99">
        <v>0</v>
      </c>
      <c r="R34" s="99">
        <v>84</v>
      </c>
      <c r="S34" s="97">
        <f>+L33-N33-S33</f>
        <v>3732.3</v>
      </c>
    </row>
    <row r="35" spans="2:19" x14ac:dyDescent="0.2">
      <c r="M35" s="98" t="s">
        <v>173</v>
      </c>
      <c r="N35" s="98">
        <v>0</v>
      </c>
      <c r="O35" s="99">
        <v>0</v>
      </c>
      <c r="P35" s="99">
        <v>0</v>
      </c>
      <c r="Q35" s="99">
        <v>0</v>
      </c>
      <c r="R35" s="99">
        <v>0</v>
      </c>
    </row>
    <row r="38" spans="2:19" x14ac:dyDescent="0.2">
      <c r="B38" s="371" t="s">
        <v>172</v>
      </c>
      <c r="C38" s="371" t="s">
        <v>171</v>
      </c>
      <c r="D38" s="371" t="s">
        <v>170</v>
      </c>
      <c r="E38" s="371" t="s">
        <v>169</v>
      </c>
      <c r="F38" s="371" t="s">
        <v>168</v>
      </c>
      <c r="G38" s="371" t="s">
        <v>167</v>
      </c>
      <c r="H38" s="371" t="s">
        <v>159</v>
      </c>
      <c r="I38" s="371" t="s">
        <v>158</v>
      </c>
      <c r="J38" s="371" t="s">
        <v>157</v>
      </c>
      <c r="K38" s="371" t="s">
        <v>166</v>
      </c>
      <c r="L38" s="371" t="s">
        <v>155</v>
      </c>
      <c r="M38" s="371" t="s">
        <v>165</v>
      </c>
      <c r="N38" s="85" t="s">
        <v>154</v>
      </c>
      <c r="O38" s="85" t="s">
        <v>153</v>
      </c>
      <c r="P38" s="85" t="s">
        <v>152</v>
      </c>
      <c r="Q38" s="85" t="s">
        <v>151</v>
      </c>
      <c r="R38" s="85" t="s">
        <v>150</v>
      </c>
    </row>
    <row r="39" spans="2:19" x14ac:dyDescent="0.2">
      <c r="B39" s="372"/>
      <c r="C39" s="372"/>
      <c r="D39" s="372"/>
      <c r="E39" s="372"/>
      <c r="F39" s="372"/>
      <c r="G39" s="372"/>
      <c r="H39" s="372"/>
      <c r="I39" s="372"/>
      <c r="J39" s="372"/>
      <c r="K39" s="372"/>
      <c r="L39" s="372"/>
      <c r="M39" s="372"/>
      <c r="N39" s="87">
        <v>0.13</v>
      </c>
      <c r="O39" s="87">
        <v>0.1</v>
      </c>
      <c r="P39" s="88">
        <v>1.3299999999999999E-2</v>
      </c>
      <c r="Q39" s="88">
        <v>1.55E-2</v>
      </c>
      <c r="R39" s="87">
        <v>0.09</v>
      </c>
    </row>
    <row r="40" spans="2:19" x14ac:dyDescent="0.2">
      <c r="B40" s="368">
        <v>44287</v>
      </c>
      <c r="C40" s="89"/>
      <c r="D40" s="89" t="s">
        <v>163</v>
      </c>
      <c r="E40" s="90"/>
      <c r="F40" s="91"/>
      <c r="G40" s="89"/>
      <c r="H40" s="92">
        <v>1500</v>
      </c>
      <c r="I40" s="92"/>
      <c r="J40" s="92"/>
      <c r="K40" s="92"/>
      <c r="L40" s="92">
        <f>+SUM(H40:K40)</f>
        <v>1500</v>
      </c>
      <c r="M40" s="92"/>
      <c r="N40" s="92">
        <f>+L40*$N$6</f>
        <v>195</v>
      </c>
      <c r="O40" s="92"/>
      <c r="P40" s="92"/>
      <c r="Q40" s="92"/>
      <c r="R40" s="92">
        <f>+L40*$R$6</f>
        <v>135</v>
      </c>
    </row>
    <row r="41" spans="2:19" x14ac:dyDescent="0.2">
      <c r="B41" s="369"/>
      <c r="C41" s="89"/>
      <c r="D41" s="89" t="s">
        <v>162</v>
      </c>
      <c r="E41" s="90"/>
      <c r="F41" s="91"/>
      <c r="G41" s="89"/>
      <c r="H41" s="92">
        <v>930</v>
      </c>
      <c r="I41" s="92"/>
      <c r="J41" s="92"/>
      <c r="K41" s="92"/>
      <c r="L41" s="92">
        <f>+SUM(H41:K41)</f>
        <v>930</v>
      </c>
      <c r="M41" s="92"/>
      <c r="N41" s="92">
        <f>+L41*$N$6</f>
        <v>120.9</v>
      </c>
      <c r="O41" s="92"/>
      <c r="P41" s="92"/>
      <c r="Q41" s="92"/>
      <c r="R41" s="92"/>
    </row>
    <row r="42" spans="2:19" x14ac:dyDescent="0.2">
      <c r="B42" s="369"/>
      <c r="C42" s="89"/>
      <c r="D42" s="89" t="s">
        <v>161</v>
      </c>
      <c r="E42" s="90"/>
      <c r="F42" s="91"/>
      <c r="G42" s="89"/>
      <c r="H42" s="92">
        <v>930</v>
      </c>
      <c r="I42" s="92"/>
      <c r="J42" s="92"/>
      <c r="K42" s="92"/>
      <c r="L42" s="92">
        <f>+SUM(H42:K42)</f>
        <v>930</v>
      </c>
      <c r="M42" s="92"/>
      <c r="N42" s="92">
        <f>+L42*$N$6</f>
        <v>120.9</v>
      </c>
      <c r="O42" s="92"/>
      <c r="P42" s="92"/>
      <c r="Q42" s="92"/>
      <c r="R42" s="92">
        <f>+L42*$R$6</f>
        <v>83.7</v>
      </c>
    </row>
    <row r="43" spans="2:19" x14ac:dyDescent="0.2">
      <c r="B43" s="369"/>
      <c r="C43" s="89"/>
      <c r="D43" s="89" t="s">
        <v>160</v>
      </c>
      <c r="E43" s="90"/>
      <c r="F43" s="91"/>
      <c r="G43" s="89"/>
      <c r="H43" s="92">
        <v>930</v>
      </c>
      <c r="I43" s="92"/>
      <c r="J43" s="92"/>
      <c r="K43" s="92"/>
      <c r="L43" s="92">
        <f>+SUM(H43:K43)</f>
        <v>930</v>
      </c>
      <c r="M43" s="92"/>
      <c r="N43" s="92">
        <f>+L43*$N$6</f>
        <v>120.9</v>
      </c>
      <c r="O43" s="92"/>
      <c r="P43" s="92"/>
      <c r="Q43" s="92"/>
      <c r="R43" s="92">
        <f>+L43*$R$6</f>
        <v>83.7</v>
      </c>
    </row>
    <row r="44" spans="2:19" x14ac:dyDescent="0.2">
      <c r="B44" s="370"/>
      <c r="C44" s="89"/>
      <c r="D44" s="89"/>
      <c r="E44" s="90"/>
      <c r="F44" s="91"/>
      <c r="G44" s="89"/>
      <c r="H44" s="96">
        <f>+SUM(H40:H43)</f>
        <v>4290</v>
      </c>
      <c r="I44" s="96">
        <f>+SUM(I40:I43)</f>
        <v>0</v>
      </c>
      <c r="J44" s="96">
        <f>+SUM(J40:J43)</f>
        <v>0</v>
      </c>
      <c r="K44" s="96">
        <f>+SUM(K40:K43)</f>
        <v>0</v>
      </c>
      <c r="L44" s="96">
        <f>+SUM(L40:L43)</f>
        <v>4290</v>
      </c>
      <c r="M44" s="96"/>
      <c r="N44" s="96">
        <f>+SUM(N40:N43)</f>
        <v>557.69999999999993</v>
      </c>
      <c r="O44" s="96">
        <f>+SUM(O40:O43)</f>
        <v>0</v>
      </c>
      <c r="P44" s="96">
        <f>+SUM(P40:P43)</f>
        <v>0</v>
      </c>
      <c r="Q44" s="96">
        <f>+SUM(Q40:Q43)</f>
        <v>0</v>
      </c>
      <c r="R44" s="96">
        <f>+SUM(R40:R43)</f>
        <v>302.39999999999998</v>
      </c>
      <c r="S44" s="97">
        <f>+O44+P44+Q44</f>
        <v>0</v>
      </c>
    </row>
    <row r="45" spans="2:19" x14ac:dyDescent="0.2">
      <c r="M45" s="98" t="s">
        <v>174</v>
      </c>
      <c r="N45" s="98">
        <v>0</v>
      </c>
      <c r="O45" s="99">
        <v>0</v>
      </c>
      <c r="P45" s="99">
        <v>0</v>
      </c>
      <c r="Q45" s="99">
        <v>0</v>
      </c>
      <c r="R45" s="99">
        <v>84</v>
      </c>
      <c r="S45" s="97">
        <f>+L44-N44-S44</f>
        <v>3732.3</v>
      </c>
    </row>
    <row r="46" spans="2:19" x14ac:dyDescent="0.2">
      <c r="M46" s="98" t="s">
        <v>173</v>
      </c>
      <c r="N46" s="98">
        <v>0</v>
      </c>
      <c r="O46" s="99">
        <v>0</v>
      </c>
      <c r="P46" s="99">
        <v>0</v>
      </c>
      <c r="Q46" s="99">
        <v>0</v>
      </c>
      <c r="R46" s="99">
        <v>0</v>
      </c>
    </row>
    <row r="49" spans="2:19" x14ac:dyDescent="0.2">
      <c r="B49" s="371" t="s">
        <v>172</v>
      </c>
      <c r="C49" s="371" t="s">
        <v>171</v>
      </c>
      <c r="D49" s="371" t="s">
        <v>170</v>
      </c>
      <c r="E49" s="371" t="s">
        <v>169</v>
      </c>
      <c r="F49" s="371" t="s">
        <v>168</v>
      </c>
      <c r="G49" s="371" t="s">
        <v>167</v>
      </c>
      <c r="H49" s="371" t="s">
        <v>159</v>
      </c>
      <c r="I49" s="371" t="s">
        <v>158</v>
      </c>
      <c r="J49" s="371" t="s">
        <v>157</v>
      </c>
      <c r="K49" s="371" t="s">
        <v>175</v>
      </c>
      <c r="L49" s="371" t="s">
        <v>155</v>
      </c>
      <c r="M49" s="371" t="s">
        <v>165</v>
      </c>
      <c r="N49" s="85" t="s">
        <v>154</v>
      </c>
      <c r="O49" s="85" t="s">
        <v>153</v>
      </c>
      <c r="P49" s="85" t="s">
        <v>152</v>
      </c>
      <c r="Q49" s="85" t="s">
        <v>151</v>
      </c>
      <c r="R49" s="85" t="s">
        <v>150</v>
      </c>
    </row>
    <row r="50" spans="2:19" x14ac:dyDescent="0.2">
      <c r="B50" s="372"/>
      <c r="C50" s="372"/>
      <c r="D50" s="372"/>
      <c r="E50" s="372"/>
      <c r="F50" s="372"/>
      <c r="G50" s="372"/>
      <c r="H50" s="372"/>
      <c r="I50" s="372"/>
      <c r="J50" s="372"/>
      <c r="K50" s="372"/>
      <c r="L50" s="372"/>
      <c r="M50" s="372"/>
      <c r="N50" s="87">
        <v>0.13</v>
      </c>
      <c r="O50" s="87">
        <v>0.1</v>
      </c>
      <c r="P50" s="88">
        <v>1.3299999999999999E-2</v>
      </c>
      <c r="Q50" s="88">
        <v>1.55E-2</v>
      </c>
      <c r="R50" s="87">
        <v>0.09</v>
      </c>
    </row>
    <row r="51" spans="2:19" x14ac:dyDescent="0.2">
      <c r="B51" s="368">
        <v>44317</v>
      </c>
      <c r="C51" s="89"/>
      <c r="D51" s="89" t="s">
        <v>163</v>
      </c>
      <c r="E51" s="90"/>
      <c r="F51" s="91"/>
      <c r="G51" s="89"/>
      <c r="H51" s="92">
        <v>1500</v>
      </c>
      <c r="I51" s="92"/>
      <c r="J51" s="92"/>
      <c r="K51" s="101">
        <v>406.25</v>
      </c>
      <c r="L51" s="92">
        <f>+SUM(H51:K51)</f>
        <v>1906.25</v>
      </c>
      <c r="M51" s="92"/>
      <c r="N51" s="92">
        <f>+L51*$N$6</f>
        <v>247.8125</v>
      </c>
      <c r="O51" s="92"/>
      <c r="P51" s="92"/>
      <c r="Q51" s="92"/>
      <c r="R51" s="92">
        <f>+L51*$R$6</f>
        <v>171.5625</v>
      </c>
    </row>
    <row r="52" spans="2:19" x14ac:dyDescent="0.2">
      <c r="B52" s="369"/>
      <c r="C52" s="89"/>
      <c r="D52" s="89" t="s">
        <v>162</v>
      </c>
      <c r="E52" s="90"/>
      <c r="F52" s="91"/>
      <c r="G52" s="89"/>
      <c r="H52" s="92">
        <v>930</v>
      </c>
      <c r="I52" s="92"/>
      <c r="J52" s="92"/>
      <c r="K52" s="101">
        <v>251.875</v>
      </c>
      <c r="L52" s="92">
        <f>+SUM(H52:K52)</f>
        <v>1181.875</v>
      </c>
      <c r="M52" s="92"/>
      <c r="N52" s="92">
        <f>+L52*$N$6</f>
        <v>153.64375000000001</v>
      </c>
      <c r="O52" s="92"/>
      <c r="P52" s="92"/>
      <c r="Q52" s="92"/>
      <c r="R52" s="92"/>
    </row>
    <row r="53" spans="2:19" x14ac:dyDescent="0.2">
      <c r="B53" s="369"/>
      <c r="C53" s="89"/>
      <c r="D53" s="89" t="s">
        <v>161</v>
      </c>
      <c r="E53" s="90"/>
      <c r="F53" s="91"/>
      <c r="G53" s="89"/>
      <c r="H53" s="92">
        <v>930</v>
      </c>
      <c r="I53" s="92"/>
      <c r="J53" s="92"/>
      <c r="K53" s="101">
        <v>251.875</v>
      </c>
      <c r="L53" s="92">
        <f>+SUM(H53:K53)</f>
        <v>1181.875</v>
      </c>
      <c r="M53" s="92"/>
      <c r="N53" s="92">
        <f>+L53*$N$6</f>
        <v>153.64375000000001</v>
      </c>
      <c r="O53" s="92"/>
      <c r="P53" s="92"/>
      <c r="Q53" s="92"/>
      <c r="R53" s="92">
        <f>+L53*$R$6</f>
        <v>106.36874999999999</v>
      </c>
    </row>
    <row r="54" spans="2:19" x14ac:dyDescent="0.2">
      <c r="B54" s="369"/>
      <c r="C54" s="89"/>
      <c r="D54" s="89" t="s">
        <v>160</v>
      </c>
      <c r="E54" s="90"/>
      <c r="F54" s="91"/>
      <c r="G54" s="89"/>
      <c r="H54" s="92">
        <v>930</v>
      </c>
      <c r="I54" s="92"/>
      <c r="J54" s="92"/>
      <c r="K54" s="101">
        <v>251.875</v>
      </c>
      <c r="L54" s="92">
        <f>+SUM(H54:K54)</f>
        <v>1181.875</v>
      </c>
      <c r="M54" s="92"/>
      <c r="N54" s="92">
        <f>+L54*$N$6</f>
        <v>153.64375000000001</v>
      </c>
      <c r="O54" s="92"/>
      <c r="P54" s="92"/>
      <c r="Q54" s="92"/>
      <c r="R54" s="92">
        <f>+L54*$R$6</f>
        <v>106.36874999999999</v>
      </c>
    </row>
    <row r="55" spans="2:19" x14ac:dyDescent="0.2">
      <c r="B55" s="370"/>
      <c r="C55" s="89"/>
      <c r="D55" s="89"/>
      <c r="E55" s="90"/>
      <c r="F55" s="91"/>
      <c r="G55" s="89"/>
      <c r="H55" s="96">
        <f>+SUM(H51:H54)</f>
        <v>4290</v>
      </c>
      <c r="I55" s="96">
        <f>+SUM(I51:I54)</f>
        <v>0</v>
      </c>
      <c r="J55" s="96">
        <f>+SUM(J51:J54)</f>
        <v>0</v>
      </c>
      <c r="K55" s="96">
        <f>+SUM(K51:K54)</f>
        <v>1161.875</v>
      </c>
      <c r="L55" s="96">
        <f>+SUM(L51:L54)</f>
        <v>5451.875</v>
      </c>
      <c r="M55" s="96"/>
      <c r="N55" s="96">
        <f>+SUM(N51:N54)</f>
        <v>708.74375000000009</v>
      </c>
      <c r="O55" s="96">
        <f>+SUM(O51:O54)</f>
        <v>0</v>
      </c>
      <c r="P55" s="96">
        <f>+SUM(P51:P54)</f>
        <v>0</v>
      </c>
      <c r="Q55" s="96">
        <f>+SUM(Q51:Q54)</f>
        <v>0</v>
      </c>
      <c r="R55" s="96">
        <f>+SUM(R51:R54)</f>
        <v>384.29999999999995</v>
      </c>
      <c r="S55" s="97">
        <f>+O55+P55+Q55</f>
        <v>0</v>
      </c>
    </row>
    <row r="56" spans="2:19" x14ac:dyDescent="0.2">
      <c r="M56" s="98" t="s">
        <v>174</v>
      </c>
      <c r="N56" s="98">
        <v>0</v>
      </c>
      <c r="O56" s="99">
        <v>0</v>
      </c>
      <c r="P56" s="99">
        <v>0</v>
      </c>
      <c r="Q56" s="99">
        <v>0</v>
      </c>
      <c r="R56" s="99">
        <v>84</v>
      </c>
      <c r="S56" s="97">
        <f>+L55-N55-S55</f>
        <v>4743.1312500000004</v>
      </c>
    </row>
    <row r="57" spans="2:19" x14ac:dyDescent="0.2">
      <c r="M57" s="98" t="s">
        <v>173</v>
      </c>
      <c r="N57" s="98">
        <v>0</v>
      </c>
      <c r="O57" s="99">
        <v>0</v>
      </c>
      <c r="P57" s="99">
        <v>0</v>
      </c>
      <c r="Q57" s="99">
        <v>0</v>
      </c>
      <c r="R57" s="99">
        <v>0</v>
      </c>
    </row>
    <row r="60" spans="2:19" x14ac:dyDescent="0.2">
      <c r="B60" s="371" t="s">
        <v>172</v>
      </c>
      <c r="C60" s="371" t="s">
        <v>171</v>
      </c>
      <c r="D60" s="371" t="s">
        <v>170</v>
      </c>
      <c r="E60" s="371" t="s">
        <v>169</v>
      </c>
      <c r="F60" s="371" t="s">
        <v>168</v>
      </c>
      <c r="G60" s="371" t="s">
        <v>167</v>
      </c>
      <c r="H60" s="371" t="s">
        <v>159</v>
      </c>
      <c r="I60" s="371" t="s">
        <v>158</v>
      </c>
      <c r="J60" s="371" t="s">
        <v>157</v>
      </c>
      <c r="K60" s="371" t="s">
        <v>166</v>
      </c>
      <c r="L60" s="371" t="s">
        <v>155</v>
      </c>
      <c r="M60" s="371" t="s">
        <v>165</v>
      </c>
      <c r="N60" s="85" t="s">
        <v>154</v>
      </c>
      <c r="O60" s="85" t="s">
        <v>153</v>
      </c>
      <c r="P60" s="85" t="s">
        <v>152</v>
      </c>
      <c r="Q60" s="85" t="s">
        <v>151</v>
      </c>
      <c r="R60" s="85" t="s">
        <v>150</v>
      </c>
    </row>
    <row r="61" spans="2:19" x14ac:dyDescent="0.2">
      <c r="B61" s="372"/>
      <c r="C61" s="372"/>
      <c r="D61" s="372"/>
      <c r="E61" s="372"/>
      <c r="F61" s="372"/>
      <c r="G61" s="372"/>
      <c r="H61" s="372"/>
      <c r="I61" s="372"/>
      <c r="J61" s="372"/>
      <c r="K61" s="372"/>
      <c r="L61" s="372"/>
      <c r="M61" s="372"/>
      <c r="N61" s="87">
        <v>0.13</v>
      </c>
      <c r="O61" s="87">
        <v>0.1</v>
      </c>
      <c r="P61" s="88">
        <v>1.3299999999999999E-2</v>
      </c>
      <c r="Q61" s="88">
        <v>1.55E-2</v>
      </c>
      <c r="R61" s="87">
        <v>0.09</v>
      </c>
    </row>
    <row r="62" spans="2:19" x14ac:dyDescent="0.2">
      <c r="B62" s="368">
        <v>44348</v>
      </c>
      <c r="C62" s="89"/>
      <c r="D62" s="89" t="s">
        <v>163</v>
      </c>
      <c r="E62" s="90"/>
      <c r="F62" s="91"/>
      <c r="G62" s="89"/>
      <c r="H62" s="92">
        <v>1500</v>
      </c>
      <c r="I62" s="92"/>
      <c r="J62" s="92"/>
      <c r="K62" s="92"/>
      <c r="L62" s="92">
        <f>+SUM(H62:K62)</f>
        <v>1500</v>
      </c>
      <c r="M62" s="92"/>
      <c r="N62" s="92">
        <f>+L62*$N$6</f>
        <v>195</v>
      </c>
      <c r="O62" s="92"/>
      <c r="P62" s="92"/>
      <c r="Q62" s="92"/>
      <c r="R62" s="92">
        <f>+L62*$R$6</f>
        <v>135</v>
      </c>
    </row>
    <row r="63" spans="2:19" x14ac:dyDescent="0.2">
      <c r="B63" s="369"/>
      <c r="C63" s="89"/>
      <c r="D63" s="89" t="s">
        <v>162</v>
      </c>
      <c r="E63" s="90"/>
      <c r="F63" s="91"/>
      <c r="G63" s="89"/>
      <c r="H63" s="92">
        <v>930</v>
      </c>
      <c r="I63" s="92"/>
      <c r="J63" s="92"/>
      <c r="K63" s="92"/>
      <c r="L63" s="92">
        <f>+SUM(H63:K63)</f>
        <v>930</v>
      </c>
      <c r="M63" s="92"/>
      <c r="N63" s="92">
        <f>+L63*$N$6</f>
        <v>120.9</v>
      </c>
      <c r="O63" s="92"/>
      <c r="P63" s="92"/>
      <c r="Q63" s="92"/>
      <c r="R63" s="92"/>
    </row>
    <row r="64" spans="2:19" x14ac:dyDescent="0.2">
      <c r="B64" s="369"/>
      <c r="C64" s="89"/>
      <c r="D64" s="89" t="s">
        <v>161</v>
      </c>
      <c r="E64" s="90"/>
      <c r="F64" s="91"/>
      <c r="G64" s="89"/>
      <c r="H64" s="92">
        <v>930</v>
      </c>
      <c r="I64" s="92"/>
      <c r="J64" s="92"/>
      <c r="K64" s="92"/>
      <c r="L64" s="92">
        <f>+SUM(H64:K64)</f>
        <v>930</v>
      </c>
      <c r="M64" s="92"/>
      <c r="N64" s="92">
        <f>+L64*$N$6</f>
        <v>120.9</v>
      </c>
      <c r="O64" s="92"/>
      <c r="P64" s="92"/>
      <c r="Q64" s="92"/>
      <c r="R64" s="92">
        <f>+L64*$R$6</f>
        <v>83.7</v>
      </c>
    </row>
    <row r="65" spans="2:19" x14ac:dyDescent="0.2">
      <c r="B65" s="369"/>
      <c r="C65" s="89"/>
      <c r="D65" s="89" t="s">
        <v>160</v>
      </c>
      <c r="E65" s="90"/>
      <c r="F65" s="91"/>
      <c r="G65" s="89"/>
      <c r="H65" s="92">
        <v>930</v>
      </c>
      <c r="I65" s="92"/>
      <c r="J65" s="92"/>
      <c r="K65" s="92"/>
      <c r="L65" s="92">
        <f>+SUM(H65:K65)</f>
        <v>930</v>
      </c>
      <c r="M65" s="92"/>
      <c r="N65" s="92">
        <f>+L65*$N$6</f>
        <v>120.9</v>
      </c>
      <c r="O65" s="92"/>
      <c r="P65" s="92"/>
      <c r="Q65" s="92"/>
      <c r="R65" s="92">
        <f>+L65*$R$6</f>
        <v>83.7</v>
      </c>
    </row>
    <row r="66" spans="2:19" x14ac:dyDescent="0.2">
      <c r="B66" s="370"/>
      <c r="C66" s="89"/>
      <c r="D66" s="89"/>
      <c r="E66" s="90"/>
      <c r="F66" s="91"/>
      <c r="G66" s="89"/>
      <c r="H66" s="96">
        <f>+SUM(H62:H65)</f>
        <v>4290</v>
      </c>
      <c r="I66" s="96">
        <f>+SUM(I62:I65)</f>
        <v>0</v>
      </c>
      <c r="J66" s="96">
        <f>+SUM(J62:J65)</f>
        <v>0</v>
      </c>
      <c r="K66" s="96">
        <f>+SUM(K62:K65)</f>
        <v>0</v>
      </c>
      <c r="L66" s="96">
        <f>+SUM(L62:L65)</f>
        <v>4290</v>
      </c>
      <c r="M66" s="96"/>
      <c r="N66" s="96">
        <f>+SUM(N62:N65)</f>
        <v>557.69999999999993</v>
      </c>
      <c r="O66" s="96">
        <f>+SUM(O62:O65)</f>
        <v>0</v>
      </c>
      <c r="P66" s="96">
        <f>+SUM(P62:P65)</f>
        <v>0</v>
      </c>
      <c r="Q66" s="96">
        <f>+SUM(Q62:Q65)</f>
        <v>0</v>
      </c>
      <c r="R66" s="96">
        <f>+SUM(R62:R65)</f>
        <v>302.39999999999998</v>
      </c>
      <c r="S66" s="97">
        <f>+O66+P66+Q66</f>
        <v>0</v>
      </c>
    </row>
    <row r="67" spans="2:19" x14ac:dyDescent="0.2">
      <c r="M67" s="98" t="s">
        <v>174</v>
      </c>
      <c r="N67" s="98">
        <v>0</v>
      </c>
      <c r="O67" s="99">
        <v>0</v>
      </c>
      <c r="P67" s="99">
        <v>0</v>
      </c>
      <c r="Q67" s="99">
        <v>0</v>
      </c>
      <c r="R67" s="99">
        <v>84</v>
      </c>
      <c r="S67" s="97">
        <f>+L66-N66-S66</f>
        <v>3732.3</v>
      </c>
    </row>
    <row r="68" spans="2:19" x14ac:dyDescent="0.2">
      <c r="M68" s="98" t="s">
        <v>173</v>
      </c>
      <c r="N68" s="98">
        <v>0</v>
      </c>
      <c r="O68" s="99">
        <v>0</v>
      </c>
      <c r="P68" s="99">
        <v>0</v>
      </c>
      <c r="Q68" s="99">
        <v>0</v>
      </c>
      <c r="R68" s="99">
        <v>0</v>
      </c>
    </row>
    <row r="71" spans="2:19" x14ac:dyDescent="0.2">
      <c r="B71" s="371" t="s">
        <v>172</v>
      </c>
      <c r="C71" s="371" t="s">
        <v>171</v>
      </c>
      <c r="D71" s="371" t="s">
        <v>170</v>
      </c>
      <c r="E71" s="371" t="s">
        <v>169</v>
      </c>
      <c r="F71" s="371" t="s">
        <v>168</v>
      </c>
      <c r="G71" s="371" t="s">
        <v>167</v>
      </c>
      <c r="H71" s="371" t="s">
        <v>159</v>
      </c>
      <c r="I71" s="371" t="s">
        <v>158</v>
      </c>
      <c r="J71" s="371" t="s">
        <v>157</v>
      </c>
      <c r="K71" s="371" t="s">
        <v>166</v>
      </c>
      <c r="L71" s="371" t="s">
        <v>155</v>
      </c>
      <c r="M71" s="371" t="s">
        <v>165</v>
      </c>
      <c r="N71" s="85" t="s">
        <v>154</v>
      </c>
      <c r="O71" s="85" t="s">
        <v>153</v>
      </c>
      <c r="P71" s="85" t="s">
        <v>152</v>
      </c>
      <c r="Q71" s="85" t="s">
        <v>151</v>
      </c>
      <c r="R71" s="85" t="s">
        <v>150</v>
      </c>
    </row>
    <row r="72" spans="2:19" x14ac:dyDescent="0.2">
      <c r="B72" s="372"/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87">
        <v>0.13</v>
      </c>
      <c r="O72" s="87">
        <v>0.1</v>
      </c>
      <c r="P72" s="88">
        <v>1.3299999999999999E-2</v>
      </c>
      <c r="Q72" s="88">
        <v>1.55E-2</v>
      </c>
      <c r="R72" s="87">
        <v>0.09</v>
      </c>
    </row>
    <row r="73" spans="2:19" x14ac:dyDescent="0.2">
      <c r="B73" s="368">
        <v>44378</v>
      </c>
      <c r="C73" s="89"/>
      <c r="D73" s="89" t="s">
        <v>163</v>
      </c>
      <c r="E73" s="90"/>
      <c r="F73" s="91"/>
      <c r="G73" s="89"/>
      <c r="H73" s="92">
        <v>1500</v>
      </c>
      <c r="I73" s="92"/>
      <c r="J73" s="92">
        <f>+H73/2</f>
        <v>750</v>
      </c>
      <c r="K73" s="92"/>
      <c r="L73" s="92">
        <f>+SUM(H73:K73)</f>
        <v>2250</v>
      </c>
      <c r="M73" s="92"/>
      <c r="N73" s="92">
        <f>+L73*$N$6</f>
        <v>292.5</v>
      </c>
      <c r="O73" s="92"/>
      <c r="P73" s="92"/>
      <c r="Q73" s="92"/>
      <c r="R73" s="92">
        <f>+L73*$R$6</f>
        <v>202.5</v>
      </c>
    </row>
    <row r="74" spans="2:19" x14ac:dyDescent="0.2">
      <c r="B74" s="369"/>
      <c r="C74" s="89"/>
      <c r="D74" s="89" t="s">
        <v>162</v>
      </c>
      <c r="E74" s="90"/>
      <c r="F74" s="91"/>
      <c r="G74" s="89"/>
      <c r="H74" s="92">
        <v>930</v>
      </c>
      <c r="I74" s="92"/>
      <c r="J74" s="92">
        <f>+H74/2</f>
        <v>465</v>
      </c>
      <c r="K74" s="92"/>
      <c r="L74" s="92">
        <f>+SUM(H74:K74)</f>
        <v>1395</v>
      </c>
      <c r="M74" s="92"/>
      <c r="N74" s="92">
        <f>+L74*$N$6</f>
        <v>181.35</v>
      </c>
      <c r="O74" s="92"/>
      <c r="P74" s="92"/>
      <c r="Q74" s="92"/>
      <c r="R74" s="92"/>
    </row>
    <row r="75" spans="2:19" x14ac:dyDescent="0.2">
      <c r="B75" s="369"/>
      <c r="C75" s="89"/>
      <c r="D75" s="89" t="s">
        <v>161</v>
      </c>
      <c r="E75" s="90"/>
      <c r="F75" s="91"/>
      <c r="G75" s="89"/>
      <c r="H75" s="92">
        <v>930</v>
      </c>
      <c r="I75" s="92"/>
      <c r="J75" s="92">
        <f>+H75/2</f>
        <v>465</v>
      </c>
      <c r="K75" s="92"/>
      <c r="L75" s="92">
        <f>+SUM(H75:K75)</f>
        <v>1395</v>
      </c>
      <c r="M75" s="92"/>
      <c r="N75" s="92">
        <f>+L75*$N$6</f>
        <v>181.35</v>
      </c>
      <c r="O75" s="92"/>
      <c r="P75" s="92"/>
      <c r="Q75" s="92"/>
      <c r="R75" s="92">
        <f>+L75*$R$6</f>
        <v>125.55</v>
      </c>
    </row>
    <row r="76" spans="2:19" x14ac:dyDescent="0.2">
      <c r="B76" s="369"/>
      <c r="C76" s="89"/>
      <c r="D76" s="89" t="s">
        <v>160</v>
      </c>
      <c r="E76" s="90"/>
      <c r="F76" s="91"/>
      <c r="G76" s="89"/>
      <c r="H76" s="92">
        <v>930</v>
      </c>
      <c r="I76" s="92"/>
      <c r="J76" s="92">
        <f>+H76/2</f>
        <v>465</v>
      </c>
      <c r="K76" s="92"/>
      <c r="L76" s="92">
        <f>+SUM(H76:K76)</f>
        <v>1395</v>
      </c>
      <c r="M76" s="92"/>
      <c r="N76" s="92">
        <f>+L76*$N$6</f>
        <v>181.35</v>
      </c>
      <c r="O76" s="92"/>
      <c r="P76" s="92"/>
      <c r="Q76" s="92"/>
      <c r="R76" s="92">
        <f>+L76*$R$6</f>
        <v>125.55</v>
      </c>
    </row>
    <row r="77" spans="2:19" x14ac:dyDescent="0.2">
      <c r="B77" s="370"/>
      <c r="C77" s="89"/>
      <c r="D77" s="89"/>
      <c r="E77" s="90"/>
      <c r="F77" s="91"/>
      <c r="G77" s="89"/>
      <c r="H77" s="96">
        <f>+SUM(H73:H76)</f>
        <v>4290</v>
      </c>
      <c r="I77" s="96">
        <f>+SUM(I73:I76)</f>
        <v>0</v>
      </c>
      <c r="J77" s="96">
        <f>+SUM(J73:J76)</f>
        <v>2145</v>
      </c>
      <c r="K77" s="96">
        <f>+SUM(K73:K76)</f>
        <v>0</v>
      </c>
      <c r="L77" s="96">
        <f>+SUM(L73:L76)</f>
        <v>6435</v>
      </c>
      <c r="M77" s="96"/>
      <c r="N77" s="96">
        <f>+SUM(N73:N76)</f>
        <v>836.55000000000007</v>
      </c>
      <c r="O77" s="96">
        <f>+SUM(O73:O76)</f>
        <v>0</v>
      </c>
      <c r="P77" s="96">
        <f>+SUM(P73:P76)</f>
        <v>0</v>
      </c>
      <c r="Q77" s="96">
        <f>+SUM(Q73:Q76)</f>
        <v>0</v>
      </c>
      <c r="R77" s="96">
        <f>+SUM(R73:R76)</f>
        <v>453.6</v>
      </c>
      <c r="S77" s="97">
        <f>+O77+P77+Q77</f>
        <v>0</v>
      </c>
    </row>
    <row r="78" spans="2:19" x14ac:dyDescent="0.2">
      <c r="M78" s="98" t="s">
        <v>174</v>
      </c>
      <c r="N78" s="98">
        <v>0</v>
      </c>
      <c r="O78" s="99">
        <v>0</v>
      </c>
      <c r="P78" s="99">
        <v>0</v>
      </c>
      <c r="Q78" s="99">
        <v>0</v>
      </c>
      <c r="R78" s="99">
        <v>84</v>
      </c>
      <c r="S78" s="97">
        <f>+L77-N77-S77</f>
        <v>5598.45</v>
      </c>
    </row>
    <row r="79" spans="2:19" x14ac:dyDescent="0.2">
      <c r="M79" s="98" t="s">
        <v>173</v>
      </c>
      <c r="N79" s="98">
        <v>0</v>
      </c>
      <c r="O79" s="99">
        <v>0</v>
      </c>
      <c r="P79" s="99">
        <v>0</v>
      </c>
      <c r="Q79" s="99">
        <v>0</v>
      </c>
      <c r="R79" s="99">
        <v>0</v>
      </c>
    </row>
    <row r="82" spans="2:19" x14ac:dyDescent="0.2">
      <c r="B82" s="371" t="s">
        <v>172</v>
      </c>
      <c r="C82" s="371" t="s">
        <v>171</v>
      </c>
      <c r="D82" s="371" t="s">
        <v>170</v>
      </c>
      <c r="E82" s="371" t="s">
        <v>169</v>
      </c>
      <c r="F82" s="371" t="s">
        <v>168</v>
      </c>
      <c r="G82" s="371" t="s">
        <v>167</v>
      </c>
      <c r="H82" s="371" t="s">
        <v>159</v>
      </c>
      <c r="I82" s="371" t="s">
        <v>158</v>
      </c>
      <c r="J82" s="371" t="s">
        <v>157</v>
      </c>
      <c r="K82" s="371" t="s">
        <v>166</v>
      </c>
      <c r="L82" s="371" t="s">
        <v>155</v>
      </c>
      <c r="M82" s="371" t="s">
        <v>165</v>
      </c>
      <c r="N82" s="85" t="s">
        <v>154</v>
      </c>
      <c r="O82" s="85" t="s">
        <v>153</v>
      </c>
      <c r="P82" s="85" t="s">
        <v>152</v>
      </c>
      <c r="Q82" s="85" t="s">
        <v>151</v>
      </c>
      <c r="R82" s="85" t="s">
        <v>150</v>
      </c>
    </row>
    <row r="83" spans="2:19" x14ac:dyDescent="0.2">
      <c r="B83" s="372"/>
      <c r="C83" s="372"/>
      <c r="D83" s="372"/>
      <c r="E83" s="372"/>
      <c r="F83" s="372"/>
      <c r="G83" s="372"/>
      <c r="H83" s="372"/>
      <c r="I83" s="372"/>
      <c r="J83" s="372"/>
      <c r="K83" s="372"/>
      <c r="L83" s="372"/>
      <c r="M83" s="372"/>
      <c r="N83" s="87">
        <v>0.13</v>
      </c>
      <c r="O83" s="87">
        <v>0.1</v>
      </c>
      <c r="P83" s="88">
        <v>1.3299999999999999E-2</v>
      </c>
      <c r="Q83" s="88">
        <v>1.55E-2</v>
      </c>
      <c r="R83" s="87">
        <v>0.09</v>
      </c>
    </row>
    <row r="84" spans="2:19" x14ac:dyDescent="0.2">
      <c r="B84" s="368">
        <v>44409</v>
      </c>
      <c r="C84" s="89"/>
      <c r="D84" s="89" t="s">
        <v>163</v>
      </c>
      <c r="E84" s="90"/>
      <c r="F84" s="91"/>
      <c r="G84" s="89"/>
      <c r="H84" s="92">
        <v>1500</v>
      </c>
      <c r="I84" s="92"/>
      <c r="J84" s="92"/>
      <c r="K84" s="92"/>
      <c r="L84" s="92">
        <f>+SUM(H84:K84)</f>
        <v>1500</v>
      </c>
      <c r="M84" s="92"/>
      <c r="N84" s="92">
        <f>+L84*$N$6</f>
        <v>195</v>
      </c>
      <c r="O84" s="92"/>
      <c r="P84" s="92"/>
      <c r="Q84" s="92"/>
      <c r="R84" s="92">
        <f>+L84*$R$6</f>
        <v>135</v>
      </c>
    </row>
    <row r="85" spans="2:19" x14ac:dyDescent="0.2">
      <c r="B85" s="369"/>
      <c r="C85" s="89"/>
      <c r="D85" s="89" t="s">
        <v>162</v>
      </c>
      <c r="E85" s="90"/>
      <c r="F85" s="91"/>
      <c r="G85" s="89"/>
      <c r="H85" s="92">
        <v>930</v>
      </c>
      <c r="I85" s="92"/>
      <c r="J85" s="92"/>
      <c r="K85" s="92"/>
      <c r="L85" s="92">
        <f>+SUM(H85:K85)</f>
        <v>930</v>
      </c>
      <c r="M85" s="92"/>
      <c r="N85" s="92">
        <f>+L85*$N$6</f>
        <v>120.9</v>
      </c>
      <c r="O85" s="92"/>
      <c r="P85" s="92"/>
      <c r="Q85" s="92"/>
      <c r="R85" s="92"/>
    </row>
    <row r="86" spans="2:19" x14ac:dyDescent="0.2">
      <c r="B86" s="369"/>
      <c r="C86" s="89"/>
      <c r="D86" s="89" t="s">
        <v>161</v>
      </c>
      <c r="E86" s="90"/>
      <c r="F86" s="91"/>
      <c r="G86" s="89"/>
      <c r="H86" s="92">
        <v>930</v>
      </c>
      <c r="I86" s="92"/>
      <c r="J86" s="92"/>
      <c r="K86" s="92"/>
      <c r="L86" s="92">
        <f>+SUM(H86:K86)</f>
        <v>930</v>
      </c>
      <c r="M86" s="92"/>
      <c r="N86" s="92">
        <f>+L86*$N$6</f>
        <v>120.9</v>
      </c>
      <c r="O86" s="92"/>
      <c r="P86" s="92"/>
      <c r="Q86" s="92"/>
      <c r="R86" s="92">
        <f>+L86*$R$6</f>
        <v>83.7</v>
      </c>
    </row>
    <row r="87" spans="2:19" x14ac:dyDescent="0.2">
      <c r="B87" s="369"/>
      <c r="C87" s="89"/>
      <c r="D87" s="89" t="s">
        <v>160</v>
      </c>
      <c r="E87" s="90"/>
      <c r="F87" s="91"/>
      <c r="G87" s="89"/>
      <c r="H87" s="92">
        <v>930</v>
      </c>
      <c r="I87" s="92"/>
      <c r="J87" s="92"/>
      <c r="K87" s="92"/>
      <c r="L87" s="92">
        <f>+SUM(H87:K87)</f>
        <v>930</v>
      </c>
      <c r="M87" s="92"/>
      <c r="N87" s="92">
        <f>+L87*$N$6</f>
        <v>120.9</v>
      </c>
      <c r="O87" s="92"/>
      <c r="P87" s="92"/>
      <c r="Q87" s="92"/>
      <c r="R87" s="92">
        <f>+L87*$R$6</f>
        <v>83.7</v>
      </c>
    </row>
    <row r="88" spans="2:19" x14ac:dyDescent="0.2">
      <c r="B88" s="370"/>
      <c r="C88" s="89"/>
      <c r="D88" s="89"/>
      <c r="E88" s="90"/>
      <c r="F88" s="91"/>
      <c r="G88" s="89"/>
      <c r="H88" s="96">
        <f>+SUM(H84:H87)</f>
        <v>4290</v>
      </c>
      <c r="I88" s="96">
        <f>+SUM(I84:I87)</f>
        <v>0</v>
      </c>
      <c r="J88" s="96">
        <f>+SUM(J84:J87)</f>
        <v>0</v>
      </c>
      <c r="K88" s="96">
        <f>+SUM(K84:K87)</f>
        <v>0</v>
      </c>
      <c r="L88" s="96">
        <f>+SUM(L84:L87)</f>
        <v>4290</v>
      </c>
      <c r="M88" s="96"/>
      <c r="N88" s="96">
        <f>+SUM(N84:N87)</f>
        <v>557.69999999999993</v>
      </c>
      <c r="O88" s="96">
        <f>+SUM(O84:O87)</f>
        <v>0</v>
      </c>
      <c r="P88" s="96">
        <f>+SUM(P84:P87)</f>
        <v>0</v>
      </c>
      <c r="Q88" s="96">
        <f>+SUM(Q84:Q87)</f>
        <v>0</v>
      </c>
      <c r="R88" s="96">
        <f>+SUM(R84:R87)</f>
        <v>302.39999999999998</v>
      </c>
      <c r="S88" s="97">
        <f>+O88+P88+Q88</f>
        <v>0</v>
      </c>
    </row>
    <row r="89" spans="2:19" x14ac:dyDescent="0.2">
      <c r="M89" s="98" t="s">
        <v>174</v>
      </c>
      <c r="N89" s="98">
        <v>0</v>
      </c>
      <c r="O89" s="99">
        <v>0</v>
      </c>
      <c r="P89" s="99">
        <v>0</v>
      </c>
      <c r="Q89" s="99">
        <v>0</v>
      </c>
      <c r="R89" s="99">
        <v>84</v>
      </c>
      <c r="S89" s="97">
        <f>+L88-N88-S88</f>
        <v>3732.3</v>
      </c>
    </row>
    <row r="90" spans="2:19" x14ac:dyDescent="0.2">
      <c r="M90" s="98" t="s">
        <v>173</v>
      </c>
      <c r="N90" s="98">
        <v>0</v>
      </c>
      <c r="O90" s="99">
        <v>0</v>
      </c>
      <c r="P90" s="99">
        <v>0</v>
      </c>
      <c r="Q90" s="99">
        <v>0</v>
      </c>
      <c r="R90" s="99">
        <v>0</v>
      </c>
    </row>
    <row r="93" spans="2:19" x14ac:dyDescent="0.2">
      <c r="B93" s="371" t="s">
        <v>172</v>
      </c>
      <c r="C93" s="371" t="s">
        <v>171</v>
      </c>
      <c r="D93" s="371" t="s">
        <v>170</v>
      </c>
      <c r="E93" s="371" t="s">
        <v>169</v>
      </c>
      <c r="F93" s="371" t="s">
        <v>168</v>
      </c>
      <c r="G93" s="371" t="s">
        <v>167</v>
      </c>
      <c r="H93" s="371" t="s">
        <v>159</v>
      </c>
      <c r="I93" s="371" t="s">
        <v>158</v>
      </c>
      <c r="J93" s="371" t="s">
        <v>157</v>
      </c>
      <c r="K93" s="371" t="s">
        <v>166</v>
      </c>
      <c r="L93" s="371" t="s">
        <v>155</v>
      </c>
      <c r="M93" s="371" t="s">
        <v>165</v>
      </c>
      <c r="N93" s="85" t="s">
        <v>154</v>
      </c>
      <c r="O93" s="85" t="s">
        <v>153</v>
      </c>
      <c r="P93" s="85" t="s">
        <v>152</v>
      </c>
      <c r="Q93" s="85" t="s">
        <v>151</v>
      </c>
      <c r="R93" s="85" t="s">
        <v>150</v>
      </c>
    </row>
    <row r="94" spans="2:19" x14ac:dyDescent="0.2">
      <c r="B94" s="372"/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87">
        <v>0.13</v>
      </c>
      <c r="O94" s="87">
        <v>0.1</v>
      </c>
      <c r="P94" s="88">
        <v>1.3299999999999999E-2</v>
      </c>
      <c r="Q94" s="88">
        <v>1.55E-2</v>
      </c>
      <c r="R94" s="87">
        <v>0.09</v>
      </c>
    </row>
    <row r="95" spans="2:19" x14ac:dyDescent="0.2">
      <c r="B95" s="368">
        <v>44440</v>
      </c>
      <c r="C95" s="89"/>
      <c r="D95" s="89" t="s">
        <v>163</v>
      </c>
      <c r="E95" s="90"/>
      <c r="F95" s="91"/>
      <c r="G95" s="89"/>
      <c r="H95" s="92">
        <v>1500</v>
      </c>
      <c r="I95" s="92"/>
      <c r="J95" s="92"/>
      <c r="K95" s="92"/>
      <c r="L95" s="92">
        <f>+SUM(H95:K95)</f>
        <v>1500</v>
      </c>
      <c r="M95" s="92"/>
      <c r="N95" s="92">
        <f>+L95*$N$6</f>
        <v>195</v>
      </c>
      <c r="O95" s="92"/>
      <c r="P95" s="92"/>
      <c r="Q95" s="92"/>
      <c r="R95" s="92">
        <f>+L95*$R$6</f>
        <v>135</v>
      </c>
    </row>
    <row r="96" spans="2:19" x14ac:dyDescent="0.2">
      <c r="B96" s="369"/>
      <c r="C96" s="89"/>
      <c r="D96" s="89" t="s">
        <v>162</v>
      </c>
      <c r="E96" s="90"/>
      <c r="F96" s="91"/>
      <c r="G96" s="89"/>
      <c r="H96" s="92">
        <v>930</v>
      </c>
      <c r="I96" s="92"/>
      <c r="J96" s="92"/>
      <c r="K96" s="92"/>
      <c r="L96" s="92">
        <f>+SUM(H96:K96)</f>
        <v>930</v>
      </c>
      <c r="M96" s="92"/>
      <c r="N96" s="92">
        <f>+L96*$N$6</f>
        <v>120.9</v>
      </c>
      <c r="O96" s="92"/>
      <c r="P96" s="92"/>
      <c r="Q96" s="92"/>
      <c r="R96" s="92"/>
    </row>
    <row r="97" spans="2:19" x14ac:dyDescent="0.2">
      <c r="B97" s="369"/>
      <c r="C97" s="89"/>
      <c r="D97" s="89" t="s">
        <v>161</v>
      </c>
      <c r="E97" s="90"/>
      <c r="F97" s="91"/>
      <c r="G97" s="89"/>
      <c r="H97" s="92">
        <v>930</v>
      </c>
      <c r="I97" s="92"/>
      <c r="J97" s="92"/>
      <c r="K97" s="92"/>
      <c r="L97" s="92">
        <f>+SUM(H97:K97)</f>
        <v>930</v>
      </c>
      <c r="M97" s="92"/>
      <c r="N97" s="92">
        <f>+L97*$N$6</f>
        <v>120.9</v>
      </c>
      <c r="O97" s="92"/>
      <c r="P97" s="92"/>
      <c r="Q97" s="92"/>
      <c r="R97" s="92">
        <f>+L97*$R$6</f>
        <v>83.7</v>
      </c>
    </row>
    <row r="98" spans="2:19" x14ac:dyDescent="0.2">
      <c r="B98" s="369"/>
      <c r="C98" s="89"/>
      <c r="D98" s="89" t="s">
        <v>160</v>
      </c>
      <c r="E98" s="90"/>
      <c r="F98" s="91"/>
      <c r="G98" s="89"/>
      <c r="H98" s="92">
        <v>930</v>
      </c>
      <c r="I98" s="92"/>
      <c r="J98" s="92"/>
      <c r="K98" s="92"/>
      <c r="L98" s="92">
        <f>+SUM(H98:K98)</f>
        <v>930</v>
      </c>
      <c r="M98" s="92"/>
      <c r="N98" s="92">
        <f>+L98*$N$6</f>
        <v>120.9</v>
      </c>
      <c r="O98" s="92"/>
      <c r="P98" s="92"/>
      <c r="Q98" s="92"/>
      <c r="R98" s="92">
        <f>+L98*$R$6</f>
        <v>83.7</v>
      </c>
    </row>
    <row r="99" spans="2:19" x14ac:dyDescent="0.2">
      <c r="B99" s="370"/>
      <c r="C99" s="89"/>
      <c r="D99" s="89"/>
      <c r="E99" s="90"/>
      <c r="F99" s="91"/>
      <c r="G99" s="89"/>
      <c r="H99" s="96">
        <f>+SUM(H95:H98)</f>
        <v>4290</v>
      </c>
      <c r="I99" s="96">
        <f>+SUM(I95:I98)</f>
        <v>0</v>
      </c>
      <c r="J99" s="96">
        <f>+SUM(J95:J98)</f>
        <v>0</v>
      </c>
      <c r="K99" s="96">
        <f>+SUM(K95:K98)</f>
        <v>0</v>
      </c>
      <c r="L99" s="96">
        <f>+SUM(L95:L98)</f>
        <v>4290</v>
      </c>
      <c r="M99" s="96"/>
      <c r="N99" s="96">
        <f>+SUM(N95:N98)</f>
        <v>557.69999999999993</v>
      </c>
      <c r="O99" s="96">
        <f>+SUM(O95:O98)</f>
        <v>0</v>
      </c>
      <c r="P99" s="96">
        <f>+SUM(P95:P98)</f>
        <v>0</v>
      </c>
      <c r="Q99" s="96">
        <f>+SUM(Q95:Q98)</f>
        <v>0</v>
      </c>
      <c r="R99" s="96">
        <f>+SUM(R95:R98)</f>
        <v>302.39999999999998</v>
      </c>
      <c r="S99" s="97">
        <f>+O99+P99+Q99</f>
        <v>0</v>
      </c>
    </row>
    <row r="100" spans="2:19" x14ac:dyDescent="0.2">
      <c r="M100" s="98" t="s">
        <v>174</v>
      </c>
      <c r="N100" s="98">
        <v>0</v>
      </c>
      <c r="O100" s="99">
        <v>0</v>
      </c>
      <c r="P100" s="99">
        <v>0</v>
      </c>
      <c r="Q100" s="99">
        <v>0</v>
      </c>
      <c r="R100" s="99">
        <v>84</v>
      </c>
      <c r="S100" s="97">
        <f>+L99-N99-S99</f>
        <v>3732.3</v>
      </c>
    </row>
    <row r="101" spans="2:19" x14ac:dyDescent="0.2">
      <c r="M101" s="98" t="s">
        <v>173</v>
      </c>
      <c r="N101" s="98">
        <v>0</v>
      </c>
      <c r="O101" s="99">
        <v>0</v>
      </c>
      <c r="P101" s="99">
        <v>0</v>
      </c>
      <c r="Q101" s="99">
        <v>0</v>
      </c>
      <c r="R101" s="99">
        <v>0</v>
      </c>
    </row>
    <row r="104" spans="2:19" x14ac:dyDescent="0.2">
      <c r="B104" s="371" t="s">
        <v>172</v>
      </c>
      <c r="C104" s="371" t="s">
        <v>171</v>
      </c>
      <c r="D104" s="371" t="s">
        <v>170</v>
      </c>
      <c r="E104" s="371" t="s">
        <v>169</v>
      </c>
      <c r="F104" s="371" t="s">
        <v>168</v>
      </c>
      <c r="G104" s="371" t="s">
        <v>167</v>
      </c>
      <c r="H104" s="371" t="s">
        <v>159</v>
      </c>
      <c r="I104" s="371" t="s">
        <v>158</v>
      </c>
      <c r="J104" s="371" t="s">
        <v>157</v>
      </c>
      <c r="K104" s="371" t="s">
        <v>166</v>
      </c>
      <c r="L104" s="371" t="s">
        <v>155</v>
      </c>
      <c r="M104" s="371" t="s">
        <v>165</v>
      </c>
      <c r="N104" s="85" t="s">
        <v>154</v>
      </c>
      <c r="O104" s="85" t="s">
        <v>153</v>
      </c>
      <c r="P104" s="85" t="s">
        <v>152</v>
      </c>
      <c r="Q104" s="85" t="s">
        <v>151</v>
      </c>
      <c r="R104" s="85" t="s">
        <v>150</v>
      </c>
    </row>
    <row r="105" spans="2:19" x14ac:dyDescent="0.2">
      <c r="B105" s="372"/>
      <c r="C105" s="372"/>
      <c r="D105" s="372"/>
      <c r="E105" s="372"/>
      <c r="F105" s="372"/>
      <c r="G105" s="372"/>
      <c r="H105" s="372"/>
      <c r="I105" s="372"/>
      <c r="J105" s="372"/>
      <c r="K105" s="372"/>
      <c r="L105" s="372"/>
      <c r="M105" s="372"/>
      <c r="N105" s="87">
        <v>0.13</v>
      </c>
      <c r="O105" s="87">
        <v>0.1</v>
      </c>
      <c r="P105" s="88">
        <v>1.3299999999999999E-2</v>
      </c>
      <c r="Q105" s="88">
        <v>1.55E-2</v>
      </c>
      <c r="R105" s="87">
        <v>0.09</v>
      </c>
    </row>
    <row r="106" spans="2:19" x14ac:dyDescent="0.2">
      <c r="B106" s="368">
        <v>44470</v>
      </c>
      <c r="C106" s="89"/>
      <c r="D106" s="89" t="s">
        <v>163</v>
      </c>
      <c r="E106" s="90"/>
      <c r="F106" s="91"/>
      <c r="G106" s="89"/>
      <c r="H106" s="92">
        <v>1500</v>
      </c>
      <c r="I106" s="92"/>
      <c r="J106" s="92"/>
      <c r="K106" s="92"/>
      <c r="L106" s="92">
        <f>+SUM(H106:K106)</f>
        <v>1500</v>
      </c>
      <c r="M106" s="92"/>
      <c r="N106" s="92">
        <f>+L106*$N$6</f>
        <v>195</v>
      </c>
      <c r="O106" s="92"/>
      <c r="P106" s="92"/>
      <c r="Q106" s="92"/>
      <c r="R106" s="92">
        <f>+L106*$R$6</f>
        <v>135</v>
      </c>
    </row>
    <row r="107" spans="2:19" x14ac:dyDescent="0.2">
      <c r="B107" s="369"/>
      <c r="C107" s="89"/>
      <c r="D107" s="89" t="s">
        <v>162</v>
      </c>
      <c r="E107" s="90"/>
      <c r="F107" s="91"/>
      <c r="G107" s="89"/>
      <c r="H107" s="92">
        <v>930</v>
      </c>
      <c r="I107" s="92"/>
      <c r="J107" s="92"/>
      <c r="K107" s="92"/>
      <c r="L107" s="92">
        <f>+SUM(H107:K107)</f>
        <v>930</v>
      </c>
      <c r="M107" s="92"/>
      <c r="N107" s="92">
        <f>+L107*$N$6</f>
        <v>120.9</v>
      </c>
      <c r="O107" s="92"/>
      <c r="P107" s="92"/>
      <c r="Q107" s="92"/>
      <c r="R107" s="92"/>
    </row>
    <row r="108" spans="2:19" x14ac:dyDescent="0.2">
      <c r="B108" s="369"/>
      <c r="C108" s="89"/>
      <c r="D108" s="89" t="s">
        <v>161</v>
      </c>
      <c r="E108" s="90"/>
      <c r="F108" s="91"/>
      <c r="G108" s="89"/>
      <c r="H108" s="92">
        <v>930</v>
      </c>
      <c r="I108" s="92"/>
      <c r="J108" s="92"/>
      <c r="K108" s="92"/>
      <c r="L108" s="92">
        <f>+SUM(H108:K108)</f>
        <v>930</v>
      </c>
      <c r="M108" s="92"/>
      <c r="N108" s="92">
        <f>+L108*$N$6</f>
        <v>120.9</v>
      </c>
      <c r="O108" s="92"/>
      <c r="P108" s="92"/>
      <c r="Q108" s="92"/>
      <c r="R108" s="92">
        <f>+L108*$R$6</f>
        <v>83.7</v>
      </c>
    </row>
    <row r="109" spans="2:19" x14ac:dyDescent="0.2">
      <c r="B109" s="369"/>
      <c r="C109" s="89"/>
      <c r="D109" s="89" t="s">
        <v>160</v>
      </c>
      <c r="E109" s="90"/>
      <c r="F109" s="91"/>
      <c r="G109" s="89"/>
      <c r="H109" s="92">
        <v>930</v>
      </c>
      <c r="I109" s="92"/>
      <c r="J109" s="92"/>
      <c r="K109" s="92"/>
      <c r="L109" s="92">
        <f>+SUM(H109:K109)</f>
        <v>930</v>
      </c>
      <c r="M109" s="92"/>
      <c r="N109" s="92">
        <f>+L109*$N$6</f>
        <v>120.9</v>
      </c>
      <c r="O109" s="92"/>
      <c r="P109" s="92"/>
      <c r="Q109" s="92"/>
      <c r="R109" s="92">
        <f>+L109*$R$6</f>
        <v>83.7</v>
      </c>
    </row>
    <row r="110" spans="2:19" x14ac:dyDescent="0.2">
      <c r="B110" s="370"/>
      <c r="C110" s="89"/>
      <c r="D110" s="89"/>
      <c r="E110" s="90"/>
      <c r="F110" s="91"/>
      <c r="G110" s="89"/>
      <c r="H110" s="96">
        <f>+SUM(H106:H109)</f>
        <v>4290</v>
      </c>
      <c r="I110" s="96">
        <f>+SUM(I106:I109)</f>
        <v>0</v>
      </c>
      <c r="J110" s="96">
        <f>+SUM(J106:J109)</f>
        <v>0</v>
      </c>
      <c r="K110" s="96">
        <f>+SUM(K106:K109)</f>
        <v>0</v>
      </c>
      <c r="L110" s="96">
        <f>+SUM(L106:L109)</f>
        <v>4290</v>
      </c>
      <c r="M110" s="96"/>
      <c r="N110" s="96">
        <f>+SUM(N106:N109)</f>
        <v>557.69999999999993</v>
      </c>
      <c r="O110" s="96">
        <f>+SUM(O106:O109)</f>
        <v>0</v>
      </c>
      <c r="P110" s="96">
        <f>+SUM(P106:P109)</f>
        <v>0</v>
      </c>
      <c r="Q110" s="96">
        <f>+SUM(Q106:Q109)</f>
        <v>0</v>
      </c>
      <c r="R110" s="96">
        <f>+SUM(R106:R109)</f>
        <v>302.39999999999998</v>
      </c>
      <c r="S110" s="97">
        <f>+O110+P110+Q110</f>
        <v>0</v>
      </c>
    </row>
    <row r="111" spans="2:19" x14ac:dyDescent="0.2">
      <c r="M111" s="98" t="s">
        <v>174</v>
      </c>
      <c r="N111" s="98">
        <v>0</v>
      </c>
      <c r="O111" s="99">
        <v>0</v>
      </c>
      <c r="P111" s="99">
        <v>0</v>
      </c>
      <c r="Q111" s="99">
        <v>0</v>
      </c>
      <c r="R111" s="99">
        <v>84</v>
      </c>
      <c r="S111" s="97">
        <f>+L110-N110-S110</f>
        <v>3732.3</v>
      </c>
    </row>
    <row r="112" spans="2:19" x14ac:dyDescent="0.2">
      <c r="M112" s="98" t="s">
        <v>173</v>
      </c>
      <c r="N112" s="98">
        <v>0</v>
      </c>
      <c r="O112" s="99">
        <v>0</v>
      </c>
      <c r="P112" s="99">
        <v>0</v>
      </c>
      <c r="Q112" s="99">
        <v>0</v>
      </c>
      <c r="R112" s="99">
        <v>0</v>
      </c>
    </row>
    <row r="115" spans="2:19" x14ac:dyDescent="0.2">
      <c r="B115" s="371" t="s">
        <v>172</v>
      </c>
      <c r="C115" s="371" t="s">
        <v>171</v>
      </c>
      <c r="D115" s="371" t="s">
        <v>170</v>
      </c>
      <c r="E115" s="371" t="s">
        <v>169</v>
      </c>
      <c r="F115" s="371" t="s">
        <v>168</v>
      </c>
      <c r="G115" s="371" t="s">
        <v>167</v>
      </c>
      <c r="H115" s="371" t="s">
        <v>159</v>
      </c>
      <c r="I115" s="371" t="s">
        <v>158</v>
      </c>
      <c r="J115" s="371" t="s">
        <v>157</v>
      </c>
      <c r="K115" s="371" t="s">
        <v>156</v>
      </c>
      <c r="L115" s="371" t="s">
        <v>155</v>
      </c>
      <c r="M115" s="371" t="s">
        <v>165</v>
      </c>
      <c r="N115" s="85" t="s">
        <v>154</v>
      </c>
      <c r="O115" s="85" t="s">
        <v>153</v>
      </c>
      <c r="P115" s="85" t="s">
        <v>152</v>
      </c>
      <c r="Q115" s="85" t="s">
        <v>151</v>
      </c>
      <c r="R115" s="85" t="s">
        <v>150</v>
      </c>
    </row>
    <row r="116" spans="2:19" x14ac:dyDescent="0.2">
      <c r="B116" s="372"/>
      <c r="C116" s="372"/>
      <c r="D116" s="372"/>
      <c r="E116" s="372"/>
      <c r="F116" s="372"/>
      <c r="G116" s="372"/>
      <c r="H116" s="372"/>
      <c r="I116" s="372"/>
      <c r="J116" s="372"/>
      <c r="K116" s="372"/>
      <c r="L116" s="372"/>
      <c r="M116" s="372"/>
      <c r="N116" s="87">
        <v>0.13</v>
      </c>
      <c r="O116" s="87">
        <v>0.1</v>
      </c>
      <c r="P116" s="88">
        <v>1.3299999999999999E-2</v>
      </c>
      <c r="Q116" s="88">
        <v>1.55E-2</v>
      </c>
      <c r="R116" s="87">
        <v>0.09</v>
      </c>
    </row>
    <row r="117" spans="2:19" x14ac:dyDescent="0.2">
      <c r="B117" s="368">
        <v>44501</v>
      </c>
      <c r="C117" s="89"/>
      <c r="D117" s="89" t="s">
        <v>163</v>
      </c>
      <c r="E117" s="90"/>
      <c r="F117" s="91"/>
      <c r="G117" s="89"/>
      <c r="H117" s="92">
        <v>1500</v>
      </c>
      <c r="I117" s="92"/>
      <c r="J117" s="92"/>
      <c r="K117" s="92">
        <v>406.25</v>
      </c>
      <c r="L117" s="92">
        <f>+SUM(H117:K117)</f>
        <v>1906.25</v>
      </c>
      <c r="M117" s="92"/>
      <c r="N117" s="92">
        <f>+L117*$N$6</f>
        <v>247.8125</v>
      </c>
      <c r="O117" s="92"/>
      <c r="P117" s="92"/>
      <c r="Q117" s="92"/>
      <c r="R117" s="92">
        <f>+L117*$R$6</f>
        <v>171.5625</v>
      </c>
    </row>
    <row r="118" spans="2:19" x14ac:dyDescent="0.2">
      <c r="B118" s="369"/>
      <c r="C118" s="89"/>
      <c r="D118" s="89" t="s">
        <v>162</v>
      </c>
      <c r="E118" s="90"/>
      <c r="F118" s="91"/>
      <c r="G118" s="89"/>
      <c r="H118" s="92">
        <v>930</v>
      </c>
      <c r="I118" s="92"/>
      <c r="J118" s="92"/>
      <c r="K118" s="92">
        <v>251.875</v>
      </c>
      <c r="L118" s="92">
        <f>+SUM(H118:K118)</f>
        <v>1181.875</v>
      </c>
      <c r="M118" s="92"/>
      <c r="N118" s="92">
        <f>+L118*$N$6</f>
        <v>153.64375000000001</v>
      </c>
      <c r="O118" s="92"/>
      <c r="P118" s="92"/>
      <c r="Q118" s="92"/>
      <c r="R118" s="92">
        <f>+L118*$R$6</f>
        <v>106.36874999999999</v>
      </c>
    </row>
    <row r="119" spans="2:19" x14ac:dyDescent="0.2">
      <c r="B119" s="369"/>
      <c r="C119" s="89"/>
      <c r="D119" s="89" t="s">
        <v>161</v>
      </c>
      <c r="E119" s="90"/>
      <c r="F119" s="91"/>
      <c r="G119" s="89"/>
      <c r="H119" s="92">
        <v>930</v>
      </c>
      <c r="I119" s="92"/>
      <c r="J119" s="92"/>
      <c r="K119" s="92">
        <v>251.875</v>
      </c>
      <c r="L119" s="92">
        <f>+SUM(H119:K119)</f>
        <v>1181.875</v>
      </c>
      <c r="M119" s="92"/>
      <c r="N119" s="92">
        <f>+L119*$N$6</f>
        <v>153.64375000000001</v>
      </c>
      <c r="O119" s="92"/>
      <c r="P119" s="92"/>
      <c r="Q119" s="92"/>
      <c r="R119" s="92"/>
    </row>
    <row r="120" spans="2:19" x14ac:dyDescent="0.2">
      <c r="B120" s="369"/>
      <c r="C120" s="89"/>
      <c r="D120" s="89" t="s">
        <v>160</v>
      </c>
      <c r="E120" s="90"/>
      <c r="F120" s="91"/>
      <c r="G120" s="89"/>
      <c r="H120" s="92">
        <v>930</v>
      </c>
      <c r="I120" s="92"/>
      <c r="J120" s="92"/>
      <c r="K120" s="92">
        <v>251.875</v>
      </c>
      <c r="L120" s="92">
        <f>+SUM(H120:K120)</f>
        <v>1181.875</v>
      </c>
      <c r="M120" s="92"/>
      <c r="N120" s="92">
        <f>+L120*$N$6</f>
        <v>153.64375000000001</v>
      </c>
      <c r="O120" s="92"/>
      <c r="P120" s="92"/>
      <c r="Q120" s="92"/>
      <c r="R120" s="92">
        <f>+L120*$R$6</f>
        <v>106.36874999999999</v>
      </c>
    </row>
    <row r="121" spans="2:19" x14ac:dyDescent="0.2">
      <c r="B121" s="370"/>
      <c r="C121" s="89"/>
      <c r="D121" s="89"/>
      <c r="E121" s="90"/>
      <c r="F121" s="91"/>
      <c r="G121" s="89"/>
      <c r="H121" s="96">
        <f>+SUM(H117:H120)</f>
        <v>4290</v>
      </c>
      <c r="I121" s="96">
        <f>+SUM(I117:I120)</f>
        <v>0</v>
      </c>
      <c r="J121" s="96">
        <f>+SUM(J117:J120)</f>
        <v>0</v>
      </c>
      <c r="K121" s="96">
        <f>+SUM(K117:K120)</f>
        <v>1161.875</v>
      </c>
      <c r="L121" s="96">
        <f>+SUM(L117:L120)</f>
        <v>5451.875</v>
      </c>
      <c r="M121" s="96"/>
      <c r="N121" s="96">
        <f>+SUM(N117:N120)</f>
        <v>708.74375000000009</v>
      </c>
      <c r="O121" s="96">
        <f>+SUM(O117:O120)</f>
        <v>0</v>
      </c>
      <c r="P121" s="96">
        <f>+SUM(P117:P120)</f>
        <v>0</v>
      </c>
      <c r="Q121" s="96">
        <f>+SUM(Q117:Q120)</f>
        <v>0</v>
      </c>
      <c r="R121" s="96">
        <f>+SUM(R117:R120)</f>
        <v>384.29999999999995</v>
      </c>
      <c r="S121" s="97">
        <f>+O121+P121+Q121</f>
        <v>0</v>
      </c>
    </row>
    <row r="122" spans="2:19" x14ac:dyDescent="0.2">
      <c r="M122" s="98" t="s">
        <v>174</v>
      </c>
      <c r="N122" s="98">
        <v>0</v>
      </c>
      <c r="O122" s="99">
        <v>0</v>
      </c>
      <c r="P122" s="99">
        <v>0</v>
      </c>
      <c r="Q122" s="99">
        <v>0</v>
      </c>
      <c r="R122" s="99">
        <v>84</v>
      </c>
      <c r="S122" s="97">
        <f>+L121-N121-S121</f>
        <v>4743.1312500000004</v>
      </c>
    </row>
    <row r="123" spans="2:19" x14ac:dyDescent="0.2">
      <c r="M123" s="98" t="s">
        <v>173</v>
      </c>
      <c r="N123" s="98">
        <v>0</v>
      </c>
      <c r="O123" s="99">
        <v>0</v>
      </c>
      <c r="P123" s="99">
        <v>0</v>
      </c>
      <c r="Q123" s="99">
        <v>0</v>
      </c>
      <c r="R123" s="99">
        <v>0</v>
      </c>
    </row>
    <row r="126" spans="2:19" x14ac:dyDescent="0.2">
      <c r="B126" s="371" t="s">
        <v>172</v>
      </c>
      <c r="C126" s="371" t="s">
        <v>171</v>
      </c>
      <c r="D126" s="371" t="s">
        <v>170</v>
      </c>
      <c r="E126" s="371" t="s">
        <v>169</v>
      </c>
      <c r="F126" s="371" t="s">
        <v>168</v>
      </c>
      <c r="G126" s="371" t="s">
        <v>167</v>
      </c>
      <c r="H126" s="371" t="s">
        <v>159</v>
      </c>
      <c r="I126" s="371" t="s">
        <v>158</v>
      </c>
      <c r="J126" s="371" t="s">
        <v>157</v>
      </c>
      <c r="K126" s="371" t="s">
        <v>166</v>
      </c>
      <c r="L126" s="371" t="s">
        <v>155</v>
      </c>
      <c r="M126" s="371" t="s">
        <v>165</v>
      </c>
      <c r="N126" s="85" t="s">
        <v>154</v>
      </c>
      <c r="O126" s="85" t="s">
        <v>153</v>
      </c>
      <c r="P126" s="85" t="s">
        <v>152</v>
      </c>
      <c r="Q126" s="85" t="s">
        <v>151</v>
      </c>
      <c r="R126" s="85" t="s">
        <v>150</v>
      </c>
    </row>
    <row r="127" spans="2:19" x14ac:dyDescent="0.2">
      <c r="B127" s="372"/>
      <c r="C127" s="372"/>
      <c r="D127" s="372"/>
      <c r="E127" s="372"/>
      <c r="F127" s="372"/>
      <c r="G127" s="372"/>
      <c r="H127" s="372"/>
      <c r="I127" s="372"/>
      <c r="J127" s="372"/>
      <c r="K127" s="372"/>
      <c r="L127" s="372"/>
      <c r="M127" s="372"/>
      <c r="N127" s="87">
        <v>0.13</v>
      </c>
      <c r="O127" s="87">
        <v>0.1</v>
      </c>
      <c r="P127" s="88">
        <v>1.3299999999999999E-2</v>
      </c>
      <c r="Q127" s="88">
        <v>1.55E-2</v>
      </c>
      <c r="R127" s="87">
        <v>0.09</v>
      </c>
    </row>
    <row r="128" spans="2:19" x14ac:dyDescent="0.2">
      <c r="B128" s="368">
        <v>44531</v>
      </c>
      <c r="C128" s="89"/>
      <c r="D128" s="89" t="s">
        <v>163</v>
      </c>
      <c r="E128" s="90"/>
      <c r="F128" s="91"/>
      <c r="G128" s="89"/>
      <c r="H128" s="92">
        <v>1500</v>
      </c>
      <c r="I128" s="92"/>
      <c r="J128" s="92">
        <f>+H128/2</f>
        <v>750</v>
      </c>
      <c r="K128" s="92"/>
      <c r="L128" s="92">
        <f>+SUM(H128:K128)</f>
        <v>2250</v>
      </c>
      <c r="M128" s="92"/>
      <c r="N128" s="92">
        <f>+L128*$N$6</f>
        <v>292.5</v>
      </c>
      <c r="O128" s="92"/>
      <c r="P128" s="92"/>
      <c r="Q128" s="92"/>
      <c r="R128" s="92">
        <f>+L128*$R$6</f>
        <v>202.5</v>
      </c>
    </row>
    <row r="129" spans="2:19" x14ac:dyDescent="0.2">
      <c r="B129" s="369"/>
      <c r="C129" s="89"/>
      <c r="D129" s="89" t="s">
        <v>162</v>
      </c>
      <c r="E129" s="90"/>
      <c r="F129" s="91"/>
      <c r="G129" s="89"/>
      <c r="H129" s="92">
        <v>930</v>
      </c>
      <c r="I129" s="92"/>
      <c r="J129" s="92">
        <f>+H129/2</f>
        <v>465</v>
      </c>
      <c r="K129" s="92"/>
      <c r="L129" s="92">
        <f>+SUM(H129:K129)</f>
        <v>1395</v>
      </c>
      <c r="M129" s="92"/>
      <c r="N129" s="92">
        <f>+L129*$N$6</f>
        <v>181.35</v>
      </c>
      <c r="O129" s="92"/>
      <c r="P129" s="92"/>
      <c r="Q129" s="92"/>
      <c r="R129" s="92">
        <f>+L129*$R$6</f>
        <v>125.55</v>
      </c>
    </row>
    <row r="130" spans="2:19" x14ac:dyDescent="0.2">
      <c r="B130" s="369"/>
      <c r="C130" s="89"/>
      <c r="D130" s="89" t="s">
        <v>161</v>
      </c>
      <c r="E130" s="90"/>
      <c r="F130" s="91"/>
      <c r="G130" s="89"/>
      <c r="H130" s="92">
        <v>930</v>
      </c>
      <c r="I130" s="92"/>
      <c r="J130" s="92">
        <f>+H130/2</f>
        <v>465</v>
      </c>
      <c r="K130" s="92"/>
      <c r="L130" s="92">
        <f>+SUM(H130:K130)</f>
        <v>1395</v>
      </c>
      <c r="M130" s="92"/>
      <c r="N130" s="92">
        <f>+L130*$N$6</f>
        <v>181.35</v>
      </c>
      <c r="O130" s="92"/>
      <c r="P130" s="92"/>
      <c r="Q130" s="92"/>
      <c r="R130" s="92"/>
    </row>
    <row r="131" spans="2:19" x14ac:dyDescent="0.2">
      <c r="B131" s="369"/>
      <c r="C131" s="89"/>
      <c r="D131" s="89" t="s">
        <v>160</v>
      </c>
      <c r="E131" s="90"/>
      <c r="F131" s="91"/>
      <c r="G131" s="89"/>
      <c r="H131" s="92">
        <v>930</v>
      </c>
      <c r="I131" s="92"/>
      <c r="J131" s="92">
        <f>+H131/2</f>
        <v>465</v>
      </c>
      <c r="K131" s="92"/>
      <c r="L131" s="92">
        <f>+SUM(H131:K131)</f>
        <v>1395</v>
      </c>
      <c r="M131" s="92"/>
      <c r="N131" s="92">
        <f>+L131*$N$6</f>
        <v>181.35</v>
      </c>
      <c r="O131" s="92"/>
      <c r="P131" s="92"/>
      <c r="Q131" s="92"/>
      <c r="R131" s="92">
        <f>+L131*$R$6</f>
        <v>125.55</v>
      </c>
    </row>
    <row r="132" spans="2:19" x14ac:dyDescent="0.2">
      <c r="B132" s="370"/>
      <c r="C132" s="89"/>
      <c r="D132" s="89"/>
      <c r="E132" s="90"/>
      <c r="F132" s="91"/>
      <c r="G132" s="89"/>
      <c r="H132" s="96">
        <f>+SUM(H128:H131)</f>
        <v>4290</v>
      </c>
      <c r="I132" s="96">
        <f>+SUM(I128:I131)</f>
        <v>0</v>
      </c>
      <c r="J132" s="96">
        <f>+SUM(J128:J131)</f>
        <v>2145</v>
      </c>
      <c r="K132" s="96">
        <f>+SUM(K128:K131)</f>
        <v>0</v>
      </c>
      <c r="L132" s="96">
        <f>+SUM(L128:L131)</f>
        <v>6435</v>
      </c>
      <c r="M132" s="96"/>
      <c r="N132" s="96">
        <f>+SUM(N128:N131)</f>
        <v>836.55000000000007</v>
      </c>
      <c r="O132" s="96">
        <f>+SUM(O128:O131)</f>
        <v>0</v>
      </c>
      <c r="P132" s="96">
        <f>+SUM(P128:P131)</f>
        <v>0</v>
      </c>
      <c r="Q132" s="96">
        <f>+SUM(Q128:Q131)</f>
        <v>0</v>
      </c>
      <c r="R132" s="96">
        <f>+SUM(R128:R131)</f>
        <v>453.6</v>
      </c>
      <c r="S132" s="97">
        <f>+O132+P132+Q132</f>
        <v>0</v>
      </c>
    </row>
    <row r="133" spans="2:19" x14ac:dyDescent="0.2">
      <c r="M133" s="98" t="s">
        <v>174</v>
      </c>
      <c r="N133" s="98">
        <v>0</v>
      </c>
      <c r="O133" s="99">
        <v>0</v>
      </c>
      <c r="P133" s="99">
        <v>0</v>
      </c>
      <c r="Q133" s="99">
        <v>0</v>
      </c>
      <c r="R133" s="99">
        <v>84</v>
      </c>
      <c r="S133" s="97">
        <f>+L132-N132-S132</f>
        <v>5598.45</v>
      </c>
    </row>
    <row r="134" spans="2:19" x14ac:dyDescent="0.2">
      <c r="M134" s="98" t="s">
        <v>173</v>
      </c>
      <c r="N134" s="98">
        <v>0</v>
      </c>
      <c r="O134" s="99">
        <v>0</v>
      </c>
      <c r="P134" s="99">
        <v>0</v>
      </c>
      <c r="Q134" s="99">
        <v>0</v>
      </c>
      <c r="R134" s="99">
        <v>0</v>
      </c>
    </row>
    <row r="137" spans="2:19" x14ac:dyDescent="0.2">
      <c r="B137" s="371" t="s">
        <v>172</v>
      </c>
      <c r="C137" s="371" t="s">
        <v>171</v>
      </c>
      <c r="D137" s="371" t="s">
        <v>170</v>
      </c>
      <c r="E137" s="371" t="s">
        <v>169</v>
      </c>
      <c r="F137" s="371" t="s">
        <v>168</v>
      </c>
      <c r="G137" s="371" t="s">
        <v>167</v>
      </c>
      <c r="H137" s="371" t="s">
        <v>159</v>
      </c>
      <c r="I137" s="371" t="s">
        <v>158</v>
      </c>
      <c r="J137" s="371" t="s">
        <v>157</v>
      </c>
      <c r="K137" s="371" t="s">
        <v>166</v>
      </c>
      <c r="L137" s="371" t="s">
        <v>155</v>
      </c>
      <c r="M137" s="371" t="s">
        <v>165</v>
      </c>
      <c r="N137" s="85" t="s">
        <v>154</v>
      </c>
      <c r="O137" s="85" t="s">
        <v>153</v>
      </c>
      <c r="P137" s="85" t="s">
        <v>152</v>
      </c>
      <c r="Q137" s="85" t="s">
        <v>151</v>
      </c>
      <c r="R137" s="85" t="s">
        <v>150</v>
      </c>
    </row>
    <row r="138" spans="2:19" x14ac:dyDescent="0.2">
      <c r="B138" s="372"/>
      <c r="C138" s="372"/>
      <c r="D138" s="372"/>
      <c r="E138" s="372"/>
      <c r="F138" s="372"/>
      <c r="G138" s="372"/>
      <c r="H138" s="372"/>
      <c r="I138" s="372"/>
      <c r="J138" s="372"/>
      <c r="K138" s="372"/>
      <c r="L138" s="372"/>
      <c r="M138" s="372"/>
      <c r="N138" s="87">
        <v>0.13</v>
      </c>
      <c r="O138" s="87">
        <v>0.1</v>
      </c>
      <c r="P138" s="88">
        <v>1.3299999999999999E-2</v>
      </c>
      <c r="Q138" s="88">
        <v>1.55E-2</v>
      </c>
      <c r="R138" s="87">
        <v>0.09</v>
      </c>
    </row>
    <row r="139" spans="2:19" x14ac:dyDescent="0.2">
      <c r="B139" s="368" t="s">
        <v>164</v>
      </c>
      <c r="C139" s="89"/>
      <c r="D139" s="89" t="s">
        <v>163</v>
      </c>
      <c r="E139" s="90"/>
      <c r="F139" s="91"/>
      <c r="G139" s="89"/>
      <c r="H139" s="92">
        <f t="shared" ref="H139:R139" si="0">+H7+H18+H40+H51+H62+H73+H84+H95+H106+H117+H128+H29</f>
        <v>18000</v>
      </c>
      <c r="I139" s="92">
        <f t="shared" si="0"/>
        <v>0</v>
      </c>
      <c r="J139" s="92">
        <f t="shared" si="0"/>
        <v>1500</v>
      </c>
      <c r="K139" s="92">
        <f t="shared" si="0"/>
        <v>812.5</v>
      </c>
      <c r="L139" s="92">
        <f t="shared" si="0"/>
        <v>20312.5</v>
      </c>
      <c r="M139" s="92">
        <f t="shared" si="0"/>
        <v>0</v>
      </c>
      <c r="N139" s="92">
        <f t="shared" si="0"/>
        <v>2640.625</v>
      </c>
      <c r="O139" s="92">
        <f t="shared" si="0"/>
        <v>0</v>
      </c>
      <c r="P139" s="92">
        <f t="shared" si="0"/>
        <v>0</v>
      </c>
      <c r="Q139" s="92">
        <f t="shared" si="0"/>
        <v>0</v>
      </c>
      <c r="R139" s="92">
        <f t="shared" si="0"/>
        <v>1828.125</v>
      </c>
    </row>
    <row r="140" spans="2:19" x14ac:dyDescent="0.2">
      <c r="B140" s="369"/>
      <c r="C140" s="89"/>
      <c r="D140" s="89" t="s">
        <v>162</v>
      </c>
      <c r="E140" s="90"/>
      <c r="F140" s="91"/>
      <c r="G140" s="89"/>
      <c r="H140" s="92">
        <f t="shared" ref="H140:R140" si="1">+H8+H19+H41+H52+H63+H74+H85+H96+H107+H118+H129+H30</f>
        <v>11160</v>
      </c>
      <c r="I140" s="92">
        <f t="shared" si="1"/>
        <v>0</v>
      </c>
      <c r="J140" s="92">
        <f t="shared" si="1"/>
        <v>930</v>
      </c>
      <c r="K140" s="92">
        <f t="shared" si="1"/>
        <v>503.75</v>
      </c>
      <c r="L140" s="92">
        <f t="shared" si="1"/>
        <v>12593.75</v>
      </c>
      <c r="M140" s="92">
        <f t="shared" si="1"/>
        <v>0</v>
      </c>
      <c r="N140" s="92">
        <f t="shared" si="1"/>
        <v>1637.1875</v>
      </c>
      <c r="O140" s="92">
        <f t="shared" si="1"/>
        <v>0</v>
      </c>
      <c r="P140" s="92">
        <f t="shared" si="1"/>
        <v>0</v>
      </c>
      <c r="Q140" s="92">
        <f t="shared" si="1"/>
        <v>0</v>
      </c>
      <c r="R140" s="92">
        <f t="shared" si="1"/>
        <v>399.31875000000002</v>
      </c>
    </row>
    <row r="141" spans="2:19" x14ac:dyDescent="0.2">
      <c r="B141" s="369"/>
      <c r="C141" s="89"/>
      <c r="D141" s="89" t="s">
        <v>161</v>
      </c>
      <c r="E141" s="90"/>
      <c r="F141" s="91"/>
      <c r="G141" s="89"/>
      <c r="H141" s="92">
        <f t="shared" ref="H141:R141" si="2">+H9+H20+H42+H53+H64+H75+H86+H97+H108+H119+H130+H31</f>
        <v>11160</v>
      </c>
      <c r="I141" s="92">
        <f t="shared" si="2"/>
        <v>0</v>
      </c>
      <c r="J141" s="92">
        <f t="shared" si="2"/>
        <v>930</v>
      </c>
      <c r="K141" s="92">
        <f t="shared" si="2"/>
        <v>503.75</v>
      </c>
      <c r="L141" s="92">
        <f t="shared" si="2"/>
        <v>12593.75</v>
      </c>
      <c r="M141" s="92">
        <f t="shared" si="2"/>
        <v>0</v>
      </c>
      <c r="N141" s="92">
        <f t="shared" si="2"/>
        <v>1637.1875</v>
      </c>
      <c r="O141" s="92">
        <f t="shared" si="2"/>
        <v>0</v>
      </c>
      <c r="P141" s="92">
        <f t="shared" si="2"/>
        <v>0</v>
      </c>
      <c r="Q141" s="92">
        <f t="shared" si="2"/>
        <v>0</v>
      </c>
      <c r="R141" s="92">
        <f t="shared" si="2"/>
        <v>901.51875000000018</v>
      </c>
    </row>
    <row r="142" spans="2:19" x14ac:dyDescent="0.2">
      <c r="B142" s="369"/>
      <c r="C142" s="89"/>
      <c r="D142" s="89" t="s">
        <v>160</v>
      </c>
      <c r="E142" s="90"/>
      <c r="F142" s="91"/>
      <c r="G142" s="89"/>
      <c r="H142" s="92">
        <f t="shared" ref="H142:R142" si="3">+H10+H21+H43+H54+H65+H76+H87+H98+H109+H120+H131+H32</f>
        <v>11160</v>
      </c>
      <c r="I142" s="92">
        <f t="shared" si="3"/>
        <v>0</v>
      </c>
      <c r="J142" s="92">
        <f t="shared" si="3"/>
        <v>930</v>
      </c>
      <c r="K142" s="92">
        <f t="shared" si="3"/>
        <v>503.75</v>
      </c>
      <c r="L142" s="92">
        <f t="shared" si="3"/>
        <v>12593.75</v>
      </c>
      <c r="M142" s="92">
        <f t="shared" si="3"/>
        <v>0</v>
      </c>
      <c r="N142" s="92">
        <f t="shared" si="3"/>
        <v>1637.1875</v>
      </c>
      <c r="O142" s="92">
        <f t="shared" si="3"/>
        <v>0</v>
      </c>
      <c r="P142" s="92">
        <f t="shared" si="3"/>
        <v>0</v>
      </c>
      <c r="Q142" s="92">
        <f t="shared" si="3"/>
        <v>0</v>
      </c>
      <c r="R142" s="92">
        <f t="shared" si="3"/>
        <v>1133.4375000000002</v>
      </c>
    </row>
    <row r="143" spans="2:19" x14ac:dyDescent="0.2">
      <c r="B143" s="370"/>
      <c r="C143" s="89"/>
      <c r="D143" s="89"/>
      <c r="E143" s="90"/>
      <c r="F143" s="91"/>
      <c r="G143" s="89"/>
      <c r="H143" s="96">
        <f>+SUM(H139:H142)</f>
        <v>51480</v>
      </c>
      <c r="I143" s="96">
        <f>+SUM(I139:I142)</f>
        <v>0</v>
      </c>
      <c r="J143" s="96">
        <f>+SUM(J139:J142)</f>
        <v>4290</v>
      </c>
      <c r="K143" s="96">
        <f>+SUM(K139:K142)</f>
        <v>2323.75</v>
      </c>
      <c r="L143" s="96">
        <f>+SUM(L139:L142)</f>
        <v>58093.75</v>
      </c>
      <c r="M143" s="96"/>
      <c r="N143" s="96">
        <f>+SUM(N139:N142)</f>
        <v>7552.1875</v>
      </c>
      <c r="O143" s="96">
        <f>+SUM(O139:O142)</f>
        <v>0</v>
      </c>
      <c r="P143" s="96">
        <f>+SUM(P139:P142)</f>
        <v>0</v>
      </c>
      <c r="Q143" s="96">
        <f>+SUM(Q139:Q142)</f>
        <v>0</v>
      </c>
      <c r="R143" s="96">
        <f>+SUM(R139:R142)</f>
        <v>4262.4000000000005</v>
      </c>
    </row>
    <row r="153" spans="7:19" ht="12.75" customHeight="1" x14ac:dyDescent="0.2">
      <c r="H153" s="371" t="s">
        <v>159</v>
      </c>
      <c r="I153" s="371" t="s">
        <v>158</v>
      </c>
      <c r="J153" s="371" t="s">
        <v>157</v>
      </c>
      <c r="K153" s="371" t="s">
        <v>156</v>
      </c>
      <c r="L153" s="371" t="s">
        <v>155</v>
      </c>
      <c r="N153" s="85" t="s">
        <v>154</v>
      </c>
      <c r="O153" s="85" t="s">
        <v>153</v>
      </c>
      <c r="P153" s="85" t="s">
        <v>152</v>
      </c>
      <c r="Q153" s="85" t="s">
        <v>151</v>
      </c>
      <c r="R153" s="85" t="s">
        <v>150</v>
      </c>
    </row>
    <row r="154" spans="7:19" x14ac:dyDescent="0.2">
      <c r="H154" s="372"/>
      <c r="I154" s="372"/>
      <c r="J154" s="372"/>
      <c r="K154" s="372"/>
      <c r="L154" s="372"/>
      <c r="N154" s="87">
        <v>0.13</v>
      </c>
      <c r="O154" s="87">
        <v>0.1</v>
      </c>
      <c r="P154" s="88">
        <v>1.3299999999999999E-2</v>
      </c>
      <c r="Q154" s="88">
        <v>1.55E-2</v>
      </c>
      <c r="R154" s="87">
        <v>0.09</v>
      </c>
    </row>
    <row r="155" spans="7:19" x14ac:dyDescent="0.2">
      <c r="G155" s="83" t="s">
        <v>149</v>
      </c>
      <c r="H155" s="92">
        <f>+H11+H22+H33+H44+H55+H66+H77+H88+H99+H110+H121+H132</f>
        <v>51480</v>
      </c>
      <c r="I155" s="92">
        <f>+I11+I22+I33+I44+I55+I66+I77+I88+I99+I110+I121+I132</f>
        <v>0</v>
      </c>
      <c r="J155" s="92">
        <f>+J11+J22+J33+J44+J55+J66+J77+J88+J99+J110+J121+J132</f>
        <v>4290</v>
      </c>
      <c r="K155" s="92">
        <f>+K11+K22+K33+K44+K55+K66+K77+K88+K99+K110+K121+K132</f>
        <v>2323.75</v>
      </c>
      <c r="L155" s="92">
        <f>+L11+L22+L33+L44+L55+L66+L77+L88+L99+L110+L121+L132</f>
        <v>58093.75</v>
      </c>
      <c r="N155" s="92">
        <f>+N11+N22+N33+N44+N55+N66+N77+N88+N99+N110+N121+N132</f>
        <v>7552.1874999999991</v>
      </c>
      <c r="O155" s="92">
        <f>+O11+O22+O33+O44+O55+O66+O77+O88+O99+O110+O121+O132</f>
        <v>0</v>
      </c>
      <c r="P155" s="92">
        <f>+P11+P22+P33+P44+P55+P66+P77+P88+P99+P110+P121+P132</f>
        <v>0</v>
      </c>
      <c r="Q155" s="92">
        <f>+Q11+Q22+Q33+Q44+Q55+Q66+Q77+Q88+Q99+Q110+Q121+Q132</f>
        <v>0</v>
      </c>
      <c r="R155" s="92">
        <f>+R11+R22+R33+R44+R55+R66+R77+R88+R99+R110+R121+R132</f>
        <v>4262.4000000000005</v>
      </c>
      <c r="S155" s="97">
        <f>+O155+P155+Q155</f>
        <v>0</v>
      </c>
    </row>
    <row r="156" spans="7:19" x14ac:dyDescent="0.2">
      <c r="L156" s="101"/>
      <c r="S156" s="97">
        <f>+L155-N155-S155</f>
        <v>50541.5625</v>
      </c>
    </row>
  </sheetData>
  <mergeCells count="174">
    <mergeCell ref="K115:K116"/>
    <mergeCell ref="L115:L116"/>
    <mergeCell ref="B128:B132"/>
    <mergeCell ref="H153:H154"/>
    <mergeCell ref="I153:I154"/>
    <mergeCell ref="J153:J154"/>
    <mergeCell ref="K153:K154"/>
    <mergeCell ref="L153:L154"/>
    <mergeCell ref="B137:B138"/>
    <mergeCell ref="C137:C138"/>
    <mergeCell ref="D137:D138"/>
    <mergeCell ref="E137:E138"/>
    <mergeCell ref="M115:M116"/>
    <mergeCell ref="B117:B121"/>
    <mergeCell ref="B126:B127"/>
    <mergeCell ref="C126:C127"/>
    <mergeCell ref="D126:D127"/>
    <mergeCell ref="E126:E127"/>
    <mergeCell ref="F126:F127"/>
    <mergeCell ref="M126:M127"/>
    <mergeCell ref="B106:B110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G126:G127"/>
    <mergeCell ref="H126:H127"/>
    <mergeCell ref="I126:I127"/>
    <mergeCell ref="J126:J127"/>
    <mergeCell ref="K126:K127"/>
    <mergeCell ref="L126:L127"/>
    <mergeCell ref="J115:J116"/>
    <mergeCell ref="M93:M94"/>
    <mergeCell ref="B95:B99"/>
    <mergeCell ref="B104:B105"/>
    <mergeCell ref="C104:C105"/>
    <mergeCell ref="D104:D105"/>
    <mergeCell ref="E104:E105"/>
    <mergeCell ref="F104:F105"/>
    <mergeCell ref="G93:G94"/>
    <mergeCell ref="M104:M105"/>
    <mergeCell ref="G104:G105"/>
    <mergeCell ref="H104:H105"/>
    <mergeCell ref="I104:I105"/>
    <mergeCell ref="J104:J105"/>
    <mergeCell ref="K104:K105"/>
    <mergeCell ref="L104:L105"/>
    <mergeCell ref="B84:B88"/>
    <mergeCell ref="B93:B94"/>
    <mergeCell ref="C93:C94"/>
    <mergeCell ref="D93:D94"/>
    <mergeCell ref="E93:E94"/>
    <mergeCell ref="F93:F94"/>
    <mergeCell ref="J93:J94"/>
    <mergeCell ref="K93:K94"/>
    <mergeCell ref="L93:L94"/>
    <mergeCell ref="G82:G83"/>
    <mergeCell ref="H82:H83"/>
    <mergeCell ref="H93:H94"/>
    <mergeCell ref="I93:I94"/>
    <mergeCell ref="J71:J72"/>
    <mergeCell ref="K71:K72"/>
    <mergeCell ref="L71:L72"/>
    <mergeCell ref="I82:I83"/>
    <mergeCell ref="J82:J83"/>
    <mergeCell ref="I71:I72"/>
    <mergeCell ref="K82:K83"/>
    <mergeCell ref="L82:L83"/>
    <mergeCell ref="B73:B77"/>
    <mergeCell ref="B82:B83"/>
    <mergeCell ref="C82:C83"/>
    <mergeCell ref="D82:D83"/>
    <mergeCell ref="E82:E83"/>
    <mergeCell ref="F82:F83"/>
    <mergeCell ref="M71:M72"/>
    <mergeCell ref="M60:M61"/>
    <mergeCell ref="G60:G61"/>
    <mergeCell ref="H60:H61"/>
    <mergeCell ref="I60:I61"/>
    <mergeCell ref="J60:J61"/>
    <mergeCell ref="K60:K61"/>
    <mergeCell ref="L60:L61"/>
    <mergeCell ref="G71:G72"/>
    <mergeCell ref="H71:H72"/>
    <mergeCell ref="B62:B66"/>
    <mergeCell ref="B71:B72"/>
    <mergeCell ref="C71:C72"/>
    <mergeCell ref="D71:D72"/>
    <mergeCell ref="E71:E72"/>
    <mergeCell ref="F71:F72"/>
    <mergeCell ref="F60:F61"/>
    <mergeCell ref="M82:M83"/>
    <mergeCell ref="F38:F39"/>
    <mergeCell ref="L49:L50"/>
    <mergeCell ref="M49:M50"/>
    <mergeCell ref="B51:B55"/>
    <mergeCell ref="B60:B61"/>
    <mergeCell ref="C60:C61"/>
    <mergeCell ref="D60:D61"/>
    <mergeCell ref="E60:E61"/>
    <mergeCell ref="H49:H50"/>
    <mergeCell ref="I49:I50"/>
    <mergeCell ref="J49:J50"/>
    <mergeCell ref="K49:K50"/>
    <mergeCell ref="B49:B50"/>
    <mergeCell ref="C49:C50"/>
    <mergeCell ref="D49:D50"/>
    <mergeCell ref="E49:E50"/>
    <mergeCell ref="F49:F50"/>
    <mergeCell ref="G49:G50"/>
    <mergeCell ref="K38:K39"/>
    <mergeCell ref="J38:J39"/>
    <mergeCell ref="G38:G39"/>
    <mergeCell ref="I27:I28"/>
    <mergeCell ref="L16:L17"/>
    <mergeCell ref="H38:H39"/>
    <mergeCell ref="I38:I39"/>
    <mergeCell ref="K5:K6"/>
    <mergeCell ref="L5:L6"/>
    <mergeCell ref="M5:M6"/>
    <mergeCell ref="B7:B11"/>
    <mergeCell ref="B16:B17"/>
    <mergeCell ref="C16:C17"/>
    <mergeCell ref="D16:D17"/>
    <mergeCell ref="E16:E17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C38:C39"/>
    <mergeCell ref="D38:D39"/>
    <mergeCell ref="E38:E39"/>
    <mergeCell ref="M137:M138"/>
    <mergeCell ref="B139:B143"/>
    <mergeCell ref="F137:F138"/>
    <mergeCell ref="G137:G138"/>
    <mergeCell ref="H137:H138"/>
    <mergeCell ref="I137:I138"/>
    <mergeCell ref="J137:J138"/>
    <mergeCell ref="K137:K138"/>
    <mergeCell ref="L137:L138"/>
    <mergeCell ref="B29:B33"/>
    <mergeCell ref="B38:B39"/>
    <mergeCell ref="B40:B44"/>
    <mergeCell ref="M16:M17"/>
    <mergeCell ref="B18:B22"/>
    <mergeCell ref="B27:B28"/>
    <mergeCell ref="C27:C28"/>
    <mergeCell ref="D27:D28"/>
    <mergeCell ref="E27:E28"/>
    <mergeCell ref="F27:F28"/>
    <mergeCell ref="G27:G28"/>
    <mergeCell ref="G16:G17"/>
    <mergeCell ref="H16:H17"/>
    <mergeCell ref="I16:I17"/>
    <mergeCell ref="J16:J17"/>
    <mergeCell ref="L38:L39"/>
    <mergeCell ref="M38:M39"/>
    <mergeCell ref="F16:F17"/>
    <mergeCell ref="K16:K17"/>
    <mergeCell ref="J27:J28"/>
    <mergeCell ref="K27:K28"/>
    <mergeCell ref="L27:L28"/>
    <mergeCell ref="M27:M28"/>
    <mergeCell ref="H27:H28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CCCF-FAB4-4498-8AC4-730F9D363163}">
  <dimension ref="A1:S1004"/>
  <sheetViews>
    <sheetView showGridLines="0" topLeftCell="A4" zoomScaleNormal="100" workbookViewId="0">
      <selection activeCell="I21" sqref="I21"/>
    </sheetView>
  </sheetViews>
  <sheetFormatPr baseColWidth="10" defaultColWidth="14.42578125" defaultRowHeight="15" customHeight="1" x14ac:dyDescent="0.25"/>
  <cols>
    <col min="1" max="1" width="9.140625" style="40" customWidth="1"/>
    <col min="2" max="2" width="36.28515625" style="40" customWidth="1"/>
    <col min="3" max="7" width="14.28515625" style="40" customWidth="1"/>
    <col min="8" max="19" width="10" style="40" customWidth="1"/>
    <col min="20" max="16384" width="14.42578125" style="40"/>
  </cols>
  <sheetData>
    <row r="1" spans="1:19" ht="12.75" customHeight="1" x14ac:dyDescent="0.25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15" customHeight="1" x14ac:dyDescent="0.25">
      <c r="A2" s="61"/>
      <c r="B2" s="375"/>
      <c r="C2" s="374"/>
      <c r="D2" s="374"/>
      <c r="E2" s="374"/>
      <c r="F2" s="374"/>
      <c r="G2" s="374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19" ht="15" customHeight="1" x14ac:dyDescent="0.25">
      <c r="A3" s="61"/>
      <c r="B3" s="375" t="s">
        <v>212</v>
      </c>
      <c r="C3" s="374"/>
      <c r="D3" s="374"/>
      <c r="E3" s="374"/>
      <c r="F3" s="374"/>
      <c r="G3" s="374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</row>
    <row r="4" spans="1:19" ht="13.5" customHeight="1" x14ac:dyDescent="0.2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</row>
    <row r="5" spans="1:19" ht="12.75" customHeight="1" x14ac:dyDescent="0.25">
      <c r="A5" s="61"/>
      <c r="B5" s="364" t="s">
        <v>66</v>
      </c>
      <c r="C5" s="366" t="s">
        <v>148</v>
      </c>
      <c r="D5" s="366" t="s">
        <v>147</v>
      </c>
      <c r="E5" s="382" t="s">
        <v>146</v>
      </c>
      <c r="F5" s="381"/>
      <c r="G5" s="382" t="s">
        <v>24</v>
      </c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</row>
    <row r="6" spans="1:19" ht="13.5" customHeight="1" x14ac:dyDescent="0.25">
      <c r="A6" s="61"/>
      <c r="B6" s="377"/>
      <c r="C6" s="381"/>
      <c r="D6" s="381"/>
      <c r="E6" s="62" t="s">
        <v>145</v>
      </c>
      <c r="F6" s="62" t="s">
        <v>144</v>
      </c>
      <c r="G6" s="38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1:19" ht="13.5" customHeight="1" x14ac:dyDescent="0.25">
      <c r="A7" s="61"/>
      <c r="B7" s="63" t="s">
        <v>211</v>
      </c>
      <c r="C7" s="64"/>
      <c r="D7" s="64"/>
      <c r="E7" s="64"/>
      <c r="F7" s="64"/>
      <c r="G7" s="64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</row>
    <row r="8" spans="1:19" ht="12.75" customHeight="1" x14ac:dyDescent="0.25">
      <c r="A8" s="61"/>
      <c r="B8" s="65" t="s">
        <v>200</v>
      </c>
      <c r="C8" s="64">
        <f>+(Sueldos!L139+Sueldos!R139)/12</f>
        <v>1845.0520833333333</v>
      </c>
      <c r="D8" s="64">
        <v>1</v>
      </c>
      <c r="E8" s="64">
        <f t="shared" ref="E8:E16" si="0">+C8*D8</f>
        <v>1845.0520833333333</v>
      </c>
      <c r="F8" s="64"/>
      <c r="G8" s="64">
        <f t="shared" ref="G8:G16" si="1">+E8+F8</f>
        <v>1845.0520833333333</v>
      </c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</row>
    <row r="9" spans="1:19" ht="12.75" customHeight="1" x14ac:dyDescent="0.25">
      <c r="A9" s="61"/>
      <c r="B9" s="65" t="s">
        <v>210</v>
      </c>
      <c r="C9" s="64">
        <v>450</v>
      </c>
      <c r="D9" s="64">
        <v>1</v>
      </c>
      <c r="E9" s="64">
        <f t="shared" si="0"/>
        <v>450</v>
      </c>
      <c r="F9" s="64"/>
      <c r="G9" s="64">
        <f t="shared" si="1"/>
        <v>450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</row>
    <row r="10" spans="1:19" ht="12.75" customHeight="1" x14ac:dyDescent="0.25">
      <c r="A10" s="61"/>
      <c r="B10" s="65" t="s">
        <v>209</v>
      </c>
      <c r="C10" s="64">
        <v>850</v>
      </c>
      <c r="D10" s="64">
        <v>1</v>
      </c>
      <c r="E10" s="64">
        <f t="shared" si="0"/>
        <v>850</v>
      </c>
      <c r="F10" s="64"/>
      <c r="G10" s="64">
        <f t="shared" si="1"/>
        <v>850</v>
      </c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1:19" ht="12.75" customHeight="1" x14ac:dyDescent="0.25">
      <c r="A11" s="61"/>
      <c r="B11" s="65" t="s">
        <v>208</v>
      </c>
      <c r="C11" s="64">
        <v>116.66666666666667</v>
      </c>
      <c r="D11" s="64">
        <v>1</v>
      </c>
      <c r="E11" s="64">
        <f t="shared" si="0"/>
        <v>116.66666666666667</v>
      </c>
      <c r="F11" s="64"/>
      <c r="G11" s="64">
        <f t="shared" si="1"/>
        <v>116.66666666666667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1:19" ht="12.75" customHeight="1" x14ac:dyDescent="0.25">
      <c r="A12" s="61"/>
      <c r="B12" s="65" t="s">
        <v>207</v>
      </c>
      <c r="C12" s="64">
        <v>500</v>
      </c>
      <c r="D12" s="64">
        <v>1</v>
      </c>
      <c r="E12" s="64">
        <f t="shared" si="0"/>
        <v>500</v>
      </c>
      <c r="F12" s="64"/>
      <c r="G12" s="64">
        <f t="shared" si="1"/>
        <v>500</v>
      </c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</row>
    <row r="13" spans="1:19" ht="12.75" customHeight="1" x14ac:dyDescent="0.25">
      <c r="A13" s="61"/>
      <c r="B13" s="65" t="s">
        <v>206</v>
      </c>
      <c r="C13" s="64">
        <v>25</v>
      </c>
      <c r="D13" s="64">
        <v>1</v>
      </c>
      <c r="E13" s="64">
        <f t="shared" si="0"/>
        <v>25</v>
      </c>
      <c r="F13" s="64"/>
      <c r="G13" s="64">
        <f t="shared" si="1"/>
        <v>25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</row>
    <row r="14" spans="1:19" ht="12.75" customHeight="1" x14ac:dyDescent="0.25">
      <c r="A14" s="61"/>
      <c r="B14" s="65" t="s">
        <v>205</v>
      </c>
      <c r="C14" s="64">
        <v>20.833333333333332</v>
      </c>
      <c r="D14" s="64">
        <v>1</v>
      </c>
      <c r="E14" s="64">
        <f t="shared" si="0"/>
        <v>20.833333333333332</v>
      </c>
      <c r="F14" s="64"/>
      <c r="G14" s="64">
        <f t="shared" si="1"/>
        <v>20.833333333333332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</row>
    <row r="15" spans="1:19" ht="12.75" customHeight="1" x14ac:dyDescent="0.25">
      <c r="A15" s="61"/>
      <c r="B15" s="65" t="s">
        <v>204</v>
      </c>
      <c r="C15" s="64">
        <v>104.16666666666667</v>
      </c>
      <c r="D15" s="64">
        <v>1</v>
      </c>
      <c r="E15" s="64">
        <f t="shared" si="0"/>
        <v>104.16666666666667</v>
      </c>
      <c r="F15" s="64"/>
      <c r="G15" s="64">
        <f t="shared" si="1"/>
        <v>104.16666666666667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</row>
    <row r="16" spans="1:19" ht="13.5" customHeight="1" x14ac:dyDescent="0.25">
      <c r="A16" s="61"/>
      <c r="B16" s="65" t="s">
        <v>203</v>
      </c>
      <c r="C16" s="64">
        <v>139.66101694915258</v>
      </c>
      <c r="D16" s="64">
        <v>1</v>
      </c>
      <c r="E16" s="64">
        <f t="shared" si="0"/>
        <v>139.66101694915258</v>
      </c>
      <c r="F16" s="64"/>
      <c r="G16" s="64">
        <f t="shared" si="1"/>
        <v>139.66101694915258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</row>
    <row r="17" spans="1:19" ht="13.5" customHeight="1" x14ac:dyDescent="0.25">
      <c r="A17" s="61"/>
      <c r="B17" s="66" t="s">
        <v>202</v>
      </c>
      <c r="C17" s="64"/>
      <c r="D17" s="64"/>
      <c r="E17" s="67">
        <f>SUM(E8:E16)</f>
        <v>4051.3797669491523</v>
      </c>
      <c r="F17" s="67">
        <f>SUM(F8:F16)</f>
        <v>0</v>
      </c>
      <c r="G17" s="67">
        <f>SUM(G8:G16)</f>
        <v>4051.3797669491523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</row>
    <row r="18" spans="1:19" ht="12.75" customHeight="1" x14ac:dyDescent="0.25">
      <c r="A18" s="61"/>
      <c r="B18" s="65" t="s">
        <v>201</v>
      </c>
      <c r="C18" s="64"/>
      <c r="D18" s="64"/>
      <c r="E18" s="64"/>
      <c r="F18" s="64"/>
      <c r="G18" s="64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</row>
    <row r="19" spans="1:19" ht="12.75" customHeight="1" x14ac:dyDescent="0.25">
      <c r="A19" s="61"/>
      <c r="B19" s="68" t="s">
        <v>200</v>
      </c>
      <c r="C19" s="64">
        <f>+(SUM(Sueldos!L140:L142)+SUM(Sueldos!R140:R142))/12</f>
        <v>3351.2937500000003</v>
      </c>
      <c r="D19" s="64">
        <v>1</v>
      </c>
      <c r="E19" s="64">
        <f>+C19*D19</f>
        <v>3351.2937500000003</v>
      </c>
      <c r="F19" s="64"/>
      <c r="G19" s="64">
        <f>+E19+F19</f>
        <v>3351.2937500000003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</row>
    <row r="20" spans="1:19" ht="12.75" customHeight="1" x14ac:dyDescent="0.25">
      <c r="A20" s="61"/>
      <c r="B20" s="68" t="s">
        <v>199</v>
      </c>
      <c r="C20" s="64">
        <v>0</v>
      </c>
      <c r="D20" s="64">
        <v>1</v>
      </c>
      <c r="E20" s="64">
        <f>+C20*D20</f>
        <v>0</v>
      </c>
      <c r="F20" s="64"/>
      <c r="G20" s="64">
        <f>+E20+F20</f>
        <v>0</v>
      </c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</row>
    <row r="21" spans="1:19" ht="12.75" customHeight="1" x14ac:dyDescent="0.25">
      <c r="A21" s="61"/>
      <c r="B21" s="68" t="s">
        <v>198</v>
      </c>
      <c r="C21" s="64">
        <v>0</v>
      </c>
      <c r="D21" s="64">
        <v>1</v>
      </c>
      <c r="E21" s="64">
        <f>+C21*D21</f>
        <v>0</v>
      </c>
      <c r="F21" s="64"/>
      <c r="G21" s="64">
        <f>+E21+F21</f>
        <v>0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</row>
    <row r="22" spans="1:19" ht="12.75" customHeight="1" x14ac:dyDescent="0.25">
      <c r="A22" s="61"/>
      <c r="B22" s="68" t="s">
        <v>197</v>
      </c>
      <c r="C22" s="64">
        <v>0</v>
      </c>
      <c r="D22" s="64">
        <v>1</v>
      </c>
      <c r="E22" s="64">
        <f>+C22*D22</f>
        <v>0</v>
      </c>
      <c r="F22" s="64"/>
      <c r="G22" s="64">
        <f>+E22+F22</f>
        <v>0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1:19" ht="13.5" customHeight="1" x14ac:dyDescent="0.25">
      <c r="A23" s="61"/>
      <c r="B23" s="68" t="s">
        <v>196</v>
      </c>
      <c r="C23" s="64">
        <f>+F42/12</f>
        <v>282.22222222222223</v>
      </c>
      <c r="D23" s="64">
        <v>1</v>
      </c>
      <c r="E23" s="64">
        <f>+C23*D23</f>
        <v>282.22222222222223</v>
      </c>
      <c r="F23" s="64"/>
      <c r="G23" s="64">
        <f>+E23+F23</f>
        <v>282.22222222222223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1:19" ht="13.5" customHeight="1" x14ac:dyDescent="0.25">
      <c r="A24" s="61"/>
      <c r="B24" s="66" t="s">
        <v>195</v>
      </c>
      <c r="C24" s="64"/>
      <c r="D24" s="64"/>
      <c r="E24" s="64">
        <f>SUM(E19:E23)</f>
        <v>3633.5159722222224</v>
      </c>
      <c r="F24" s="64"/>
      <c r="G24" s="67">
        <f>SUM(G19:G23)</f>
        <v>3633.5159722222224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</row>
    <row r="25" spans="1:19" ht="13.5" customHeight="1" x14ac:dyDescent="0.25">
      <c r="A25" s="61"/>
      <c r="B25" s="69" t="s">
        <v>194</v>
      </c>
      <c r="C25" s="70"/>
      <c r="D25" s="70"/>
      <c r="E25" s="70">
        <f>+E17+E24</f>
        <v>7684.8957391713748</v>
      </c>
      <c r="F25" s="70"/>
      <c r="G25" s="70">
        <f>+G24+G17</f>
        <v>7684.8957391713748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</row>
    <row r="26" spans="1:19" ht="12.75" customHeight="1" x14ac:dyDescent="0.25">
      <c r="A26" s="61"/>
      <c r="B26" s="373" t="s">
        <v>419</v>
      </c>
      <c r="C26" s="374"/>
      <c r="D26" s="71"/>
      <c r="E26" s="71">
        <f>(E17-E8)+(E24-E19)</f>
        <v>2488.5499058380415</v>
      </c>
      <c r="F26" s="71" t="s">
        <v>164</v>
      </c>
      <c r="G26" s="303">
        <f>E26*12</f>
        <v>29862.598870056499</v>
      </c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</row>
    <row r="27" spans="1:19" ht="15" customHeight="1" x14ac:dyDescent="0.25">
      <c r="A27" s="61"/>
      <c r="B27" s="375" t="s">
        <v>193</v>
      </c>
      <c r="C27" s="374"/>
      <c r="D27" s="374"/>
      <c r="E27" s="374"/>
      <c r="F27" s="374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</row>
    <row r="28" spans="1:19" ht="13.5" customHeight="1" x14ac:dyDescent="0.25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</row>
    <row r="29" spans="1:19" ht="20.25" customHeight="1" x14ac:dyDescent="0.25">
      <c r="A29" s="61"/>
      <c r="B29" s="376" t="s">
        <v>192</v>
      </c>
      <c r="C29" s="376" t="s">
        <v>191</v>
      </c>
      <c r="D29" s="376" t="s">
        <v>190</v>
      </c>
      <c r="E29" s="379" t="s">
        <v>189</v>
      </c>
      <c r="F29" s="380" t="s">
        <v>188</v>
      </c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</row>
    <row r="30" spans="1:19" ht="20.25" customHeight="1" x14ac:dyDescent="0.25">
      <c r="A30" s="61"/>
      <c r="B30" s="377"/>
      <c r="C30" s="378"/>
      <c r="D30" s="378"/>
      <c r="E30" s="378"/>
      <c r="F30" s="378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</row>
    <row r="31" spans="1:19" ht="20.25" customHeight="1" x14ac:dyDescent="0.25">
      <c r="A31" s="61"/>
      <c r="B31" s="377"/>
      <c r="C31" s="378"/>
      <c r="D31" s="378"/>
      <c r="E31" s="378"/>
      <c r="F31" s="378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</row>
    <row r="32" spans="1:19" ht="17.25" customHeight="1" x14ac:dyDescent="0.25">
      <c r="A32" s="61"/>
      <c r="B32" s="59" t="s">
        <v>187</v>
      </c>
      <c r="C32" s="72" t="s">
        <v>180</v>
      </c>
      <c r="D32" s="73">
        <v>120</v>
      </c>
      <c r="E32" s="74">
        <v>12</v>
      </c>
      <c r="F32" s="75">
        <f>+D32*E32</f>
        <v>1440</v>
      </c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</row>
    <row r="33" spans="1:19" ht="16.5" customHeight="1" x14ac:dyDescent="0.25">
      <c r="A33" s="61"/>
      <c r="B33" s="59" t="s">
        <v>186</v>
      </c>
      <c r="C33" s="72"/>
      <c r="D33" s="73"/>
      <c r="E33" s="74"/>
      <c r="F33" s="76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</row>
    <row r="34" spans="1:19" ht="14.25" customHeight="1" x14ac:dyDescent="0.25">
      <c r="A34" s="61"/>
      <c r="B34" s="59" t="s">
        <v>185</v>
      </c>
      <c r="C34" s="73"/>
      <c r="D34" s="73"/>
      <c r="E34" s="73"/>
      <c r="F34" s="77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</row>
    <row r="35" spans="1:19" ht="14.25" customHeight="1" x14ac:dyDescent="0.25">
      <c r="A35" s="61"/>
      <c r="B35" s="59" t="s">
        <v>184</v>
      </c>
      <c r="C35" s="73"/>
      <c r="D35" s="73"/>
      <c r="E35" s="73"/>
      <c r="F35" s="77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</row>
    <row r="36" spans="1:19" ht="14.25" customHeight="1" x14ac:dyDescent="0.25">
      <c r="A36" s="61"/>
      <c r="B36" s="59" t="s">
        <v>183</v>
      </c>
      <c r="C36" s="73"/>
      <c r="D36" s="73"/>
      <c r="E36" s="73"/>
      <c r="F36" s="77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14.25" customHeight="1" x14ac:dyDescent="0.25">
      <c r="A37" s="61"/>
      <c r="B37" s="59" t="s">
        <v>182</v>
      </c>
      <c r="C37" s="73"/>
      <c r="D37" s="73"/>
      <c r="E37" s="73"/>
      <c r="F37" s="77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</row>
    <row r="38" spans="1:19" ht="14.25" customHeight="1" x14ac:dyDescent="0.25">
      <c r="A38" s="61"/>
      <c r="B38" s="59" t="s">
        <v>181</v>
      </c>
      <c r="C38" s="73" t="s">
        <v>180</v>
      </c>
      <c r="D38" s="73">
        <v>80</v>
      </c>
      <c r="E38" s="78">
        <f>365/15</f>
        <v>24.333333333333332</v>
      </c>
      <c r="F38" s="77">
        <f>+D38*E38</f>
        <v>1946.6666666666665</v>
      </c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14.25" customHeight="1" x14ac:dyDescent="0.25">
      <c r="A39" s="61"/>
      <c r="B39" s="60" t="s">
        <v>179</v>
      </c>
      <c r="C39" s="73"/>
      <c r="D39" s="73"/>
      <c r="E39" s="73"/>
      <c r="F39" s="77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</row>
    <row r="40" spans="1:19" ht="14.25" customHeight="1" x14ac:dyDescent="0.25">
      <c r="A40" s="61"/>
      <c r="B40" s="60" t="s">
        <v>178</v>
      </c>
      <c r="C40" s="73"/>
      <c r="D40" s="73"/>
      <c r="E40" s="73"/>
      <c r="F40" s="77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</row>
    <row r="41" spans="1:19" ht="14.25" customHeight="1" x14ac:dyDescent="0.25">
      <c r="A41" s="61"/>
      <c r="B41" s="59" t="s">
        <v>177</v>
      </c>
      <c r="C41" s="73"/>
      <c r="D41" s="73"/>
      <c r="E41" s="73"/>
      <c r="F41" s="77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</row>
    <row r="42" spans="1:19" ht="13.5" customHeight="1" x14ac:dyDescent="0.25">
      <c r="A42" s="61"/>
      <c r="B42" s="79" t="s">
        <v>24</v>
      </c>
      <c r="C42" s="80"/>
      <c r="D42" s="80"/>
      <c r="E42" s="79"/>
      <c r="F42" s="81">
        <f>SUM(F32:F41)</f>
        <v>3386.6666666666665</v>
      </c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</row>
    <row r="43" spans="1:19" ht="12.75" customHeight="1" x14ac:dyDescent="0.25">
      <c r="A43" s="61"/>
      <c r="C43" s="82"/>
      <c r="D43" s="82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</row>
    <row r="44" spans="1:19" ht="12.75" customHeight="1" x14ac:dyDescent="0.25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</row>
    <row r="45" spans="1:19" ht="12.75" customHeight="1" x14ac:dyDescent="0.2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</row>
    <row r="46" spans="1:19" ht="12.75" customHeight="1" x14ac:dyDescent="0.25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</row>
    <row r="47" spans="1:19" ht="12.75" customHeight="1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</row>
    <row r="48" spans="1:19" ht="12.75" customHeight="1" x14ac:dyDescent="0.25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</row>
    <row r="49" spans="1:19" ht="12.75" customHeight="1" x14ac:dyDescent="0.25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</row>
    <row r="50" spans="1:19" ht="12.75" customHeight="1" x14ac:dyDescent="0.25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</row>
    <row r="51" spans="1:19" ht="12.75" customHeight="1" x14ac:dyDescent="0.25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</row>
    <row r="52" spans="1:19" ht="12.75" customHeight="1" x14ac:dyDescent="0.25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</row>
    <row r="53" spans="1:19" ht="12.75" customHeight="1" x14ac:dyDescent="0.25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</row>
    <row r="54" spans="1:19" ht="12.75" customHeight="1" x14ac:dyDescent="0.25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</row>
    <row r="55" spans="1:19" ht="12.75" customHeight="1" x14ac:dyDescent="0.2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</row>
    <row r="56" spans="1:19" ht="12.75" customHeight="1" x14ac:dyDescent="0.25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</row>
    <row r="57" spans="1:19" ht="12.75" customHeight="1" x14ac:dyDescent="0.25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</row>
    <row r="58" spans="1:19" ht="12.75" customHeight="1" x14ac:dyDescent="0.25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</row>
    <row r="59" spans="1:19" ht="12.75" customHeight="1" x14ac:dyDescent="0.25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</row>
    <row r="60" spans="1:19" ht="12.75" customHeight="1" x14ac:dyDescent="0.25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</row>
    <row r="61" spans="1:19" ht="12.75" customHeight="1" x14ac:dyDescent="0.25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</row>
    <row r="62" spans="1:19" ht="12.75" customHeight="1" x14ac:dyDescent="0.25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</row>
    <row r="63" spans="1:19" ht="12.75" customHeight="1" x14ac:dyDescent="0.25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</row>
    <row r="64" spans="1:19" ht="12.75" customHeight="1" x14ac:dyDescent="0.25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</row>
    <row r="65" spans="1:19" ht="12.75" customHeight="1" x14ac:dyDescent="0.2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</row>
    <row r="66" spans="1:19" ht="12.75" customHeight="1" x14ac:dyDescent="0.25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</row>
    <row r="67" spans="1:19" ht="12.75" customHeight="1" x14ac:dyDescent="0.25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</row>
    <row r="68" spans="1:19" ht="12.75" customHeight="1" x14ac:dyDescent="0.25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</row>
    <row r="69" spans="1:19" ht="12.75" customHeight="1" x14ac:dyDescent="0.25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</row>
    <row r="70" spans="1:19" ht="12.75" customHeight="1" x14ac:dyDescent="0.25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</row>
    <row r="71" spans="1:19" ht="12.75" customHeight="1" x14ac:dyDescent="0.25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ht="12.75" customHeight="1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</row>
    <row r="73" spans="1:19" ht="12.75" customHeight="1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</row>
    <row r="74" spans="1:19" ht="12.75" customHeight="1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</row>
    <row r="75" spans="1:19" ht="12.75" customHeight="1" x14ac:dyDescent="0.2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</row>
    <row r="76" spans="1:19" ht="12.75" customHeight="1" x14ac:dyDescent="0.25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</row>
    <row r="77" spans="1:19" ht="12.75" customHeight="1" x14ac:dyDescent="0.25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</row>
    <row r="78" spans="1:19" ht="12.75" customHeight="1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</row>
    <row r="79" spans="1:19" ht="12.75" customHeight="1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</row>
    <row r="80" spans="1:19" ht="12.75" customHeight="1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</row>
    <row r="81" spans="1:19" ht="12.75" customHeight="1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</row>
    <row r="82" spans="1:19" ht="12.75" customHeight="1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</row>
    <row r="83" spans="1:19" ht="12.75" customHeight="1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</row>
    <row r="84" spans="1:19" ht="12.75" customHeight="1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</row>
    <row r="85" spans="1:19" ht="12.75" customHeight="1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</row>
    <row r="86" spans="1:19" ht="12.75" customHeight="1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</row>
    <row r="87" spans="1:19" ht="12.75" customHeight="1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</row>
    <row r="88" spans="1:19" ht="12.75" customHeight="1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</row>
    <row r="89" spans="1:19" ht="12.75" customHeight="1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</row>
    <row r="90" spans="1:19" ht="12.75" customHeight="1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</row>
    <row r="91" spans="1:19" ht="12.75" customHeight="1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</row>
    <row r="92" spans="1:19" ht="12.75" customHeight="1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</row>
    <row r="93" spans="1:19" ht="12.75" customHeight="1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</row>
    <row r="94" spans="1:19" ht="12.75" customHeight="1" x14ac:dyDescent="0.2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</row>
    <row r="95" spans="1:19" ht="12.75" customHeight="1" x14ac:dyDescent="0.2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</row>
    <row r="96" spans="1:19" ht="12.75" customHeight="1" x14ac:dyDescent="0.2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</row>
    <row r="97" spans="1:19" ht="12.75" customHeight="1" x14ac:dyDescent="0.2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</row>
    <row r="98" spans="1:19" ht="12.75" customHeight="1" x14ac:dyDescent="0.2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</row>
    <row r="99" spans="1:19" ht="12.75" customHeight="1" x14ac:dyDescent="0.2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</row>
    <row r="100" spans="1:19" ht="12.75" customHeight="1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</row>
    <row r="101" spans="1:19" ht="12.75" customHeight="1" x14ac:dyDescent="0.2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</row>
    <row r="102" spans="1:19" ht="12.75" customHeight="1" x14ac:dyDescent="0.2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</row>
    <row r="103" spans="1:19" ht="12.75" customHeight="1" x14ac:dyDescent="0.2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</row>
    <row r="104" spans="1:19" ht="12.75" customHeight="1" x14ac:dyDescent="0.2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</row>
    <row r="105" spans="1:19" ht="12.75" customHeight="1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</row>
    <row r="106" spans="1:19" ht="12.75" customHeight="1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</row>
    <row r="107" spans="1:19" ht="12.75" customHeight="1" x14ac:dyDescent="0.2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</row>
    <row r="108" spans="1:19" ht="12.75" customHeight="1" x14ac:dyDescent="0.2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</row>
    <row r="109" spans="1:19" ht="12.75" customHeight="1" x14ac:dyDescent="0.2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</row>
    <row r="110" spans="1:19" ht="12.75" customHeight="1" x14ac:dyDescent="0.2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</row>
    <row r="111" spans="1:19" ht="12.75" customHeight="1" x14ac:dyDescent="0.2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</row>
    <row r="112" spans="1:19" ht="12.75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</row>
    <row r="113" spans="1:19" ht="12.75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</row>
    <row r="114" spans="1:19" ht="12.75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</row>
    <row r="115" spans="1:19" ht="12.75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</row>
    <row r="116" spans="1:19" ht="12.75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</row>
    <row r="117" spans="1:19" ht="12.75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</row>
    <row r="118" spans="1:19" ht="12.75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</row>
    <row r="119" spans="1:19" ht="12.75" customHeight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</row>
    <row r="120" spans="1:19" ht="12.75" customHeight="1" x14ac:dyDescent="0.2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</row>
    <row r="121" spans="1:19" ht="12.75" customHeight="1" x14ac:dyDescent="0.2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</row>
    <row r="122" spans="1:19" ht="12.75" customHeight="1" x14ac:dyDescent="0.2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</row>
    <row r="123" spans="1:19" ht="12.75" customHeight="1" x14ac:dyDescent="0.2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</row>
    <row r="124" spans="1:19" ht="12.75" customHeight="1" x14ac:dyDescent="0.2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</row>
    <row r="125" spans="1:19" ht="12.75" customHeight="1" x14ac:dyDescent="0.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</row>
    <row r="126" spans="1:19" ht="12.75" customHeight="1" x14ac:dyDescent="0.2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</row>
    <row r="127" spans="1:19" ht="12.75" customHeight="1" x14ac:dyDescent="0.2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</row>
    <row r="128" spans="1:19" ht="12.75" customHeight="1" x14ac:dyDescent="0.2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</row>
    <row r="129" spans="1:19" ht="12.75" customHeight="1" x14ac:dyDescent="0.2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</row>
    <row r="130" spans="1:19" ht="12.75" customHeight="1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</row>
    <row r="131" spans="1:19" ht="12.75" customHeight="1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</row>
    <row r="132" spans="1:19" ht="12.75" customHeight="1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</row>
    <row r="133" spans="1:19" ht="12.75" customHeight="1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</row>
    <row r="134" spans="1:19" ht="12.75" customHeight="1" x14ac:dyDescent="0.2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</row>
    <row r="135" spans="1:19" ht="12.75" customHeight="1" x14ac:dyDescent="0.2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</row>
    <row r="136" spans="1:19" ht="12.75" customHeight="1" x14ac:dyDescent="0.2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</row>
    <row r="137" spans="1:19" ht="12.75" customHeight="1" x14ac:dyDescent="0.2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</row>
    <row r="138" spans="1:19" ht="12.75" customHeight="1" x14ac:dyDescent="0.2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</row>
    <row r="139" spans="1:19" ht="12.75" customHeight="1" x14ac:dyDescent="0.2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</row>
    <row r="140" spans="1:19" ht="12.75" customHeight="1" x14ac:dyDescent="0.2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</row>
    <row r="141" spans="1:19" ht="12.75" customHeight="1" x14ac:dyDescent="0.2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</row>
    <row r="142" spans="1:19" ht="12.75" customHeight="1" x14ac:dyDescent="0.2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</row>
    <row r="143" spans="1:19" ht="12.75" customHeight="1" x14ac:dyDescent="0.2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</row>
    <row r="144" spans="1:19" ht="12.75" customHeight="1" x14ac:dyDescent="0.2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</row>
    <row r="145" spans="1:19" ht="12.75" customHeight="1" x14ac:dyDescent="0.2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</row>
    <row r="146" spans="1:19" ht="12.75" customHeight="1" x14ac:dyDescent="0.2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</row>
    <row r="147" spans="1:19" ht="12.75" customHeight="1" x14ac:dyDescent="0.2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</row>
    <row r="148" spans="1:19" ht="12.75" customHeight="1" x14ac:dyDescent="0.2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</row>
    <row r="149" spans="1:19" ht="12.75" customHeight="1" x14ac:dyDescent="0.2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</row>
    <row r="150" spans="1:19" ht="12.75" customHeight="1" x14ac:dyDescent="0.2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</row>
    <row r="151" spans="1:19" ht="12.75" customHeight="1" x14ac:dyDescent="0.2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</row>
    <row r="152" spans="1:19" ht="12.75" customHeight="1" x14ac:dyDescent="0.2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</row>
    <row r="153" spans="1:19" ht="12.75" customHeight="1" x14ac:dyDescent="0.2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</row>
    <row r="154" spans="1:19" ht="12.75" customHeight="1" x14ac:dyDescent="0.2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</row>
    <row r="155" spans="1:19" ht="12.75" customHeight="1" x14ac:dyDescent="0.2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</row>
    <row r="156" spans="1:19" ht="12.75" customHeight="1" x14ac:dyDescent="0.2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</row>
    <row r="157" spans="1:19" ht="12.75" customHeight="1" x14ac:dyDescent="0.2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</row>
    <row r="158" spans="1:19" ht="12.75" customHeight="1" x14ac:dyDescent="0.2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</row>
    <row r="159" spans="1:19" ht="12.75" customHeight="1" x14ac:dyDescent="0.2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</row>
    <row r="160" spans="1:19" ht="12.75" customHeight="1" x14ac:dyDescent="0.2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</row>
    <row r="161" spans="1:19" ht="12.75" customHeight="1" x14ac:dyDescent="0.2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</row>
    <row r="162" spans="1:19" ht="12.75" customHeight="1" x14ac:dyDescent="0.2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</row>
    <row r="163" spans="1:19" ht="12.75" customHeight="1" x14ac:dyDescent="0.2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</row>
    <row r="164" spans="1:19" ht="12.75" customHeight="1" x14ac:dyDescent="0.2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</row>
    <row r="165" spans="1:19" ht="12.75" customHeight="1" x14ac:dyDescent="0.2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</row>
    <row r="166" spans="1:19" ht="12.75" customHeight="1" x14ac:dyDescent="0.2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</row>
    <row r="167" spans="1:19" ht="12.75" customHeight="1" x14ac:dyDescent="0.2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</row>
    <row r="168" spans="1:19" ht="12.75" customHeight="1" x14ac:dyDescent="0.2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</row>
    <row r="169" spans="1:19" ht="12.75" customHeight="1" x14ac:dyDescent="0.2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</row>
    <row r="170" spans="1:19" ht="12.75" customHeight="1" x14ac:dyDescent="0.2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</row>
    <row r="171" spans="1:19" ht="12.75" customHeight="1" x14ac:dyDescent="0.2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</row>
    <row r="172" spans="1:19" ht="12.75" customHeight="1" x14ac:dyDescent="0.2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</row>
    <row r="173" spans="1:19" ht="12.75" customHeight="1" x14ac:dyDescent="0.2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</row>
    <row r="174" spans="1:19" ht="12.75" customHeight="1" x14ac:dyDescent="0.2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</row>
    <row r="175" spans="1:19" ht="12.75" customHeight="1" x14ac:dyDescent="0.2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</row>
    <row r="176" spans="1:19" ht="12.75" customHeight="1" x14ac:dyDescent="0.2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</row>
    <row r="177" spans="1:19" ht="12.75" customHeight="1" x14ac:dyDescent="0.2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</row>
    <row r="178" spans="1:19" ht="12.75" customHeight="1" x14ac:dyDescent="0.2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</row>
    <row r="179" spans="1:19" ht="12.75" customHeight="1" x14ac:dyDescent="0.2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</row>
    <row r="180" spans="1:19" ht="12.75" customHeight="1" x14ac:dyDescent="0.2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</row>
    <row r="181" spans="1:19" ht="12.75" customHeight="1" x14ac:dyDescent="0.2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</row>
    <row r="182" spans="1:19" ht="12.75" customHeight="1" x14ac:dyDescent="0.2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</row>
    <row r="183" spans="1:19" ht="12.75" customHeight="1" x14ac:dyDescent="0.2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</row>
    <row r="184" spans="1:19" ht="12.75" customHeight="1" x14ac:dyDescent="0.2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</row>
    <row r="185" spans="1:19" ht="12.75" customHeight="1" x14ac:dyDescent="0.2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</row>
    <row r="186" spans="1:19" ht="12.75" customHeight="1" x14ac:dyDescent="0.2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</row>
    <row r="187" spans="1:19" ht="12.75" customHeight="1" x14ac:dyDescent="0.2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</row>
    <row r="188" spans="1:19" ht="12.75" customHeight="1" x14ac:dyDescent="0.2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</row>
    <row r="189" spans="1:19" ht="12.75" customHeight="1" x14ac:dyDescent="0.2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</row>
    <row r="190" spans="1:19" ht="12.75" customHeight="1" x14ac:dyDescent="0.2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</row>
    <row r="191" spans="1:19" ht="12.75" customHeight="1" x14ac:dyDescent="0.2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</row>
    <row r="192" spans="1:19" ht="12.75" customHeight="1" x14ac:dyDescent="0.2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</row>
    <row r="193" spans="1:19" ht="12.75" customHeight="1" x14ac:dyDescent="0.2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</row>
    <row r="194" spans="1:19" ht="12.75" customHeight="1" x14ac:dyDescent="0.2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</row>
    <row r="195" spans="1:19" ht="12.75" customHeight="1" x14ac:dyDescent="0.2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</row>
    <row r="196" spans="1:19" ht="12.75" customHeight="1" x14ac:dyDescent="0.2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</row>
    <row r="197" spans="1:19" ht="12.75" customHeight="1" x14ac:dyDescent="0.2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</row>
    <row r="198" spans="1:19" ht="12.75" customHeight="1" x14ac:dyDescent="0.2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</row>
    <row r="199" spans="1:19" ht="12.75" customHeight="1" x14ac:dyDescent="0.2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</row>
    <row r="200" spans="1:19" ht="12.75" customHeight="1" x14ac:dyDescent="0.2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</row>
    <row r="201" spans="1:19" ht="12.75" customHeight="1" x14ac:dyDescent="0.2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</row>
    <row r="202" spans="1:19" ht="12.75" customHeight="1" x14ac:dyDescent="0.2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</row>
    <row r="203" spans="1:19" ht="12.75" customHeight="1" x14ac:dyDescent="0.2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</row>
    <row r="204" spans="1:19" ht="12.75" customHeight="1" x14ac:dyDescent="0.25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</row>
    <row r="205" spans="1:19" ht="12.75" customHeight="1" x14ac:dyDescent="0.2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</row>
    <row r="206" spans="1:19" ht="12.75" customHeight="1" x14ac:dyDescent="0.25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</row>
    <row r="207" spans="1:19" ht="12.75" customHeight="1" x14ac:dyDescent="0.25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</row>
    <row r="208" spans="1:19" ht="12.75" customHeight="1" x14ac:dyDescent="0.25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</row>
    <row r="209" spans="1:19" ht="12.75" customHeight="1" x14ac:dyDescent="0.25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</row>
    <row r="210" spans="1:19" ht="12.75" customHeight="1" x14ac:dyDescent="0.25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</row>
    <row r="211" spans="1:19" ht="12.75" customHeight="1" x14ac:dyDescent="0.25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</row>
    <row r="212" spans="1:19" ht="12.75" customHeight="1" x14ac:dyDescent="0.25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</row>
    <row r="213" spans="1:19" ht="12.75" customHeight="1" x14ac:dyDescent="0.25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</row>
    <row r="214" spans="1:19" ht="12.75" customHeight="1" x14ac:dyDescent="0.25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</row>
    <row r="215" spans="1:19" ht="12.75" customHeight="1" x14ac:dyDescent="0.2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</row>
    <row r="216" spans="1:19" ht="12.75" customHeight="1" x14ac:dyDescent="0.25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</row>
    <row r="217" spans="1:19" ht="12.75" customHeight="1" x14ac:dyDescent="0.25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</row>
    <row r="218" spans="1:19" ht="12.75" customHeight="1" x14ac:dyDescent="0.25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</row>
    <row r="219" spans="1:19" ht="12.75" customHeight="1" x14ac:dyDescent="0.25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</row>
    <row r="220" spans="1:19" ht="12.75" customHeight="1" x14ac:dyDescent="0.25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</row>
    <row r="221" spans="1:19" ht="12.75" customHeight="1" x14ac:dyDescent="0.25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</row>
    <row r="222" spans="1:19" ht="12.75" customHeight="1" x14ac:dyDescent="0.25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</row>
    <row r="223" spans="1:19" ht="12.75" customHeight="1" x14ac:dyDescent="0.25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</row>
    <row r="224" spans="1:19" ht="12.75" customHeight="1" x14ac:dyDescent="0.25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</row>
    <row r="225" spans="1:19" ht="12.75" customHeight="1" x14ac:dyDescent="0.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</row>
    <row r="226" spans="1:19" ht="12.75" customHeight="1" x14ac:dyDescent="0.25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</row>
    <row r="227" spans="1:19" ht="12.75" customHeight="1" x14ac:dyDescent="0.25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</row>
    <row r="228" spans="1:19" ht="12.75" customHeight="1" x14ac:dyDescent="0.25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</row>
    <row r="229" spans="1:19" ht="12.75" customHeight="1" x14ac:dyDescent="0.25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</row>
    <row r="230" spans="1:19" ht="12.75" customHeight="1" x14ac:dyDescent="0.25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</row>
    <row r="231" spans="1:19" ht="12.75" customHeight="1" x14ac:dyDescent="0.25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</row>
    <row r="232" spans="1:19" ht="12.75" customHeight="1" x14ac:dyDescent="0.25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</row>
    <row r="233" spans="1:19" ht="12.75" customHeight="1" x14ac:dyDescent="0.25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</row>
    <row r="234" spans="1:19" ht="12.75" customHeight="1" x14ac:dyDescent="0.25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</row>
    <row r="235" spans="1:19" ht="12.75" customHeight="1" x14ac:dyDescent="0.2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</row>
    <row r="236" spans="1:19" ht="12.75" customHeight="1" x14ac:dyDescent="0.25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</row>
    <row r="237" spans="1:19" ht="12.75" customHeight="1" x14ac:dyDescent="0.25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</row>
    <row r="238" spans="1:19" ht="12.75" customHeight="1" x14ac:dyDescent="0.25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</row>
    <row r="239" spans="1:19" ht="12.75" customHeight="1" x14ac:dyDescent="0.25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</row>
    <row r="240" spans="1:19" ht="12.75" customHeight="1" x14ac:dyDescent="0.25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</row>
    <row r="241" spans="1:19" ht="12.75" customHeight="1" x14ac:dyDescent="0.25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</row>
    <row r="242" spans="1:19" ht="12.75" customHeight="1" x14ac:dyDescent="0.25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</row>
    <row r="243" spans="1:19" ht="12.75" customHeight="1" x14ac:dyDescent="0.25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</row>
    <row r="244" spans="1:19" ht="12.75" customHeight="1" x14ac:dyDescent="0.25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</row>
    <row r="245" spans="1:19" ht="12.75" customHeight="1" x14ac:dyDescent="0.2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</row>
    <row r="246" spans="1:19" ht="12.75" customHeight="1" x14ac:dyDescent="0.25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</row>
    <row r="247" spans="1:19" ht="12.75" customHeight="1" x14ac:dyDescent="0.25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</row>
    <row r="248" spans="1:19" ht="12.75" customHeight="1" x14ac:dyDescent="0.25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</row>
    <row r="249" spans="1:19" ht="12.75" customHeight="1" x14ac:dyDescent="0.25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</row>
    <row r="250" spans="1:19" ht="12.75" customHeight="1" x14ac:dyDescent="0.25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</row>
    <row r="251" spans="1:19" ht="12.75" customHeight="1" x14ac:dyDescent="0.25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</row>
    <row r="252" spans="1:19" ht="12.75" customHeight="1" x14ac:dyDescent="0.25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</row>
    <row r="253" spans="1:19" ht="12.75" customHeight="1" x14ac:dyDescent="0.25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</row>
    <row r="254" spans="1:19" ht="12.75" customHeight="1" x14ac:dyDescent="0.25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</row>
    <row r="255" spans="1:19" ht="12.75" customHeight="1" x14ac:dyDescent="0.2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</row>
    <row r="256" spans="1:19" ht="12.75" customHeight="1" x14ac:dyDescent="0.25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</row>
    <row r="257" spans="1:19" ht="12.75" customHeight="1" x14ac:dyDescent="0.25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</row>
    <row r="258" spans="1:19" ht="12.75" customHeight="1" x14ac:dyDescent="0.25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</row>
    <row r="259" spans="1:19" ht="12.75" customHeight="1" x14ac:dyDescent="0.25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</row>
    <row r="260" spans="1:19" ht="12.75" customHeight="1" x14ac:dyDescent="0.25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</row>
    <row r="261" spans="1:19" ht="12.75" customHeight="1" x14ac:dyDescent="0.25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</row>
    <row r="262" spans="1:19" ht="12.75" customHeight="1" x14ac:dyDescent="0.25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</row>
    <row r="263" spans="1:19" ht="12.75" customHeight="1" x14ac:dyDescent="0.25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</row>
    <row r="264" spans="1:19" ht="12.75" customHeight="1" x14ac:dyDescent="0.25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</row>
    <row r="265" spans="1:19" ht="12.75" customHeight="1" x14ac:dyDescent="0.2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</row>
    <row r="266" spans="1:19" ht="12.75" customHeight="1" x14ac:dyDescent="0.25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</row>
    <row r="267" spans="1:19" ht="12.75" customHeight="1" x14ac:dyDescent="0.25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</row>
    <row r="268" spans="1:19" ht="12.75" customHeight="1" x14ac:dyDescent="0.25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</row>
    <row r="269" spans="1:19" ht="12.75" customHeight="1" x14ac:dyDescent="0.25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</row>
    <row r="270" spans="1:19" ht="12.75" customHeight="1" x14ac:dyDescent="0.25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</row>
    <row r="271" spans="1:19" ht="12.75" customHeight="1" x14ac:dyDescent="0.2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</row>
    <row r="272" spans="1:19" ht="12.75" customHeight="1" x14ac:dyDescent="0.2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</row>
    <row r="273" spans="1:19" ht="12.75" customHeight="1" x14ac:dyDescent="0.2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</row>
    <row r="274" spans="1:19" ht="12.75" customHeight="1" x14ac:dyDescent="0.2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</row>
    <row r="275" spans="1:19" ht="12.75" customHeight="1" x14ac:dyDescent="0.2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</row>
    <row r="276" spans="1:19" ht="12.75" customHeight="1" x14ac:dyDescent="0.2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</row>
    <row r="277" spans="1:19" ht="12.75" customHeight="1" x14ac:dyDescent="0.2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</row>
    <row r="278" spans="1:19" ht="12.75" customHeight="1" x14ac:dyDescent="0.2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</row>
    <row r="279" spans="1:19" ht="12.75" customHeight="1" x14ac:dyDescent="0.2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</row>
    <row r="280" spans="1:19" ht="12.75" customHeight="1" x14ac:dyDescent="0.2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</row>
    <row r="281" spans="1:19" ht="12.75" customHeight="1" x14ac:dyDescent="0.2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</row>
    <row r="282" spans="1:19" ht="12.75" customHeight="1" x14ac:dyDescent="0.2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</row>
    <row r="283" spans="1:19" ht="12.75" customHeight="1" x14ac:dyDescent="0.2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</row>
    <row r="284" spans="1:19" ht="12.75" customHeight="1" x14ac:dyDescent="0.2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</row>
    <row r="285" spans="1:19" ht="12.75" customHeight="1" x14ac:dyDescent="0.2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</row>
    <row r="286" spans="1:19" ht="12.75" customHeight="1" x14ac:dyDescent="0.25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</row>
    <row r="287" spans="1:19" ht="12.75" customHeight="1" x14ac:dyDescent="0.25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</row>
    <row r="288" spans="1:19" ht="12.75" customHeight="1" x14ac:dyDescent="0.25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</row>
    <row r="289" spans="1:19" ht="12.75" customHeight="1" x14ac:dyDescent="0.25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</row>
    <row r="290" spans="1:19" ht="12.75" customHeight="1" x14ac:dyDescent="0.25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</row>
    <row r="291" spans="1:19" ht="12.75" customHeight="1" x14ac:dyDescent="0.25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</row>
    <row r="292" spans="1:19" ht="12.75" customHeight="1" x14ac:dyDescent="0.25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</row>
    <row r="293" spans="1:19" ht="12.75" customHeight="1" x14ac:dyDescent="0.25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</row>
    <row r="294" spans="1:19" ht="12.75" customHeight="1" x14ac:dyDescent="0.25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</row>
    <row r="295" spans="1:19" ht="12.75" customHeight="1" x14ac:dyDescent="0.2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</row>
    <row r="296" spans="1:19" ht="12.75" customHeight="1" x14ac:dyDescent="0.25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</row>
    <row r="297" spans="1:19" ht="12.75" customHeight="1" x14ac:dyDescent="0.25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</row>
    <row r="298" spans="1:19" ht="12.75" customHeight="1" x14ac:dyDescent="0.25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</row>
    <row r="299" spans="1:19" ht="12.75" customHeight="1" x14ac:dyDescent="0.25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</row>
    <row r="300" spans="1:19" ht="12.75" customHeight="1" x14ac:dyDescent="0.25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</row>
    <row r="301" spans="1:19" ht="12.75" customHeight="1" x14ac:dyDescent="0.25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</row>
    <row r="302" spans="1:19" ht="12.75" customHeight="1" x14ac:dyDescent="0.25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</row>
    <row r="303" spans="1:19" ht="12.75" customHeight="1" x14ac:dyDescent="0.25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</row>
    <row r="304" spans="1:19" ht="12.75" customHeight="1" x14ac:dyDescent="0.25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</row>
    <row r="305" spans="1:19" ht="12.75" customHeight="1" x14ac:dyDescent="0.2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</row>
    <row r="306" spans="1:19" ht="12.75" customHeight="1" x14ac:dyDescent="0.25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</row>
    <row r="307" spans="1:19" ht="12.75" customHeight="1" x14ac:dyDescent="0.25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</row>
    <row r="308" spans="1:19" ht="12.75" customHeight="1" x14ac:dyDescent="0.25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</row>
    <row r="309" spans="1:19" ht="12.75" customHeight="1" x14ac:dyDescent="0.25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</row>
    <row r="310" spans="1:19" ht="12.75" customHeight="1" x14ac:dyDescent="0.25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</row>
    <row r="311" spans="1:19" ht="12.75" customHeight="1" x14ac:dyDescent="0.25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</row>
    <row r="312" spans="1:19" ht="12.75" customHeight="1" x14ac:dyDescent="0.25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</row>
    <row r="313" spans="1:19" ht="12.75" customHeight="1" x14ac:dyDescent="0.25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</row>
    <row r="314" spans="1:19" ht="12.75" customHeight="1" x14ac:dyDescent="0.25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</row>
    <row r="315" spans="1:19" ht="12.75" customHeight="1" x14ac:dyDescent="0.2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</row>
    <row r="316" spans="1:19" ht="12.75" customHeight="1" x14ac:dyDescent="0.25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</row>
    <row r="317" spans="1:19" ht="12.75" customHeight="1" x14ac:dyDescent="0.25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</row>
    <row r="318" spans="1:19" ht="12.75" customHeight="1" x14ac:dyDescent="0.25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</row>
    <row r="319" spans="1:19" ht="12.75" customHeight="1" x14ac:dyDescent="0.25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</row>
    <row r="320" spans="1:19" ht="12.75" customHeight="1" x14ac:dyDescent="0.25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</row>
    <row r="321" spans="1:19" ht="12.75" customHeight="1" x14ac:dyDescent="0.25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</row>
    <row r="322" spans="1:19" ht="12.75" customHeight="1" x14ac:dyDescent="0.25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</row>
    <row r="323" spans="1:19" ht="12.75" customHeight="1" x14ac:dyDescent="0.25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</row>
    <row r="324" spans="1:19" ht="12.75" customHeight="1" x14ac:dyDescent="0.25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</row>
    <row r="325" spans="1:19" ht="12.75" customHeight="1" x14ac:dyDescent="0.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</row>
    <row r="326" spans="1:19" ht="12.75" customHeight="1" x14ac:dyDescent="0.25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</row>
    <row r="327" spans="1:19" ht="12.75" customHeight="1" x14ac:dyDescent="0.25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</row>
    <row r="328" spans="1:19" ht="12.75" customHeight="1" x14ac:dyDescent="0.25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</row>
    <row r="329" spans="1:19" ht="12.75" customHeight="1" x14ac:dyDescent="0.25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</row>
    <row r="330" spans="1:19" ht="12.75" customHeight="1" x14ac:dyDescent="0.25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</row>
    <row r="331" spans="1:19" ht="12.75" customHeight="1" x14ac:dyDescent="0.25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</row>
    <row r="332" spans="1:19" ht="12.75" customHeight="1" x14ac:dyDescent="0.25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</row>
    <row r="333" spans="1:19" ht="12.75" customHeight="1" x14ac:dyDescent="0.25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</row>
    <row r="334" spans="1:19" ht="12.75" customHeight="1" x14ac:dyDescent="0.25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</row>
    <row r="335" spans="1:19" ht="12.75" customHeight="1" x14ac:dyDescent="0.2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</row>
    <row r="336" spans="1:19" ht="12.75" customHeight="1" x14ac:dyDescent="0.25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</row>
    <row r="337" spans="1:19" ht="12.75" customHeight="1" x14ac:dyDescent="0.25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</row>
    <row r="338" spans="1:19" ht="12.75" customHeight="1" x14ac:dyDescent="0.25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</row>
    <row r="339" spans="1:19" ht="12.75" customHeight="1" x14ac:dyDescent="0.25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</row>
    <row r="340" spans="1:19" ht="12.75" customHeight="1" x14ac:dyDescent="0.25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</row>
    <row r="341" spans="1:19" ht="12.75" customHeight="1" x14ac:dyDescent="0.25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</row>
    <row r="342" spans="1:19" ht="12.75" customHeight="1" x14ac:dyDescent="0.25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</row>
    <row r="343" spans="1:19" ht="12.75" customHeight="1" x14ac:dyDescent="0.25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</row>
    <row r="344" spans="1:19" ht="12.75" customHeight="1" x14ac:dyDescent="0.25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</row>
    <row r="345" spans="1:19" ht="12.75" customHeight="1" x14ac:dyDescent="0.2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</row>
    <row r="346" spans="1:19" ht="12.75" customHeight="1" x14ac:dyDescent="0.25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</row>
    <row r="347" spans="1:19" ht="12.75" customHeight="1" x14ac:dyDescent="0.25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</row>
    <row r="348" spans="1:19" ht="12.75" customHeight="1" x14ac:dyDescent="0.25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</row>
    <row r="349" spans="1:19" ht="12.75" customHeight="1" x14ac:dyDescent="0.25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</row>
    <row r="350" spans="1:19" ht="12.75" customHeight="1" x14ac:dyDescent="0.25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</row>
    <row r="351" spans="1:19" ht="12.75" customHeight="1" x14ac:dyDescent="0.25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</row>
    <row r="352" spans="1:19" ht="12.75" customHeight="1" x14ac:dyDescent="0.25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</row>
    <row r="353" spans="1:19" ht="12.75" customHeight="1" x14ac:dyDescent="0.25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</row>
    <row r="354" spans="1:19" ht="12.75" customHeight="1" x14ac:dyDescent="0.25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</row>
    <row r="355" spans="1:19" ht="12.75" customHeight="1" x14ac:dyDescent="0.2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</row>
    <row r="356" spans="1:19" ht="12.75" customHeight="1" x14ac:dyDescent="0.25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</row>
    <row r="357" spans="1:19" ht="12.75" customHeight="1" x14ac:dyDescent="0.25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</row>
    <row r="358" spans="1:19" ht="12.75" customHeight="1" x14ac:dyDescent="0.25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</row>
    <row r="359" spans="1:19" ht="12.75" customHeight="1" x14ac:dyDescent="0.25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</row>
    <row r="360" spans="1:19" ht="12.75" customHeight="1" x14ac:dyDescent="0.25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</row>
    <row r="361" spans="1:19" ht="12.75" customHeight="1" x14ac:dyDescent="0.25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</row>
    <row r="362" spans="1:19" ht="12.75" customHeight="1" x14ac:dyDescent="0.25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</row>
    <row r="363" spans="1:19" ht="12.75" customHeight="1" x14ac:dyDescent="0.25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</row>
    <row r="364" spans="1:19" ht="12.75" customHeight="1" x14ac:dyDescent="0.25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</row>
    <row r="365" spans="1:19" ht="12.75" customHeight="1" x14ac:dyDescent="0.2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</row>
    <row r="366" spans="1:19" ht="12.75" customHeight="1" x14ac:dyDescent="0.25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</row>
    <row r="367" spans="1:19" ht="12.75" customHeight="1" x14ac:dyDescent="0.25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</row>
    <row r="368" spans="1:19" ht="12.75" customHeight="1" x14ac:dyDescent="0.25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</row>
    <row r="369" spans="1:19" ht="12.75" customHeight="1" x14ac:dyDescent="0.25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</row>
    <row r="370" spans="1:19" ht="12.75" customHeight="1" x14ac:dyDescent="0.25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</row>
    <row r="371" spans="1:19" ht="12.75" customHeight="1" x14ac:dyDescent="0.25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</row>
    <row r="372" spans="1:19" ht="12.75" customHeight="1" x14ac:dyDescent="0.25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</row>
    <row r="373" spans="1:19" ht="12.75" customHeight="1" x14ac:dyDescent="0.25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</row>
    <row r="374" spans="1:19" ht="12.75" customHeight="1" x14ac:dyDescent="0.25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</row>
    <row r="375" spans="1:19" ht="12.75" customHeight="1" x14ac:dyDescent="0.2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</row>
    <row r="376" spans="1:19" ht="12.75" customHeight="1" x14ac:dyDescent="0.25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</row>
    <row r="377" spans="1:19" ht="12.75" customHeight="1" x14ac:dyDescent="0.25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</row>
    <row r="378" spans="1:19" ht="12.75" customHeight="1" x14ac:dyDescent="0.25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</row>
    <row r="379" spans="1:19" ht="12.75" customHeight="1" x14ac:dyDescent="0.25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</row>
    <row r="380" spans="1:19" ht="12.75" customHeight="1" x14ac:dyDescent="0.25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</row>
    <row r="381" spans="1:19" ht="12.75" customHeight="1" x14ac:dyDescent="0.25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</row>
    <row r="382" spans="1:19" ht="12.75" customHeight="1" x14ac:dyDescent="0.25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</row>
    <row r="383" spans="1:19" ht="12.75" customHeight="1" x14ac:dyDescent="0.25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</row>
    <row r="384" spans="1:19" ht="12.75" customHeight="1" x14ac:dyDescent="0.25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</row>
    <row r="385" spans="1:19" ht="12.75" customHeight="1" x14ac:dyDescent="0.2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</row>
    <row r="386" spans="1:19" ht="12.75" customHeight="1" x14ac:dyDescent="0.25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</row>
    <row r="387" spans="1:19" ht="12.75" customHeight="1" x14ac:dyDescent="0.25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</row>
    <row r="388" spans="1:19" ht="12.75" customHeight="1" x14ac:dyDescent="0.25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</row>
    <row r="389" spans="1:19" ht="12.75" customHeight="1" x14ac:dyDescent="0.25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</row>
    <row r="390" spans="1:19" ht="12.75" customHeight="1" x14ac:dyDescent="0.25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</row>
    <row r="391" spans="1:19" ht="12.75" customHeight="1" x14ac:dyDescent="0.25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</row>
    <row r="392" spans="1:19" ht="12.75" customHeight="1" x14ac:dyDescent="0.25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</row>
    <row r="393" spans="1:19" ht="12.75" customHeight="1" x14ac:dyDescent="0.25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</row>
    <row r="394" spans="1:19" ht="12.75" customHeight="1" x14ac:dyDescent="0.25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</row>
    <row r="395" spans="1:19" ht="12.75" customHeight="1" x14ac:dyDescent="0.2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</row>
    <row r="396" spans="1:19" ht="12.75" customHeight="1" x14ac:dyDescent="0.25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</row>
    <row r="397" spans="1:19" ht="12.75" customHeight="1" x14ac:dyDescent="0.25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</row>
    <row r="398" spans="1:19" ht="12.75" customHeight="1" x14ac:dyDescent="0.25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</row>
    <row r="399" spans="1:19" ht="12.75" customHeight="1" x14ac:dyDescent="0.25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</row>
    <row r="400" spans="1:19" ht="12.75" customHeight="1" x14ac:dyDescent="0.25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</row>
    <row r="401" spans="1:19" ht="12.75" customHeight="1" x14ac:dyDescent="0.25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</row>
    <row r="402" spans="1:19" ht="12.75" customHeight="1" x14ac:dyDescent="0.25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</row>
    <row r="403" spans="1:19" ht="12.75" customHeight="1" x14ac:dyDescent="0.25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</row>
    <row r="404" spans="1:19" ht="12.75" customHeight="1" x14ac:dyDescent="0.25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</row>
    <row r="405" spans="1:19" ht="12.75" customHeight="1" x14ac:dyDescent="0.2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</row>
    <row r="406" spans="1:19" ht="12.75" customHeight="1" x14ac:dyDescent="0.25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</row>
    <row r="407" spans="1:19" ht="12.75" customHeight="1" x14ac:dyDescent="0.25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</row>
    <row r="408" spans="1:19" ht="12.75" customHeight="1" x14ac:dyDescent="0.25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</row>
    <row r="409" spans="1:19" ht="12.75" customHeight="1" x14ac:dyDescent="0.25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</row>
    <row r="410" spans="1:19" ht="12.75" customHeight="1" x14ac:dyDescent="0.25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</row>
    <row r="411" spans="1:19" ht="12.75" customHeight="1" x14ac:dyDescent="0.25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</row>
    <row r="412" spans="1:19" ht="12.75" customHeight="1" x14ac:dyDescent="0.25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</row>
    <row r="413" spans="1:19" ht="12.75" customHeight="1" x14ac:dyDescent="0.25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</row>
    <row r="414" spans="1:19" ht="12.75" customHeight="1" x14ac:dyDescent="0.25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</row>
    <row r="415" spans="1:19" ht="12.75" customHeight="1" x14ac:dyDescent="0.2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</row>
    <row r="416" spans="1:19" ht="12.75" customHeight="1" x14ac:dyDescent="0.25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</row>
    <row r="417" spans="1:19" ht="12.75" customHeight="1" x14ac:dyDescent="0.25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</row>
    <row r="418" spans="1:19" ht="12.75" customHeight="1" x14ac:dyDescent="0.25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</row>
    <row r="419" spans="1:19" ht="12.75" customHeight="1" x14ac:dyDescent="0.25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</row>
    <row r="420" spans="1:19" ht="12.75" customHeight="1" x14ac:dyDescent="0.25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</row>
    <row r="421" spans="1:19" ht="12.75" customHeight="1" x14ac:dyDescent="0.25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</row>
    <row r="422" spans="1:19" ht="12.75" customHeight="1" x14ac:dyDescent="0.25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</row>
    <row r="423" spans="1:19" ht="12.75" customHeight="1" x14ac:dyDescent="0.25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</row>
    <row r="424" spans="1:19" ht="12.75" customHeight="1" x14ac:dyDescent="0.25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</row>
    <row r="425" spans="1:19" ht="12.75" customHeight="1" x14ac:dyDescent="0.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</row>
    <row r="426" spans="1:19" ht="12.75" customHeight="1" x14ac:dyDescent="0.25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</row>
    <row r="427" spans="1:19" ht="12.75" customHeight="1" x14ac:dyDescent="0.25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</row>
    <row r="428" spans="1:19" ht="12.75" customHeight="1" x14ac:dyDescent="0.25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</row>
    <row r="429" spans="1:19" ht="12.75" customHeight="1" x14ac:dyDescent="0.25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</row>
    <row r="430" spans="1:19" ht="12.75" customHeight="1" x14ac:dyDescent="0.25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</row>
    <row r="431" spans="1:19" ht="12.75" customHeight="1" x14ac:dyDescent="0.25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</row>
    <row r="432" spans="1:19" ht="12.75" customHeight="1" x14ac:dyDescent="0.25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</row>
    <row r="433" spans="1:19" ht="12.75" customHeight="1" x14ac:dyDescent="0.25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</row>
    <row r="434" spans="1:19" ht="12.75" customHeight="1" x14ac:dyDescent="0.25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</row>
    <row r="435" spans="1:19" ht="12.75" customHeight="1" x14ac:dyDescent="0.2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</row>
    <row r="436" spans="1:19" ht="12.75" customHeight="1" x14ac:dyDescent="0.25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</row>
    <row r="437" spans="1:19" ht="12.75" customHeight="1" x14ac:dyDescent="0.25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</row>
    <row r="438" spans="1:19" ht="12.75" customHeight="1" x14ac:dyDescent="0.25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</row>
    <row r="439" spans="1:19" ht="12.75" customHeight="1" x14ac:dyDescent="0.25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</row>
    <row r="440" spans="1:19" ht="12.75" customHeight="1" x14ac:dyDescent="0.25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</row>
    <row r="441" spans="1:19" ht="12.75" customHeight="1" x14ac:dyDescent="0.25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</row>
    <row r="442" spans="1:19" ht="12.75" customHeight="1" x14ac:dyDescent="0.25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</row>
    <row r="443" spans="1:19" ht="12.75" customHeight="1" x14ac:dyDescent="0.25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</row>
    <row r="444" spans="1:19" ht="12.75" customHeight="1" x14ac:dyDescent="0.25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</row>
    <row r="445" spans="1:19" ht="12.75" customHeight="1" x14ac:dyDescent="0.2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</row>
    <row r="446" spans="1:19" ht="12.75" customHeight="1" x14ac:dyDescent="0.25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</row>
    <row r="447" spans="1:19" ht="12.75" customHeight="1" x14ac:dyDescent="0.25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</row>
    <row r="448" spans="1:19" ht="12.75" customHeight="1" x14ac:dyDescent="0.25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</row>
    <row r="449" spans="1:19" ht="12.75" customHeight="1" x14ac:dyDescent="0.25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</row>
    <row r="450" spans="1:19" ht="12.75" customHeight="1" x14ac:dyDescent="0.25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</row>
    <row r="451" spans="1:19" ht="12.75" customHeight="1" x14ac:dyDescent="0.25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</row>
    <row r="452" spans="1:19" ht="12.75" customHeight="1" x14ac:dyDescent="0.25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</row>
    <row r="453" spans="1:19" ht="12.75" customHeight="1" x14ac:dyDescent="0.25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</row>
    <row r="454" spans="1:19" ht="12.75" customHeight="1" x14ac:dyDescent="0.25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</row>
    <row r="455" spans="1:19" ht="12.75" customHeight="1" x14ac:dyDescent="0.2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</row>
    <row r="456" spans="1:19" ht="12.75" customHeight="1" x14ac:dyDescent="0.25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</row>
    <row r="457" spans="1:19" ht="12.75" customHeight="1" x14ac:dyDescent="0.25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</row>
    <row r="458" spans="1:19" ht="12.75" customHeight="1" x14ac:dyDescent="0.25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</row>
    <row r="459" spans="1:19" ht="12.75" customHeight="1" x14ac:dyDescent="0.25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</row>
    <row r="460" spans="1:19" ht="12.75" customHeight="1" x14ac:dyDescent="0.25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</row>
    <row r="461" spans="1:19" ht="12.75" customHeight="1" x14ac:dyDescent="0.25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</row>
    <row r="462" spans="1:19" ht="12.75" customHeight="1" x14ac:dyDescent="0.25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</row>
    <row r="463" spans="1:19" ht="12.75" customHeight="1" x14ac:dyDescent="0.25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</row>
    <row r="464" spans="1:19" ht="12.75" customHeight="1" x14ac:dyDescent="0.25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</row>
    <row r="465" spans="1:19" ht="12.75" customHeight="1" x14ac:dyDescent="0.2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</row>
    <row r="466" spans="1:19" ht="12.75" customHeight="1" x14ac:dyDescent="0.25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</row>
    <row r="467" spans="1:19" ht="12.75" customHeight="1" x14ac:dyDescent="0.25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</row>
    <row r="468" spans="1:19" ht="12.75" customHeight="1" x14ac:dyDescent="0.25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</row>
    <row r="469" spans="1:19" ht="12.75" customHeight="1" x14ac:dyDescent="0.25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</row>
    <row r="470" spans="1:19" ht="12.75" customHeight="1" x14ac:dyDescent="0.25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</row>
    <row r="471" spans="1:19" ht="12.75" customHeight="1" x14ac:dyDescent="0.25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</row>
    <row r="472" spans="1:19" ht="12.75" customHeight="1" x14ac:dyDescent="0.25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</row>
    <row r="473" spans="1:19" ht="12.75" customHeight="1" x14ac:dyDescent="0.25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</row>
    <row r="474" spans="1:19" ht="12.75" customHeight="1" x14ac:dyDescent="0.25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</row>
    <row r="475" spans="1:19" ht="12.75" customHeight="1" x14ac:dyDescent="0.2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</row>
    <row r="476" spans="1:19" ht="12.75" customHeight="1" x14ac:dyDescent="0.25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</row>
    <row r="477" spans="1:19" ht="12.75" customHeight="1" x14ac:dyDescent="0.25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</row>
    <row r="478" spans="1:19" ht="12.75" customHeight="1" x14ac:dyDescent="0.25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</row>
    <row r="479" spans="1:19" ht="12.75" customHeight="1" x14ac:dyDescent="0.25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</row>
    <row r="480" spans="1:19" ht="12.75" customHeight="1" x14ac:dyDescent="0.25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</row>
    <row r="481" spans="1:19" ht="12.75" customHeight="1" x14ac:dyDescent="0.25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</row>
    <row r="482" spans="1:19" ht="12.75" customHeight="1" x14ac:dyDescent="0.25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</row>
    <row r="483" spans="1:19" ht="12.75" customHeight="1" x14ac:dyDescent="0.25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</row>
    <row r="484" spans="1:19" ht="12.75" customHeight="1" x14ac:dyDescent="0.25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</row>
    <row r="485" spans="1:19" ht="12.75" customHeight="1" x14ac:dyDescent="0.2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</row>
    <row r="486" spans="1:19" ht="12.75" customHeight="1" x14ac:dyDescent="0.25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</row>
    <row r="487" spans="1:19" ht="12.75" customHeight="1" x14ac:dyDescent="0.25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</row>
    <row r="488" spans="1:19" ht="12.75" customHeight="1" x14ac:dyDescent="0.25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</row>
    <row r="489" spans="1:19" ht="12.75" customHeight="1" x14ac:dyDescent="0.25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</row>
    <row r="490" spans="1:19" ht="12.75" customHeight="1" x14ac:dyDescent="0.25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</row>
    <row r="491" spans="1:19" ht="12.75" customHeight="1" x14ac:dyDescent="0.25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</row>
    <row r="492" spans="1:19" ht="12.75" customHeight="1" x14ac:dyDescent="0.25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</row>
    <row r="493" spans="1:19" ht="12.75" customHeight="1" x14ac:dyDescent="0.25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</row>
    <row r="494" spans="1:19" ht="12.75" customHeight="1" x14ac:dyDescent="0.25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</row>
    <row r="495" spans="1:19" ht="12.75" customHeight="1" x14ac:dyDescent="0.2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</row>
    <row r="496" spans="1:19" ht="12.75" customHeight="1" x14ac:dyDescent="0.25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</row>
    <row r="497" spans="1:19" ht="12.75" customHeight="1" x14ac:dyDescent="0.25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</row>
    <row r="498" spans="1:19" ht="12.75" customHeight="1" x14ac:dyDescent="0.25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</row>
    <row r="499" spans="1:19" ht="12.75" customHeight="1" x14ac:dyDescent="0.25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</row>
    <row r="500" spans="1:19" ht="12.75" customHeight="1" x14ac:dyDescent="0.25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</row>
    <row r="501" spans="1:19" ht="12.75" customHeight="1" x14ac:dyDescent="0.25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</row>
    <row r="502" spans="1:19" ht="12.75" customHeight="1" x14ac:dyDescent="0.25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</row>
    <row r="503" spans="1:19" ht="12.75" customHeight="1" x14ac:dyDescent="0.25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</row>
    <row r="504" spans="1:19" ht="12.75" customHeight="1" x14ac:dyDescent="0.25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</row>
    <row r="505" spans="1:19" ht="12.75" customHeight="1" x14ac:dyDescent="0.2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</row>
    <row r="506" spans="1:19" ht="12.75" customHeight="1" x14ac:dyDescent="0.25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</row>
    <row r="507" spans="1:19" ht="12.75" customHeight="1" x14ac:dyDescent="0.25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</row>
    <row r="508" spans="1:19" ht="12.75" customHeight="1" x14ac:dyDescent="0.25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</row>
    <row r="509" spans="1:19" ht="12.75" customHeight="1" x14ac:dyDescent="0.25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</row>
    <row r="510" spans="1:19" ht="12.75" customHeight="1" x14ac:dyDescent="0.25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</row>
    <row r="511" spans="1:19" ht="12.75" customHeight="1" x14ac:dyDescent="0.25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</row>
    <row r="512" spans="1:19" ht="12.75" customHeight="1" x14ac:dyDescent="0.25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</row>
    <row r="513" spans="1:19" ht="12.75" customHeight="1" x14ac:dyDescent="0.25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</row>
    <row r="514" spans="1:19" ht="12.75" customHeight="1" x14ac:dyDescent="0.25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</row>
    <row r="515" spans="1:19" ht="12.75" customHeight="1" x14ac:dyDescent="0.2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</row>
    <row r="516" spans="1:19" ht="12.75" customHeight="1" x14ac:dyDescent="0.25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</row>
    <row r="517" spans="1:19" ht="12.75" customHeight="1" x14ac:dyDescent="0.25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</row>
    <row r="518" spans="1:19" ht="12.75" customHeight="1" x14ac:dyDescent="0.25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</row>
    <row r="519" spans="1:19" ht="12.75" customHeight="1" x14ac:dyDescent="0.25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</row>
    <row r="520" spans="1:19" ht="12.75" customHeight="1" x14ac:dyDescent="0.25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</row>
    <row r="521" spans="1:19" ht="12.75" customHeight="1" x14ac:dyDescent="0.25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</row>
    <row r="522" spans="1:19" ht="12.75" customHeight="1" x14ac:dyDescent="0.25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</row>
    <row r="523" spans="1:19" ht="12.75" customHeight="1" x14ac:dyDescent="0.25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</row>
    <row r="524" spans="1:19" ht="12.75" customHeight="1" x14ac:dyDescent="0.25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</row>
    <row r="525" spans="1:19" ht="12.75" customHeight="1" x14ac:dyDescent="0.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</row>
    <row r="526" spans="1:19" ht="12.75" customHeight="1" x14ac:dyDescent="0.25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</row>
    <row r="527" spans="1:19" ht="12.75" customHeight="1" x14ac:dyDescent="0.25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</row>
    <row r="528" spans="1:19" ht="12.75" customHeight="1" x14ac:dyDescent="0.25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</row>
    <row r="529" spans="1:19" ht="12.75" customHeight="1" x14ac:dyDescent="0.25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</row>
    <row r="530" spans="1:19" ht="12.75" customHeight="1" x14ac:dyDescent="0.25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</row>
    <row r="531" spans="1:19" ht="12.75" customHeight="1" x14ac:dyDescent="0.25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</row>
    <row r="532" spans="1:19" ht="12.75" customHeight="1" x14ac:dyDescent="0.25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</row>
    <row r="533" spans="1:19" ht="12.75" customHeight="1" x14ac:dyDescent="0.25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</row>
    <row r="534" spans="1:19" ht="12.75" customHeight="1" x14ac:dyDescent="0.25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</row>
    <row r="535" spans="1:19" ht="12.75" customHeight="1" x14ac:dyDescent="0.2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</row>
    <row r="536" spans="1:19" ht="12.75" customHeight="1" x14ac:dyDescent="0.25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</row>
    <row r="537" spans="1:19" ht="12.75" customHeight="1" x14ac:dyDescent="0.25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</row>
    <row r="538" spans="1:19" ht="12.75" customHeight="1" x14ac:dyDescent="0.25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</row>
    <row r="539" spans="1:19" ht="12.75" customHeight="1" x14ac:dyDescent="0.25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</row>
    <row r="540" spans="1:19" ht="12.75" customHeight="1" x14ac:dyDescent="0.25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</row>
    <row r="541" spans="1:19" ht="12.75" customHeight="1" x14ac:dyDescent="0.25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</row>
    <row r="542" spans="1:19" ht="12.75" customHeight="1" x14ac:dyDescent="0.25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</row>
    <row r="543" spans="1:19" ht="12.75" customHeight="1" x14ac:dyDescent="0.25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</row>
    <row r="544" spans="1:19" ht="12.75" customHeight="1" x14ac:dyDescent="0.25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</row>
    <row r="545" spans="1:19" ht="12.75" customHeight="1" x14ac:dyDescent="0.2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</row>
    <row r="546" spans="1:19" ht="12.75" customHeight="1" x14ac:dyDescent="0.25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</row>
    <row r="547" spans="1:19" ht="12.75" customHeight="1" x14ac:dyDescent="0.25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</row>
    <row r="548" spans="1:19" ht="12.75" customHeight="1" x14ac:dyDescent="0.25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</row>
    <row r="549" spans="1:19" ht="12.75" customHeight="1" x14ac:dyDescent="0.25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</row>
    <row r="550" spans="1:19" ht="12.75" customHeight="1" x14ac:dyDescent="0.25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</row>
    <row r="551" spans="1:19" ht="12.75" customHeight="1" x14ac:dyDescent="0.25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</row>
    <row r="552" spans="1:19" ht="12.75" customHeight="1" x14ac:dyDescent="0.25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</row>
    <row r="553" spans="1:19" ht="12.75" customHeight="1" x14ac:dyDescent="0.25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</row>
    <row r="554" spans="1:19" ht="12.75" customHeight="1" x14ac:dyDescent="0.25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</row>
    <row r="555" spans="1:19" ht="12.75" customHeight="1" x14ac:dyDescent="0.2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</row>
    <row r="556" spans="1:19" ht="12.75" customHeight="1" x14ac:dyDescent="0.25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</row>
    <row r="557" spans="1:19" ht="12.75" customHeight="1" x14ac:dyDescent="0.25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</row>
    <row r="558" spans="1:19" ht="12.75" customHeight="1" x14ac:dyDescent="0.25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</row>
    <row r="559" spans="1:19" ht="12.75" customHeight="1" x14ac:dyDescent="0.25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</row>
    <row r="560" spans="1:19" ht="12.75" customHeight="1" x14ac:dyDescent="0.25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</row>
    <row r="561" spans="1:19" ht="12.75" customHeight="1" x14ac:dyDescent="0.25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</row>
    <row r="562" spans="1:19" ht="12.75" customHeight="1" x14ac:dyDescent="0.25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</row>
    <row r="563" spans="1:19" ht="12.75" customHeight="1" x14ac:dyDescent="0.25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</row>
    <row r="564" spans="1:19" ht="12.75" customHeight="1" x14ac:dyDescent="0.25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</row>
    <row r="565" spans="1:19" ht="12.75" customHeight="1" x14ac:dyDescent="0.2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</row>
    <row r="566" spans="1:19" ht="12.75" customHeight="1" x14ac:dyDescent="0.25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</row>
    <row r="567" spans="1:19" ht="12.75" customHeight="1" x14ac:dyDescent="0.25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</row>
    <row r="568" spans="1:19" ht="12.75" customHeight="1" x14ac:dyDescent="0.25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</row>
    <row r="569" spans="1:19" ht="12.75" customHeight="1" x14ac:dyDescent="0.25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</row>
    <row r="570" spans="1:19" ht="12.75" customHeight="1" x14ac:dyDescent="0.25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</row>
    <row r="571" spans="1:19" ht="12.75" customHeight="1" x14ac:dyDescent="0.25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</row>
    <row r="572" spans="1:19" ht="12.75" customHeight="1" x14ac:dyDescent="0.25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</row>
    <row r="573" spans="1:19" ht="12.75" customHeight="1" x14ac:dyDescent="0.25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</row>
    <row r="574" spans="1:19" ht="12.75" customHeight="1" x14ac:dyDescent="0.25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</row>
    <row r="575" spans="1:19" ht="12.75" customHeight="1" x14ac:dyDescent="0.2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</row>
    <row r="576" spans="1:19" ht="12.75" customHeight="1" x14ac:dyDescent="0.25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</row>
    <row r="577" spans="1:19" ht="12.75" customHeight="1" x14ac:dyDescent="0.25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</row>
    <row r="578" spans="1:19" ht="12.75" customHeight="1" x14ac:dyDescent="0.25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</row>
    <row r="579" spans="1:19" ht="12.75" customHeight="1" x14ac:dyDescent="0.25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</row>
    <row r="580" spans="1:19" ht="12.75" customHeight="1" x14ac:dyDescent="0.25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</row>
    <row r="581" spans="1:19" ht="12.75" customHeight="1" x14ac:dyDescent="0.25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</row>
    <row r="582" spans="1:19" ht="12.75" customHeight="1" x14ac:dyDescent="0.25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</row>
    <row r="583" spans="1:19" ht="12.75" customHeight="1" x14ac:dyDescent="0.25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</row>
    <row r="584" spans="1:19" ht="12.75" customHeight="1" x14ac:dyDescent="0.25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</row>
    <row r="585" spans="1:19" ht="12.75" customHeight="1" x14ac:dyDescent="0.2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</row>
    <row r="586" spans="1:19" ht="12.75" customHeight="1" x14ac:dyDescent="0.25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</row>
    <row r="587" spans="1:19" ht="12.75" customHeight="1" x14ac:dyDescent="0.25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</row>
    <row r="588" spans="1:19" ht="12.75" customHeight="1" x14ac:dyDescent="0.25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</row>
    <row r="589" spans="1:19" ht="12.75" customHeight="1" x14ac:dyDescent="0.25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</row>
    <row r="590" spans="1:19" ht="12.75" customHeight="1" x14ac:dyDescent="0.25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</row>
    <row r="591" spans="1:19" ht="12.75" customHeight="1" x14ac:dyDescent="0.25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</row>
    <row r="592" spans="1:19" ht="12.75" customHeight="1" x14ac:dyDescent="0.25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</row>
    <row r="593" spans="1:19" ht="12.75" customHeight="1" x14ac:dyDescent="0.25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</row>
    <row r="594" spans="1:19" ht="12.75" customHeight="1" x14ac:dyDescent="0.25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</row>
    <row r="595" spans="1:19" ht="12.75" customHeight="1" x14ac:dyDescent="0.2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</row>
    <row r="596" spans="1:19" ht="12.75" customHeight="1" x14ac:dyDescent="0.25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</row>
    <row r="597" spans="1:19" ht="12.75" customHeight="1" x14ac:dyDescent="0.25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</row>
    <row r="598" spans="1:19" ht="12.75" customHeight="1" x14ac:dyDescent="0.25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</row>
    <row r="599" spans="1:19" ht="12.75" customHeight="1" x14ac:dyDescent="0.25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</row>
    <row r="600" spans="1:19" ht="12.75" customHeight="1" x14ac:dyDescent="0.25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</row>
    <row r="601" spans="1:19" ht="12.75" customHeight="1" x14ac:dyDescent="0.25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</row>
    <row r="602" spans="1:19" ht="12.75" customHeight="1" x14ac:dyDescent="0.25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</row>
    <row r="603" spans="1:19" ht="12.75" customHeight="1" x14ac:dyDescent="0.25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</row>
    <row r="604" spans="1:19" ht="12.75" customHeight="1" x14ac:dyDescent="0.25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</row>
    <row r="605" spans="1:19" ht="12.75" customHeight="1" x14ac:dyDescent="0.2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</row>
    <row r="606" spans="1:19" ht="12.75" customHeight="1" x14ac:dyDescent="0.25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</row>
    <row r="607" spans="1:19" ht="12.75" customHeight="1" x14ac:dyDescent="0.25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</row>
    <row r="608" spans="1:19" ht="12.75" customHeight="1" x14ac:dyDescent="0.25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</row>
    <row r="609" spans="1:19" ht="12.75" customHeight="1" x14ac:dyDescent="0.25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</row>
    <row r="610" spans="1:19" ht="12.75" customHeight="1" x14ac:dyDescent="0.25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</row>
    <row r="611" spans="1:19" ht="12.75" customHeight="1" x14ac:dyDescent="0.25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</row>
    <row r="612" spans="1:19" ht="12.75" customHeight="1" x14ac:dyDescent="0.25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</row>
    <row r="613" spans="1:19" ht="12.75" customHeight="1" x14ac:dyDescent="0.25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</row>
    <row r="614" spans="1:19" ht="12.75" customHeight="1" x14ac:dyDescent="0.25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</row>
    <row r="615" spans="1:19" ht="12.75" customHeight="1" x14ac:dyDescent="0.2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</row>
    <row r="616" spans="1:19" ht="12.75" customHeight="1" x14ac:dyDescent="0.25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</row>
    <row r="617" spans="1:19" ht="12.75" customHeight="1" x14ac:dyDescent="0.25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</row>
    <row r="618" spans="1:19" ht="12.75" customHeight="1" x14ac:dyDescent="0.25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</row>
    <row r="619" spans="1:19" ht="12.75" customHeight="1" x14ac:dyDescent="0.25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</row>
    <row r="620" spans="1:19" ht="12.75" customHeight="1" x14ac:dyDescent="0.25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</row>
    <row r="621" spans="1:19" ht="12.75" customHeight="1" x14ac:dyDescent="0.25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</row>
    <row r="622" spans="1:19" ht="12.75" customHeight="1" x14ac:dyDescent="0.25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</row>
    <row r="623" spans="1:19" ht="12.75" customHeight="1" x14ac:dyDescent="0.25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</row>
    <row r="624" spans="1:19" ht="12.75" customHeight="1" x14ac:dyDescent="0.25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</row>
    <row r="625" spans="1:19" ht="12.75" customHeight="1" x14ac:dyDescent="0.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</row>
    <row r="626" spans="1:19" ht="12.75" customHeight="1" x14ac:dyDescent="0.25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</row>
    <row r="627" spans="1:19" ht="12.75" customHeight="1" x14ac:dyDescent="0.25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</row>
    <row r="628" spans="1:19" ht="12.75" customHeight="1" x14ac:dyDescent="0.25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</row>
    <row r="629" spans="1:19" ht="12.75" customHeight="1" x14ac:dyDescent="0.25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</row>
    <row r="630" spans="1:19" ht="12.75" customHeight="1" x14ac:dyDescent="0.25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</row>
    <row r="631" spans="1:19" ht="12.75" customHeight="1" x14ac:dyDescent="0.25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</row>
    <row r="632" spans="1:19" ht="12.75" customHeight="1" x14ac:dyDescent="0.25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</row>
    <row r="633" spans="1:19" ht="12.75" customHeight="1" x14ac:dyDescent="0.25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</row>
    <row r="634" spans="1:19" ht="12.75" customHeight="1" x14ac:dyDescent="0.25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</row>
    <row r="635" spans="1:19" ht="12.75" customHeight="1" x14ac:dyDescent="0.2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</row>
    <row r="636" spans="1:19" ht="12.75" customHeight="1" x14ac:dyDescent="0.25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</row>
    <row r="637" spans="1:19" ht="12.75" customHeight="1" x14ac:dyDescent="0.25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</row>
    <row r="638" spans="1:19" ht="12.75" customHeight="1" x14ac:dyDescent="0.25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</row>
    <row r="639" spans="1:19" ht="12.75" customHeight="1" x14ac:dyDescent="0.25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</row>
    <row r="640" spans="1:19" ht="12.75" customHeight="1" x14ac:dyDescent="0.25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</row>
    <row r="641" spans="1:19" ht="12.75" customHeight="1" x14ac:dyDescent="0.25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</row>
    <row r="642" spans="1:19" ht="12.75" customHeight="1" x14ac:dyDescent="0.25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</row>
    <row r="643" spans="1:19" ht="12.75" customHeight="1" x14ac:dyDescent="0.25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</row>
    <row r="644" spans="1:19" ht="12.75" customHeight="1" x14ac:dyDescent="0.25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</row>
    <row r="645" spans="1:19" ht="12.75" customHeight="1" x14ac:dyDescent="0.2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</row>
    <row r="646" spans="1:19" ht="12.75" customHeight="1" x14ac:dyDescent="0.25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</row>
    <row r="647" spans="1:19" ht="12.75" customHeight="1" x14ac:dyDescent="0.25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</row>
    <row r="648" spans="1:19" ht="12.75" customHeight="1" x14ac:dyDescent="0.25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</row>
    <row r="649" spans="1:19" ht="12.75" customHeight="1" x14ac:dyDescent="0.25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</row>
    <row r="650" spans="1:19" ht="12.75" customHeight="1" x14ac:dyDescent="0.25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</row>
    <row r="651" spans="1:19" ht="12.75" customHeight="1" x14ac:dyDescent="0.25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</row>
    <row r="652" spans="1:19" ht="12.75" customHeight="1" x14ac:dyDescent="0.25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</row>
    <row r="653" spans="1:19" ht="12.75" customHeight="1" x14ac:dyDescent="0.25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</row>
    <row r="654" spans="1:19" ht="12.75" customHeight="1" x14ac:dyDescent="0.25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</row>
    <row r="655" spans="1:19" ht="12.75" customHeight="1" x14ac:dyDescent="0.2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</row>
    <row r="656" spans="1:19" ht="12.75" customHeight="1" x14ac:dyDescent="0.25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</row>
    <row r="657" spans="1:19" ht="12.75" customHeight="1" x14ac:dyDescent="0.25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</row>
    <row r="658" spans="1:19" ht="12.75" customHeight="1" x14ac:dyDescent="0.25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</row>
    <row r="659" spans="1:19" ht="12.75" customHeight="1" x14ac:dyDescent="0.25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</row>
    <row r="660" spans="1:19" ht="12.75" customHeight="1" x14ac:dyDescent="0.25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</row>
    <row r="661" spans="1:19" ht="12.75" customHeight="1" x14ac:dyDescent="0.25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</row>
    <row r="662" spans="1:19" ht="12.75" customHeight="1" x14ac:dyDescent="0.25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</row>
    <row r="663" spans="1:19" ht="12.75" customHeight="1" x14ac:dyDescent="0.25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</row>
    <row r="664" spans="1:19" ht="12.75" customHeight="1" x14ac:dyDescent="0.25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</row>
    <row r="665" spans="1:19" ht="12.75" customHeight="1" x14ac:dyDescent="0.2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</row>
    <row r="666" spans="1:19" ht="12.75" customHeight="1" x14ac:dyDescent="0.25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</row>
    <row r="667" spans="1:19" ht="12.75" customHeight="1" x14ac:dyDescent="0.25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</row>
    <row r="668" spans="1:19" ht="12.75" customHeight="1" x14ac:dyDescent="0.25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</row>
    <row r="669" spans="1:19" ht="12.75" customHeight="1" x14ac:dyDescent="0.25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</row>
    <row r="670" spans="1:19" ht="12.75" customHeight="1" x14ac:dyDescent="0.25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</row>
    <row r="671" spans="1:19" ht="12.75" customHeight="1" x14ac:dyDescent="0.25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</row>
    <row r="672" spans="1:19" ht="12.75" customHeight="1" x14ac:dyDescent="0.25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</row>
    <row r="673" spans="1:19" ht="12.75" customHeight="1" x14ac:dyDescent="0.25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</row>
    <row r="674" spans="1:19" ht="12.75" customHeight="1" x14ac:dyDescent="0.25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</row>
    <row r="675" spans="1:19" ht="12.75" customHeight="1" x14ac:dyDescent="0.2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</row>
    <row r="676" spans="1:19" ht="12.75" customHeight="1" x14ac:dyDescent="0.25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</row>
    <row r="677" spans="1:19" ht="12.75" customHeight="1" x14ac:dyDescent="0.25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</row>
    <row r="678" spans="1:19" ht="12.75" customHeight="1" x14ac:dyDescent="0.25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</row>
    <row r="679" spans="1:19" ht="12.75" customHeight="1" x14ac:dyDescent="0.25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</row>
    <row r="680" spans="1:19" ht="12.75" customHeight="1" x14ac:dyDescent="0.25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</row>
    <row r="681" spans="1:19" ht="12.75" customHeight="1" x14ac:dyDescent="0.25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</row>
    <row r="682" spans="1:19" ht="12.75" customHeight="1" x14ac:dyDescent="0.25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</row>
    <row r="683" spans="1:19" ht="12.75" customHeight="1" x14ac:dyDescent="0.25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</row>
    <row r="684" spans="1:19" ht="12.75" customHeight="1" x14ac:dyDescent="0.25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</row>
    <row r="685" spans="1:19" ht="12.75" customHeight="1" x14ac:dyDescent="0.2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</row>
    <row r="686" spans="1:19" ht="12.75" customHeight="1" x14ac:dyDescent="0.25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</row>
    <row r="687" spans="1:19" ht="12.75" customHeight="1" x14ac:dyDescent="0.25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</row>
    <row r="688" spans="1:19" ht="12.75" customHeight="1" x14ac:dyDescent="0.25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</row>
    <row r="689" spans="1:19" ht="12.75" customHeight="1" x14ac:dyDescent="0.25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</row>
    <row r="690" spans="1:19" ht="12.75" customHeight="1" x14ac:dyDescent="0.25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</row>
    <row r="691" spans="1:19" ht="12.75" customHeight="1" x14ac:dyDescent="0.25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</row>
    <row r="692" spans="1:19" ht="12.75" customHeight="1" x14ac:dyDescent="0.25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</row>
    <row r="693" spans="1:19" ht="12.75" customHeight="1" x14ac:dyDescent="0.25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</row>
    <row r="694" spans="1:19" ht="12.75" customHeight="1" x14ac:dyDescent="0.25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</row>
    <row r="695" spans="1:19" ht="12.75" customHeight="1" x14ac:dyDescent="0.2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</row>
    <row r="696" spans="1:19" ht="12.75" customHeight="1" x14ac:dyDescent="0.25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</row>
    <row r="697" spans="1:19" ht="12.75" customHeight="1" x14ac:dyDescent="0.25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</row>
    <row r="698" spans="1:19" ht="12.75" customHeight="1" x14ac:dyDescent="0.25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</row>
    <row r="699" spans="1:19" ht="12.75" customHeight="1" x14ac:dyDescent="0.25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</row>
    <row r="700" spans="1:19" ht="12.75" customHeight="1" x14ac:dyDescent="0.25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</row>
    <row r="701" spans="1:19" ht="12.75" customHeight="1" x14ac:dyDescent="0.25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</row>
    <row r="702" spans="1:19" ht="12.75" customHeight="1" x14ac:dyDescent="0.25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</row>
    <row r="703" spans="1:19" ht="12.75" customHeight="1" x14ac:dyDescent="0.25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</row>
    <row r="704" spans="1:19" ht="12.75" customHeight="1" x14ac:dyDescent="0.25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</row>
    <row r="705" spans="1:19" ht="12.75" customHeight="1" x14ac:dyDescent="0.2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</row>
    <row r="706" spans="1:19" ht="12.75" customHeight="1" x14ac:dyDescent="0.25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</row>
    <row r="707" spans="1:19" ht="12.75" customHeight="1" x14ac:dyDescent="0.25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</row>
    <row r="708" spans="1:19" ht="12.75" customHeight="1" x14ac:dyDescent="0.25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</row>
    <row r="709" spans="1:19" ht="12.75" customHeight="1" x14ac:dyDescent="0.25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</row>
    <row r="710" spans="1:19" ht="12.75" customHeight="1" x14ac:dyDescent="0.25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</row>
    <row r="711" spans="1:19" ht="12.75" customHeight="1" x14ac:dyDescent="0.25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</row>
    <row r="712" spans="1:19" ht="12.75" customHeight="1" x14ac:dyDescent="0.25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</row>
    <row r="713" spans="1:19" ht="12.75" customHeight="1" x14ac:dyDescent="0.25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</row>
    <row r="714" spans="1:19" ht="12.75" customHeight="1" x14ac:dyDescent="0.25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</row>
    <row r="715" spans="1:19" ht="12.75" customHeight="1" x14ac:dyDescent="0.2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</row>
    <row r="716" spans="1:19" ht="12.75" customHeight="1" x14ac:dyDescent="0.25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</row>
    <row r="717" spans="1:19" ht="12.75" customHeight="1" x14ac:dyDescent="0.25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</row>
    <row r="718" spans="1:19" ht="12.75" customHeight="1" x14ac:dyDescent="0.25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</row>
    <row r="719" spans="1:19" ht="12.75" customHeight="1" x14ac:dyDescent="0.25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</row>
    <row r="720" spans="1:19" ht="12.75" customHeight="1" x14ac:dyDescent="0.25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</row>
    <row r="721" spans="1:19" ht="12.75" customHeight="1" x14ac:dyDescent="0.25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</row>
    <row r="722" spans="1:19" ht="12.75" customHeight="1" x14ac:dyDescent="0.25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</row>
    <row r="723" spans="1:19" ht="12.75" customHeight="1" x14ac:dyDescent="0.25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</row>
    <row r="724" spans="1:19" ht="12.75" customHeight="1" x14ac:dyDescent="0.25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</row>
    <row r="725" spans="1:19" ht="12.75" customHeight="1" x14ac:dyDescent="0.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</row>
    <row r="726" spans="1:19" ht="12.75" customHeight="1" x14ac:dyDescent="0.25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</row>
    <row r="727" spans="1:19" ht="12.75" customHeight="1" x14ac:dyDescent="0.25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</row>
    <row r="728" spans="1:19" ht="12.75" customHeight="1" x14ac:dyDescent="0.25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</row>
    <row r="729" spans="1:19" ht="12.75" customHeight="1" x14ac:dyDescent="0.25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</row>
    <row r="730" spans="1:19" ht="12.75" customHeight="1" x14ac:dyDescent="0.25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</row>
    <row r="731" spans="1:19" ht="12.75" customHeight="1" x14ac:dyDescent="0.25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</row>
    <row r="732" spans="1:19" ht="12.75" customHeight="1" x14ac:dyDescent="0.25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</row>
    <row r="733" spans="1:19" ht="12.75" customHeight="1" x14ac:dyDescent="0.25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</row>
    <row r="734" spans="1:19" ht="12.75" customHeight="1" x14ac:dyDescent="0.25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</row>
    <row r="735" spans="1:19" ht="12.75" customHeight="1" x14ac:dyDescent="0.2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</row>
    <row r="736" spans="1:19" ht="12.75" customHeight="1" x14ac:dyDescent="0.25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</row>
    <row r="737" spans="1:19" ht="12.75" customHeight="1" x14ac:dyDescent="0.25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</row>
    <row r="738" spans="1:19" ht="12.75" customHeight="1" x14ac:dyDescent="0.25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</row>
    <row r="739" spans="1:19" ht="12.75" customHeight="1" x14ac:dyDescent="0.25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</row>
    <row r="740" spans="1:19" ht="12.75" customHeight="1" x14ac:dyDescent="0.25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</row>
    <row r="741" spans="1:19" ht="12.75" customHeight="1" x14ac:dyDescent="0.25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</row>
    <row r="742" spans="1:19" ht="12.75" customHeight="1" x14ac:dyDescent="0.25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</row>
    <row r="743" spans="1:19" ht="12.75" customHeight="1" x14ac:dyDescent="0.25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</row>
    <row r="744" spans="1:19" ht="12.75" customHeight="1" x14ac:dyDescent="0.25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</row>
    <row r="745" spans="1:19" ht="12.75" customHeight="1" x14ac:dyDescent="0.2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</row>
    <row r="746" spans="1:19" ht="12.75" customHeight="1" x14ac:dyDescent="0.25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</row>
    <row r="747" spans="1:19" ht="12.75" customHeight="1" x14ac:dyDescent="0.25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</row>
    <row r="748" spans="1:19" ht="12.75" customHeight="1" x14ac:dyDescent="0.25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</row>
    <row r="749" spans="1:19" ht="12.75" customHeight="1" x14ac:dyDescent="0.25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</row>
    <row r="750" spans="1:19" ht="12.75" customHeight="1" x14ac:dyDescent="0.25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</row>
    <row r="751" spans="1:19" ht="12.75" customHeight="1" x14ac:dyDescent="0.25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</row>
    <row r="752" spans="1:19" ht="12.75" customHeight="1" x14ac:dyDescent="0.25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</row>
    <row r="753" spans="1:19" ht="12.75" customHeight="1" x14ac:dyDescent="0.25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</row>
    <row r="754" spans="1:19" ht="12.75" customHeight="1" x14ac:dyDescent="0.25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</row>
    <row r="755" spans="1:19" ht="12.75" customHeight="1" x14ac:dyDescent="0.2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</row>
    <row r="756" spans="1:19" ht="12.75" customHeight="1" x14ac:dyDescent="0.25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</row>
    <row r="757" spans="1:19" ht="12.75" customHeight="1" x14ac:dyDescent="0.25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</row>
    <row r="758" spans="1:19" ht="12.75" customHeight="1" x14ac:dyDescent="0.25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</row>
    <row r="759" spans="1:19" ht="12.75" customHeight="1" x14ac:dyDescent="0.25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</row>
    <row r="760" spans="1:19" ht="12.75" customHeight="1" x14ac:dyDescent="0.25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</row>
    <row r="761" spans="1:19" ht="12.75" customHeight="1" x14ac:dyDescent="0.25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</row>
    <row r="762" spans="1:19" ht="12.75" customHeight="1" x14ac:dyDescent="0.25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</row>
    <row r="763" spans="1:19" ht="12.75" customHeight="1" x14ac:dyDescent="0.25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</row>
    <row r="764" spans="1:19" ht="12.75" customHeight="1" x14ac:dyDescent="0.25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</row>
    <row r="765" spans="1:19" ht="12.75" customHeight="1" x14ac:dyDescent="0.2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</row>
    <row r="766" spans="1:19" ht="12.75" customHeight="1" x14ac:dyDescent="0.25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</row>
    <row r="767" spans="1:19" ht="12.75" customHeight="1" x14ac:dyDescent="0.25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</row>
    <row r="768" spans="1:19" ht="12.75" customHeight="1" x14ac:dyDescent="0.25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</row>
    <row r="769" spans="1:19" ht="12.75" customHeight="1" x14ac:dyDescent="0.25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</row>
    <row r="770" spans="1:19" ht="12.75" customHeight="1" x14ac:dyDescent="0.25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</row>
    <row r="771" spans="1:19" ht="12.75" customHeight="1" x14ac:dyDescent="0.25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</row>
    <row r="772" spans="1:19" ht="12.75" customHeight="1" x14ac:dyDescent="0.25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</row>
    <row r="773" spans="1:19" ht="12.75" customHeight="1" x14ac:dyDescent="0.25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</row>
    <row r="774" spans="1:19" ht="12.75" customHeight="1" x14ac:dyDescent="0.25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</row>
    <row r="775" spans="1:19" ht="12.75" customHeight="1" x14ac:dyDescent="0.2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</row>
    <row r="776" spans="1:19" ht="12.75" customHeight="1" x14ac:dyDescent="0.25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</row>
    <row r="777" spans="1:19" ht="12.75" customHeight="1" x14ac:dyDescent="0.25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</row>
    <row r="778" spans="1:19" ht="12.75" customHeight="1" x14ac:dyDescent="0.25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</row>
    <row r="779" spans="1:19" ht="12.75" customHeight="1" x14ac:dyDescent="0.25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</row>
    <row r="780" spans="1:19" ht="12.75" customHeight="1" x14ac:dyDescent="0.25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</row>
    <row r="781" spans="1:19" ht="12.75" customHeight="1" x14ac:dyDescent="0.25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</row>
    <row r="782" spans="1:19" ht="12.75" customHeight="1" x14ac:dyDescent="0.25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</row>
    <row r="783" spans="1:19" ht="12.75" customHeight="1" x14ac:dyDescent="0.25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</row>
    <row r="784" spans="1:19" ht="12.75" customHeight="1" x14ac:dyDescent="0.25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</row>
    <row r="785" spans="1:19" ht="12.75" customHeight="1" x14ac:dyDescent="0.2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</row>
    <row r="786" spans="1:19" ht="12.75" customHeight="1" x14ac:dyDescent="0.25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</row>
    <row r="787" spans="1:19" ht="12.75" customHeight="1" x14ac:dyDescent="0.25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</row>
    <row r="788" spans="1:19" ht="12.75" customHeight="1" x14ac:dyDescent="0.25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</row>
    <row r="789" spans="1:19" ht="12.75" customHeight="1" x14ac:dyDescent="0.25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</row>
    <row r="790" spans="1:19" ht="12.75" customHeight="1" x14ac:dyDescent="0.25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</row>
    <row r="791" spans="1:19" ht="12.75" customHeight="1" x14ac:dyDescent="0.25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</row>
    <row r="792" spans="1:19" ht="12.75" customHeight="1" x14ac:dyDescent="0.25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</row>
    <row r="793" spans="1:19" ht="12.75" customHeight="1" x14ac:dyDescent="0.25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</row>
    <row r="794" spans="1:19" ht="12.75" customHeight="1" x14ac:dyDescent="0.25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</row>
    <row r="795" spans="1:19" ht="12.75" customHeight="1" x14ac:dyDescent="0.2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</row>
    <row r="796" spans="1:19" ht="12.75" customHeight="1" x14ac:dyDescent="0.25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</row>
    <row r="797" spans="1:19" ht="12.75" customHeight="1" x14ac:dyDescent="0.25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</row>
    <row r="798" spans="1:19" ht="12.75" customHeight="1" x14ac:dyDescent="0.25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</row>
    <row r="799" spans="1:19" ht="12.75" customHeight="1" x14ac:dyDescent="0.25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</row>
    <row r="800" spans="1:19" ht="12.75" customHeight="1" x14ac:dyDescent="0.25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</row>
    <row r="801" spans="1:19" ht="12.75" customHeight="1" x14ac:dyDescent="0.25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</row>
    <row r="802" spans="1:19" ht="12.75" customHeight="1" x14ac:dyDescent="0.25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</row>
    <row r="803" spans="1:19" ht="12.75" customHeight="1" x14ac:dyDescent="0.25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</row>
    <row r="804" spans="1:19" ht="12.75" customHeight="1" x14ac:dyDescent="0.25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</row>
    <row r="805" spans="1:19" ht="12.75" customHeight="1" x14ac:dyDescent="0.2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</row>
    <row r="806" spans="1:19" ht="12.75" customHeight="1" x14ac:dyDescent="0.25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</row>
    <row r="807" spans="1:19" ht="12.75" customHeight="1" x14ac:dyDescent="0.25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</row>
    <row r="808" spans="1:19" ht="12.75" customHeight="1" x14ac:dyDescent="0.25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</row>
    <row r="809" spans="1:19" ht="12.75" customHeight="1" x14ac:dyDescent="0.25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</row>
    <row r="810" spans="1:19" ht="12.75" customHeight="1" x14ac:dyDescent="0.25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</row>
    <row r="811" spans="1:19" ht="12.75" customHeight="1" x14ac:dyDescent="0.25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</row>
    <row r="812" spans="1:19" ht="12.75" customHeight="1" x14ac:dyDescent="0.25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</row>
    <row r="813" spans="1:19" ht="12.75" customHeight="1" x14ac:dyDescent="0.25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</row>
    <row r="814" spans="1:19" ht="12.75" customHeight="1" x14ac:dyDescent="0.25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</row>
    <row r="815" spans="1:19" ht="12.75" customHeight="1" x14ac:dyDescent="0.2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</row>
    <row r="816" spans="1:19" ht="12.75" customHeight="1" x14ac:dyDescent="0.25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</row>
    <row r="817" spans="1:19" ht="12.75" customHeight="1" x14ac:dyDescent="0.25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</row>
    <row r="818" spans="1:19" ht="12.75" customHeight="1" x14ac:dyDescent="0.25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</row>
    <row r="819" spans="1:19" ht="12.75" customHeight="1" x14ac:dyDescent="0.25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</row>
    <row r="820" spans="1:19" ht="12.75" customHeight="1" x14ac:dyDescent="0.25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</row>
    <row r="821" spans="1:19" ht="12.75" customHeight="1" x14ac:dyDescent="0.25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</row>
    <row r="822" spans="1:19" ht="12.75" customHeight="1" x14ac:dyDescent="0.25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</row>
    <row r="823" spans="1:19" ht="12.75" customHeight="1" x14ac:dyDescent="0.25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</row>
    <row r="824" spans="1:19" ht="12.75" customHeight="1" x14ac:dyDescent="0.25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</row>
    <row r="825" spans="1:19" ht="12.75" customHeight="1" x14ac:dyDescent="0.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</row>
    <row r="826" spans="1:19" ht="12.75" customHeight="1" x14ac:dyDescent="0.25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</row>
    <row r="827" spans="1:19" ht="12.75" customHeight="1" x14ac:dyDescent="0.25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</row>
    <row r="828" spans="1:19" ht="12.75" customHeight="1" x14ac:dyDescent="0.25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</row>
    <row r="829" spans="1:19" ht="12.75" customHeight="1" x14ac:dyDescent="0.25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</row>
    <row r="830" spans="1:19" ht="12.75" customHeight="1" x14ac:dyDescent="0.25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</row>
    <row r="831" spans="1:19" ht="12.75" customHeight="1" x14ac:dyDescent="0.25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</row>
    <row r="832" spans="1:19" ht="12.75" customHeight="1" x14ac:dyDescent="0.25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</row>
    <row r="833" spans="1:19" ht="12.75" customHeight="1" x14ac:dyDescent="0.25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</row>
    <row r="834" spans="1:19" ht="12.75" customHeight="1" x14ac:dyDescent="0.25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</row>
    <row r="835" spans="1:19" ht="12.75" customHeight="1" x14ac:dyDescent="0.2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</row>
    <row r="836" spans="1:19" ht="12.75" customHeight="1" x14ac:dyDescent="0.25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</row>
    <row r="837" spans="1:19" ht="12.75" customHeight="1" x14ac:dyDescent="0.25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</row>
    <row r="838" spans="1:19" ht="12.75" customHeight="1" x14ac:dyDescent="0.25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</row>
    <row r="839" spans="1:19" ht="12.75" customHeight="1" x14ac:dyDescent="0.25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</row>
    <row r="840" spans="1:19" ht="12.75" customHeight="1" x14ac:dyDescent="0.25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</row>
    <row r="841" spans="1:19" ht="12.75" customHeight="1" x14ac:dyDescent="0.25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</row>
    <row r="842" spans="1:19" ht="12.75" customHeight="1" x14ac:dyDescent="0.25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</row>
    <row r="843" spans="1:19" ht="12.75" customHeight="1" x14ac:dyDescent="0.25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</row>
    <row r="844" spans="1:19" ht="12.75" customHeight="1" x14ac:dyDescent="0.25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</row>
    <row r="845" spans="1:19" ht="12.75" customHeight="1" x14ac:dyDescent="0.2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</row>
    <row r="846" spans="1:19" ht="12.75" customHeight="1" x14ac:dyDescent="0.25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</row>
    <row r="847" spans="1:19" ht="12.75" customHeight="1" x14ac:dyDescent="0.25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</row>
    <row r="848" spans="1:19" ht="12.75" customHeight="1" x14ac:dyDescent="0.25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</row>
    <row r="849" spans="1:19" ht="12.75" customHeight="1" x14ac:dyDescent="0.25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</row>
    <row r="850" spans="1:19" ht="12.75" customHeight="1" x14ac:dyDescent="0.25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</row>
    <row r="851" spans="1:19" ht="12.75" customHeight="1" x14ac:dyDescent="0.25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</row>
    <row r="852" spans="1:19" ht="12.75" customHeight="1" x14ac:dyDescent="0.25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</row>
    <row r="853" spans="1:19" ht="12.75" customHeight="1" x14ac:dyDescent="0.25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</row>
    <row r="854" spans="1:19" ht="12.75" customHeight="1" x14ac:dyDescent="0.25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</row>
    <row r="855" spans="1:19" ht="12.75" customHeight="1" x14ac:dyDescent="0.2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</row>
    <row r="856" spans="1:19" ht="12.75" customHeight="1" x14ac:dyDescent="0.25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</row>
    <row r="857" spans="1:19" ht="12.75" customHeight="1" x14ac:dyDescent="0.25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</row>
    <row r="858" spans="1:19" ht="12.75" customHeight="1" x14ac:dyDescent="0.25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</row>
    <row r="859" spans="1:19" ht="12.75" customHeight="1" x14ac:dyDescent="0.25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</row>
    <row r="860" spans="1:19" ht="12.75" customHeight="1" x14ac:dyDescent="0.25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</row>
    <row r="861" spans="1:19" ht="12.75" customHeight="1" x14ac:dyDescent="0.25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</row>
    <row r="862" spans="1:19" ht="12.75" customHeight="1" x14ac:dyDescent="0.25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</row>
    <row r="863" spans="1:19" ht="12.75" customHeight="1" x14ac:dyDescent="0.25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</row>
    <row r="864" spans="1:19" ht="12.75" customHeight="1" x14ac:dyDescent="0.25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</row>
    <row r="865" spans="1:19" ht="12.75" customHeight="1" x14ac:dyDescent="0.2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</row>
    <row r="866" spans="1:19" ht="12.75" customHeight="1" x14ac:dyDescent="0.25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</row>
    <row r="867" spans="1:19" ht="12.75" customHeight="1" x14ac:dyDescent="0.25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</row>
    <row r="868" spans="1:19" ht="12.75" customHeight="1" x14ac:dyDescent="0.25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</row>
    <row r="869" spans="1:19" ht="12.75" customHeight="1" x14ac:dyDescent="0.25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</row>
    <row r="870" spans="1:19" ht="12.75" customHeight="1" x14ac:dyDescent="0.25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</row>
    <row r="871" spans="1:19" ht="12.75" customHeight="1" x14ac:dyDescent="0.25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</row>
    <row r="872" spans="1:19" ht="12.75" customHeight="1" x14ac:dyDescent="0.25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</row>
    <row r="873" spans="1:19" ht="12.75" customHeight="1" x14ac:dyDescent="0.25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</row>
    <row r="874" spans="1:19" ht="12.75" customHeight="1" x14ac:dyDescent="0.25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</row>
    <row r="875" spans="1:19" ht="12.75" customHeight="1" x14ac:dyDescent="0.2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</row>
    <row r="876" spans="1:19" ht="12.75" customHeight="1" x14ac:dyDescent="0.25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</row>
    <row r="877" spans="1:19" ht="12.75" customHeight="1" x14ac:dyDescent="0.25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</row>
    <row r="878" spans="1:19" ht="12.75" customHeight="1" x14ac:dyDescent="0.25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</row>
    <row r="879" spans="1:19" ht="12.75" customHeight="1" x14ac:dyDescent="0.25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</row>
    <row r="880" spans="1:19" ht="12.75" customHeight="1" x14ac:dyDescent="0.25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</row>
    <row r="881" spans="1:19" ht="12.75" customHeight="1" x14ac:dyDescent="0.25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</row>
    <row r="882" spans="1:19" ht="12.75" customHeight="1" x14ac:dyDescent="0.25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</row>
    <row r="883" spans="1:19" ht="12.75" customHeight="1" x14ac:dyDescent="0.25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</row>
    <row r="884" spans="1:19" ht="12.75" customHeight="1" x14ac:dyDescent="0.25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</row>
    <row r="885" spans="1:19" ht="12.75" customHeight="1" x14ac:dyDescent="0.2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</row>
    <row r="886" spans="1:19" ht="12.75" customHeight="1" x14ac:dyDescent="0.25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</row>
    <row r="887" spans="1:19" ht="12.75" customHeight="1" x14ac:dyDescent="0.25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</row>
    <row r="888" spans="1:19" ht="12.75" customHeight="1" x14ac:dyDescent="0.25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</row>
    <row r="889" spans="1:19" ht="12.75" customHeight="1" x14ac:dyDescent="0.25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</row>
    <row r="890" spans="1:19" ht="12.75" customHeight="1" x14ac:dyDescent="0.25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</row>
    <row r="891" spans="1:19" ht="12.75" customHeight="1" x14ac:dyDescent="0.25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</row>
    <row r="892" spans="1:19" ht="12.75" customHeight="1" x14ac:dyDescent="0.25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</row>
    <row r="893" spans="1:19" ht="12.75" customHeight="1" x14ac:dyDescent="0.25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</row>
    <row r="894" spans="1:19" ht="12.75" customHeight="1" x14ac:dyDescent="0.25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</row>
    <row r="895" spans="1:19" ht="12.75" customHeight="1" x14ac:dyDescent="0.2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</row>
    <row r="896" spans="1:19" ht="12.75" customHeight="1" x14ac:dyDescent="0.25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</row>
    <row r="897" spans="1:19" ht="12.75" customHeight="1" x14ac:dyDescent="0.25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</row>
    <row r="898" spans="1:19" ht="12.75" customHeight="1" x14ac:dyDescent="0.25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</row>
    <row r="899" spans="1:19" ht="12.75" customHeight="1" x14ac:dyDescent="0.25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</row>
    <row r="900" spans="1:19" ht="12.75" customHeight="1" x14ac:dyDescent="0.25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</row>
    <row r="901" spans="1:19" ht="12.75" customHeight="1" x14ac:dyDescent="0.25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</row>
    <row r="902" spans="1:19" ht="12.75" customHeight="1" x14ac:dyDescent="0.25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</row>
    <row r="903" spans="1:19" ht="12.75" customHeight="1" x14ac:dyDescent="0.25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</row>
    <row r="904" spans="1:19" ht="12.75" customHeight="1" x14ac:dyDescent="0.25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</row>
    <row r="905" spans="1:19" ht="12.75" customHeight="1" x14ac:dyDescent="0.2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</row>
    <row r="906" spans="1:19" ht="12.75" customHeight="1" x14ac:dyDescent="0.25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</row>
    <row r="907" spans="1:19" ht="12.75" customHeight="1" x14ac:dyDescent="0.25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</row>
    <row r="908" spans="1:19" ht="12.75" customHeight="1" x14ac:dyDescent="0.25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</row>
    <row r="909" spans="1:19" ht="12.75" customHeight="1" x14ac:dyDescent="0.25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</row>
    <row r="910" spans="1:19" ht="12.75" customHeight="1" x14ac:dyDescent="0.25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</row>
    <row r="911" spans="1:19" ht="12.75" customHeight="1" x14ac:dyDescent="0.25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</row>
    <row r="912" spans="1:19" ht="12.75" customHeight="1" x14ac:dyDescent="0.25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</row>
    <row r="913" spans="1:19" ht="12.75" customHeight="1" x14ac:dyDescent="0.25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</row>
    <row r="914" spans="1:19" ht="12.75" customHeight="1" x14ac:dyDescent="0.25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</row>
    <row r="915" spans="1:19" ht="12.75" customHeight="1" x14ac:dyDescent="0.2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</row>
    <row r="916" spans="1:19" ht="12.75" customHeight="1" x14ac:dyDescent="0.25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</row>
    <row r="917" spans="1:19" ht="12.75" customHeight="1" x14ac:dyDescent="0.25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</row>
    <row r="918" spans="1:19" ht="12.75" customHeight="1" x14ac:dyDescent="0.25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</row>
    <row r="919" spans="1:19" ht="12.75" customHeight="1" x14ac:dyDescent="0.25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</row>
    <row r="920" spans="1:19" ht="12.75" customHeight="1" x14ac:dyDescent="0.25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</row>
    <row r="921" spans="1:19" ht="12.75" customHeight="1" x14ac:dyDescent="0.25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</row>
    <row r="922" spans="1:19" ht="12.75" customHeight="1" x14ac:dyDescent="0.25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</row>
    <row r="923" spans="1:19" ht="12.75" customHeight="1" x14ac:dyDescent="0.25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</row>
    <row r="924" spans="1:19" ht="12.75" customHeight="1" x14ac:dyDescent="0.25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</row>
    <row r="925" spans="1:19" ht="12.75" customHeight="1" x14ac:dyDescent="0.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</row>
    <row r="926" spans="1:19" ht="12.75" customHeight="1" x14ac:dyDescent="0.25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</row>
    <row r="927" spans="1:19" ht="12.75" customHeight="1" x14ac:dyDescent="0.25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</row>
    <row r="928" spans="1:19" ht="12.75" customHeight="1" x14ac:dyDescent="0.25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</row>
    <row r="929" spans="1:19" ht="12.75" customHeight="1" x14ac:dyDescent="0.25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</row>
    <row r="930" spans="1:19" ht="12.75" customHeight="1" x14ac:dyDescent="0.25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</row>
    <row r="931" spans="1:19" ht="12.75" customHeight="1" x14ac:dyDescent="0.25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</row>
    <row r="932" spans="1:19" ht="12.75" customHeight="1" x14ac:dyDescent="0.25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</row>
    <row r="933" spans="1:19" ht="12.75" customHeight="1" x14ac:dyDescent="0.25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</row>
    <row r="934" spans="1:19" ht="12.75" customHeight="1" x14ac:dyDescent="0.25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</row>
    <row r="935" spans="1:19" ht="12.75" customHeight="1" x14ac:dyDescent="0.2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</row>
    <row r="936" spans="1:19" ht="12.75" customHeight="1" x14ac:dyDescent="0.25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</row>
    <row r="937" spans="1:19" ht="12.75" customHeight="1" x14ac:dyDescent="0.25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</row>
    <row r="938" spans="1:19" ht="12.75" customHeight="1" x14ac:dyDescent="0.25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</row>
    <row r="939" spans="1:19" ht="12.75" customHeight="1" x14ac:dyDescent="0.25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</row>
    <row r="940" spans="1:19" ht="12.75" customHeight="1" x14ac:dyDescent="0.25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</row>
    <row r="941" spans="1:19" ht="12.75" customHeight="1" x14ac:dyDescent="0.25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</row>
    <row r="942" spans="1:19" ht="12.75" customHeight="1" x14ac:dyDescent="0.25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</row>
    <row r="943" spans="1:19" ht="12.75" customHeight="1" x14ac:dyDescent="0.25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</row>
    <row r="944" spans="1:19" ht="12.75" customHeight="1" x14ac:dyDescent="0.25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</row>
    <row r="945" spans="1:19" ht="12.75" customHeight="1" x14ac:dyDescent="0.2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</row>
    <row r="946" spans="1:19" ht="12.75" customHeight="1" x14ac:dyDescent="0.25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</row>
    <row r="947" spans="1:19" ht="12.75" customHeight="1" x14ac:dyDescent="0.25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</row>
    <row r="948" spans="1:19" ht="12.75" customHeight="1" x14ac:dyDescent="0.25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</row>
    <row r="949" spans="1:19" ht="12.75" customHeight="1" x14ac:dyDescent="0.25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</row>
    <row r="950" spans="1:19" ht="12.75" customHeight="1" x14ac:dyDescent="0.25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</row>
    <row r="951" spans="1:19" ht="12.75" customHeight="1" x14ac:dyDescent="0.25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</row>
    <row r="952" spans="1:19" ht="12.75" customHeight="1" x14ac:dyDescent="0.25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</row>
    <row r="953" spans="1:19" ht="12.75" customHeight="1" x14ac:dyDescent="0.25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</row>
    <row r="954" spans="1:19" ht="12.75" customHeight="1" x14ac:dyDescent="0.25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</row>
    <row r="955" spans="1:19" ht="12.75" customHeight="1" x14ac:dyDescent="0.2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</row>
    <row r="956" spans="1:19" ht="12.75" customHeight="1" x14ac:dyDescent="0.25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</row>
    <row r="957" spans="1:19" ht="12.75" customHeight="1" x14ac:dyDescent="0.25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</row>
    <row r="958" spans="1:19" ht="12.75" customHeight="1" x14ac:dyDescent="0.25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</row>
    <row r="959" spans="1:19" ht="12.75" customHeight="1" x14ac:dyDescent="0.25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</row>
    <row r="960" spans="1:19" ht="12.75" customHeight="1" x14ac:dyDescent="0.25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</row>
    <row r="961" spans="1:19" ht="12.75" customHeight="1" x14ac:dyDescent="0.25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</row>
    <row r="962" spans="1:19" ht="12.75" customHeight="1" x14ac:dyDescent="0.25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</row>
    <row r="963" spans="1:19" ht="12.75" customHeight="1" x14ac:dyDescent="0.25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</row>
    <row r="964" spans="1:19" ht="12.75" customHeight="1" x14ac:dyDescent="0.25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</row>
    <row r="965" spans="1:19" ht="12.75" customHeight="1" x14ac:dyDescent="0.2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</row>
    <row r="966" spans="1:19" ht="12.75" customHeight="1" x14ac:dyDescent="0.25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</row>
    <row r="967" spans="1:19" ht="12.75" customHeight="1" x14ac:dyDescent="0.25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</row>
    <row r="968" spans="1:19" ht="12.75" customHeight="1" x14ac:dyDescent="0.25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</row>
    <row r="969" spans="1:19" ht="12.75" customHeight="1" x14ac:dyDescent="0.25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</row>
    <row r="970" spans="1:19" ht="12.75" customHeight="1" x14ac:dyDescent="0.25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</row>
    <row r="971" spans="1:19" ht="12.75" customHeight="1" x14ac:dyDescent="0.25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</row>
    <row r="972" spans="1:19" ht="12.75" customHeight="1" x14ac:dyDescent="0.25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</row>
    <row r="973" spans="1:19" ht="12.75" customHeight="1" x14ac:dyDescent="0.25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</row>
    <row r="974" spans="1:19" ht="12.75" customHeight="1" x14ac:dyDescent="0.25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</row>
    <row r="975" spans="1:19" ht="12.75" customHeight="1" x14ac:dyDescent="0.2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</row>
    <row r="976" spans="1:19" ht="12.75" customHeight="1" x14ac:dyDescent="0.25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</row>
    <row r="977" spans="1:19" ht="12.75" customHeight="1" x14ac:dyDescent="0.25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</row>
    <row r="978" spans="1:19" ht="12.75" customHeight="1" x14ac:dyDescent="0.25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</row>
    <row r="979" spans="1:19" ht="12.75" customHeight="1" x14ac:dyDescent="0.25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</row>
    <row r="980" spans="1:19" ht="12.75" customHeight="1" x14ac:dyDescent="0.25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</row>
    <row r="981" spans="1:19" ht="12.75" customHeight="1" x14ac:dyDescent="0.25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</row>
    <row r="982" spans="1:19" ht="12.75" customHeight="1" x14ac:dyDescent="0.25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</row>
    <row r="983" spans="1:19" ht="12.75" customHeight="1" x14ac:dyDescent="0.25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</row>
    <row r="984" spans="1:19" ht="12.75" customHeight="1" x14ac:dyDescent="0.25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</row>
    <row r="985" spans="1:19" ht="12.75" customHeight="1" x14ac:dyDescent="0.2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</row>
    <row r="986" spans="1:19" ht="12.75" customHeight="1" x14ac:dyDescent="0.25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</row>
    <row r="987" spans="1:19" ht="12.75" customHeight="1" x14ac:dyDescent="0.25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</row>
    <row r="988" spans="1:19" ht="12.75" customHeight="1" x14ac:dyDescent="0.25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</row>
    <row r="989" spans="1:19" ht="12.75" customHeight="1" x14ac:dyDescent="0.25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</row>
    <row r="990" spans="1:19" ht="12.75" customHeight="1" x14ac:dyDescent="0.25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</row>
    <row r="991" spans="1:19" ht="12.75" customHeight="1" x14ac:dyDescent="0.25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</row>
    <row r="992" spans="1:19" ht="12.75" customHeight="1" x14ac:dyDescent="0.25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</row>
    <row r="993" spans="1:19" ht="12.75" customHeight="1" x14ac:dyDescent="0.25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</row>
    <row r="994" spans="1:19" ht="12.75" customHeight="1" x14ac:dyDescent="0.25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</row>
    <row r="995" spans="1:19" ht="12.75" customHeight="1" x14ac:dyDescent="0.2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</row>
    <row r="996" spans="1:19" ht="12.75" customHeight="1" x14ac:dyDescent="0.25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</row>
    <row r="997" spans="1:19" ht="12.75" customHeight="1" x14ac:dyDescent="0.25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</row>
    <row r="998" spans="1:19" ht="12.75" customHeight="1" x14ac:dyDescent="0.25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</row>
    <row r="999" spans="1:19" ht="12.75" customHeight="1" x14ac:dyDescent="0.25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</row>
    <row r="1000" spans="1:19" ht="12.75" customHeight="1" x14ac:dyDescent="0.25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</row>
    <row r="1001" spans="1:19" ht="12.75" customHeight="1" x14ac:dyDescent="0.25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</row>
    <row r="1002" spans="1:19" ht="12.75" customHeight="1" x14ac:dyDescent="0.25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</row>
    <row r="1003" spans="1:19" ht="12.75" customHeight="1" x14ac:dyDescent="0.25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</row>
    <row r="1004" spans="1:19" ht="12.75" customHeight="1" x14ac:dyDescent="0.25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</row>
  </sheetData>
  <mergeCells count="14">
    <mergeCell ref="B2:G2"/>
    <mergeCell ref="B3:G3"/>
    <mergeCell ref="B5:B6"/>
    <mergeCell ref="C5:C6"/>
    <mergeCell ref="D5:D6"/>
    <mergeCell ref="E5:F5"/>
    <mergeCell ref="G5:G6"/>
    <mergeCell ref="B26:C26"/>
    <mergeCell ref="B27:F27"/>
    <mergeCell ref="B29:B31"/>
    <mergeCell ref="C29:C31"/>
    <mergeCell ref="D29:D31"/>
    <mergeCell ref="E29:E31"/>
    <mergeCell ref="F29:F3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9D1-954F-42FB-9964-E06DB7483995}">
  <dimension ref="B2:G18"/>
  <sheetViews>
    <sheetView workbookViewId="0">
      <selection activeCell="E16" sqref="E16"/>
    </sheetView>
  </sheetViews>
  <sheetFormatPr baseColWidth="10" defaultRowHeight="15" x14ac:dyDescent="0.25"/>
  <cols>
    <col min="1" max="1" width="11.42578125" style="1"/>
    <col min="2" max="2" width="29.5703125" style="1" customWidth="1"/>
    <col min="3" max="4" width="11.42578125" style="1"/>
    <col min="5" max="5" width="22.28515625" style="1" customWidth="1"/>
    <col min="6" max="16384" width="11.42578125" style="1"/>
  </cols>
  <sheetData>
    <row r="2" spans="2:7" x14ac:dyDescent="0.25">
      <c r="B2" s="336" t="s">
        <v>235</v>
      </c>
      <c r="C2" s="336"/>
      <c r="E2" s="336" t="s">
        <v>239</v>
      </c>
      <c r="F2" s="336"/>
    </row>
    <row r="4" spans="2:7" x14ac:dyDescent="0.25">
      <c r="B4" s="116" t="s">
        <v>224</v>
      </c>
      <c r="C4" s="116" t="s">
        <v>225</v>
      </c>
      <c r="E4" s="3" t="s">
        <v>236</v>
      </c>
      <c r="F4" s="3" t="s">
        <v>225</v>
      </c>
    </row>
    <row r="5" spans="2:7" x14ac:dyDescent="0.25">
      <c r="B5" s="6" t="s">
        <v>226</v>
      </c>
      <c r="C5" s="34">
        <f>+Gastos_Operativos!G17-Gastos_Operativos!G16</f>
        <v>3911.7187499999995</v>
      </c>
      <c r="E5" s="6" t="s">
        <v>237</v>
      </c>
      <c r="F5" s="7">
        <f>+'Presupuesto de ventas'!C58</f>
        <v>8158.491704374057</v>
      </c>
    </row>
    <row r="6" spans="2:7" x14ac:dyDescent="0.25">
      <c r="B6" s="6" t="s">
        <v>227</v>
      </c>
      <c r="C6" s="6">
        <f>+'Depreciación y VR'!F24/12</f>
        <v>2888.8812247780465</v>
      </c>
      <c r="E6" s="6" t="s">
        <v>238</v>
      </c>
      <c r="F6" s="120">
        <f>+C10/F5</f>
        <v>1.2960455617403452</v>
      </c>
    </row>
    <row r="7" spans="2:7" x14ac:dyDescent="0.25">
      <c r="B7" s="6" t="s">
        <v>228</v>
      </c>
      <c r="C7" s="34">
        <f>+Gastos_Operativos!G16</f>
        <v>139.66101694915258</v>
      </c>
      <c r="E7" s="6" t="s">
        <v>240</v>
      </c>
      <c r="F7" s="8">
        <f>+Resumen!C10</f>
        <v>8.058898305084746</v>
      </c>
    </row>
    <row r="8" spans="2:7" x14ac:dyDescent="0.25">
      <c r="B8" s="6" t="s">
        <v>412</v>
      </c>
      <c r="C8" s="34">
        <f>+Gastos_Operativos!G24</f>
        <v>3633.5159722222224</v>
      </c>
      <c r="E8" s="6" t="s">
        <v>241</v>
      </c>
      <c r="F8" s="8">
        <f>+Resumen!C11</f>
        <v>8.1957627118644076</v>
      </c>
    </row>
    <row r="9" spans="2:7" x14ac:dyDescent="0.25">
      <c r="B9" s="6" t="s">
        <v>229</v>
      </c>
      <c r="C9" s="6"/>
      <c r="E9" s="6" t="s">
        <v>242</v>
      </c>
      <c r="F9" s="8">
        <f>+Resumen!C12</f>
        <v>8.453389830508474</v>
      </c>
    </row>
    <row r="10" spans="2:7" x14ac:dyDescent="0.25">
      <c r="B10" s="117" t="s">
        <v>230</v>
      </c>
      <c r="C10" s="118">
        <f>SUM(C5:C9)</f>
        <v>10573.776963949422</v>
      </c>
      <c r="E10" s="115" t="s">
        <v>243</v>
      </c>
      <c r="F10" s="119">
        <f>+F7+$F$6</f>
        <v>9.3549438668250922</v>
      </c>
      <c r="G10" s="9"/>
    </row>
    <row r="11" spans="2:7" x14ac:dyDescent="0.25">
      <c r="B11" s="111"/>
      <c r="C11" s="112"/>
      <c r="E11" s="115" t="s">
        <v>244</v>
      </c>
      <c r="F11" s="119">
        <f t="shared" ref="F11:F12" si="0">+F8+$F$6</f>
        <v>9.4918082736047538</v>
      </c>
      <c r="G11" s="9"/>
    </row>
    <row r="12" spans="2:7" x14ac:dyDescent="0.25">
      <c r="B12" s="338" t="s">
        <v>234</v>
      </c>
      <c r="C12" s="338"/>
      <c r="E12" s="115" t="s">
        <v>245</v>
      </c>
      <c r="F12" s="119">
        <f t="shared" si="0"/>
        <v>9.7494353922488202</v>
      </c>
      <c r="G12" s="9"/>
    </row>
    <row r="13" spans="2:7" x14ac:dyDescent="0.25">
      <c r="B13" s="115" t="s">
        <v>231</v>
      </c>
      <c r="C13" s="3" t="s">
        <v>225</v>
      </c>
    </row>
    <row r="14" spans="2:7" x14ac:dyDescent="0.25">
      <c r="B14" s="6" t="s">
        <v>130</v>
      </c>
      <c r="C14" s="6">
        <f>+Resumen!C10*'Presupuesto de ventas'!C13</f>
        <v>34007.821535393821</v>
      </c>
    </row>
    <row r="15" spans="2:7" x14ac:dyDescent="0.25">
      <c r="B15" s="6" t="s">
        <v>129</v>
      </c>
      <c r="C15" s="6">
        <f>+Resumen!C11*'Presupuesto de ventas'!C28</f>
        <v>25939.03270956362</v>
      </c>
    </row>
    <row r="16" spans="2:7" x14ac:dyDescent="0.25">
      <c r="B16" s="6" t="s">
        <v>128</v>
      </c>
      <c r="C16" s="6">
        <f>+Resumen!C12*'Presupuesto de ventas'!C43</f>
        <v>6539.9656798834267</v>
      </c>
    </row>
    <row r="17" spans="2:3" x14ac:dyDescent="0.25">
      <c r="B17" s="6" t="s">
        <v>232</v>
      </c>
      <c r="C17" s="6"/>
    </row>
    <row r="18" spans="2:3" x14ac:dyDescent="0.25">
      <c r="B18" s="117" t="s">
        <v>233</v>
      </c>
      <c r="C18" s="117">
        <f>SUM(C14:C17)</f>
        <v>66486.819924840878</v>
      </c>
    </row>
  </sheetData>
  <mergeCells count="3">
    <mergeCell ref="B2:C2"/>
    <mergeCell ref="B12:C12"/>
    <mergeCell ref="E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F8DA-47EF-44AA-A13E-DDE093C13E36}">
  <dimension ref="C1:N976"/>
  <sheetViews>
    <sheetView topLeftCell="A4" workbookViewId="0">
      <selection activeCell="G27" sqref="G27"/>
    </sheetView>
  </sheetViews>
  <sheetFormatPr baseColWidth="10" defaultColWidth="14.42578125" defaultRowHeight="15" x14ac:dyDescent="0.25"/>
  <cols>
    <col min="1" max="1" width="10" style="121" customWidth="1"/>
    <col min="2" max="2" width="4.42578125" style="121" customWidth="1"/>
    <col min="3" max="3" width="25.7109375" style="121" customWidth="1"/>
    <col min="4" max="13" width="11" style="121" customWidth="1"/>
    <col min="14" max="31" width="10" style="121" customWidth="1"/>
    <col min="32" max="16384" width="14.42578125" style="121"/>
  </cols>
  <sheetData>
    <row r="1" spans="3:13" ht="12.75" customHeight="1" x14ac:dyDescent="0.25"/>
    <row r="2" spans="3:13" ht="13.5" customHeight="1" x14ac:dyDescent="0.25"/>
    <row r="3" spans="3:13" ht="13.5" customHeight="1" x14ac:dyDescent="0.25">
      <c r="C3" s="383" t="s">
        <v>259</v>
      </c>
      <c r="D3" s="384"/>
      <c r="E3" s="384"/>
      <c r="F3" s="384"/>
      <c r="G3" s="384"/>
      <c r="H3" s="384"/>
      <c r="I3" s="384"/>
      <c r="J3" s="384"/>
      <c r="K3" s="384"/>
      <c r="L3" s="384"/>
      <c r="M3" s="384"/>
    </row>
    <row r="4" spans="3:13" ht="12.75" customHeight="1" x14ac:dyDescent="0.25"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</row>
    <row r="5" spans="3:13" ht="12.75" customHeight="1" x14ac:dyDescent="0.25">
      <c r="C5" s="383" t="s">
        <v>260</v>
      </c>
      <c r="D5" s="384"/>
      <c r="E5" s="384"/>
      <c r="F5" s="384"/>
      <c r="G5" s="384"/>
      <c r="H5" s="384"/>
      <c r="I5" s="384"/>
      <c r="J5" s="384"/>
      <c r="K5" s="384"/>
      <c r="L5" s="384"/>
      <c r="M5" s="384"/>
    </row>
    <row r="6" spans="3:13" ht="13.5" customHeight="1" x14ac:dyDescent="0.25"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3:13" ht="13.5" customHeight="1" x14ac:dyDescent="0.25">
      <c r="C7" s="244" t="s">
        <v>66</v>
      </c>
      <c r="D7" s="244">
        <v>1</v>
      </c>
      <c r="E7" s="244">
        <f>1+D7</f>
        <v>2</v>
      </c>
      <c r="F7" s="244">
        <f>1+E7</f>
        <v>3</v>
      </c>
      <c r="G7" s="244">
        <v>4</v>
      </c>
      <c r="H7" s="244">
        <v>5</v>
      </c>
      <c r="I7" s="244">
        <v>6</v>
      </c>
      <c r="J7" s="244">
        <v>7</v>
      </c>
      <c r="K7" s="244">
        <v>8</v>
      </c>
      <c r="L7" s="244">
        <v>9</v>
      </c>
      <c r="M7" s="244">
        <v>10</v>
      </c>
    </row>
    <row r="8" spans="3:13" ht="12.75" customHeight="1" x14ac:dyDescent="0.25">
      <c r="C8" s="129" t="s">
        <v>261</v>
      </c>
      <c r="D8" s="132">
        <f>+'Presupuesto de ventas'!L125</f>
        <v>1298601.0847457629</v>
      </c>
      <c r="E8" s="132">
        <f>+'Presupuesto de ventas'!M125</f>
        <v>1443558.1864406778</v>
      </c>
      <c r="F8" s="132">
        <f>+'Presupuesto de ventas'!N125</f>
        <v>1544610.3694915255</v>
      </c>
      <c r="G8" s="132">
        <f>+'Presupuesto de ventas'!O125</f>
        <v>1652740.4853559323</v>
      </c>
      <c r="H8" s="132">
        <f>+'Presupuesto de ventas'!P125</f>
        <v>1768439.7893308476</v>
      </c>
      <c r="I8" s="132">
        <f>+'Presupuesto de ventas'!Q125</f>
        <v>1892233.9245840071</v>
      </c>
      <c r="J8" s="132">
        <f>+'Presupuesto de ventas'!R125</f>
        <v>2024685.3293048877</v>
      </c>
      <c r="K8" s="132">
        <f>+'Presupuesto de ventas'!S125</f>
        <v>2166410.8123562299</v>
      </c>
      <c r="L8" s="132">
        <f>+'Presupuesto de ventas'!T125</f>
        <v>2318054.3092211662</v>
      </c>
      <c r="M8" s="132">
        <f>+'Presupuesto de ventas'!U125</f>
        <v>2480319.8308666479</v>
      </c>
    </row>
    <row r="9" spans="3:13" ht="12.75" customHeight="1" x14ac:dyDescent="0.25">
      <c r="C9" s="130" t="s">
        <v>262</v>
      </c>
      <c r="D9" s="132">
        <f>+-'Costos Ventas'!C22</f>
        <v>-945330.50847457629</v>
      </c>
      <c r="E9" s="132">
        <f>+-'Costos Ventas'!D22</f>
        <v>-1051448.7288135595</v>
      </c>
      <c r="F9" s="132">
        <f>+-'Costos Ventas'!E22</f>
        <v>-1125050.1398305085</v>
      </c>
      <c r="G9" s="132">
        <f>+-'Costos Ventas'!F22</f>
        <v>-1203803.6496186443</v>
      </c>
      <c r="H9" s="132">
        <f>+-'Costos Ventas'!G22</f>
        <v>-1288069.9050919493</v>
      </c>
      <c r="I9" s="132">
        <f>+-'Costos Ventas'!H22</f>
        <v>-1378234.7984483859</v>
      </c>
      <c r="J9" s="132">
        <f>+-'Costos Ventas'!I22</f>
        <v>-1474711.2343397727</v>
      </c>
      <c r="K9" s="132">
        <f>+-'Costos Ventas'!J22</f>
        <v>-1577941.0207435573</v>
      </c>
      <c r="L9" s="132">
        <f>+-'Costos Ventas'!K22</f>
        <v>-1688396.8921956061</v>
      </c>
      <c r="M9" s="132">
        <f>+-'Costos Ventas'!L22</f>
        <v>-1806584.6746492987</v>
      </c>
    </row>
    <row r="10" spans="3:13" ht="12.75" customHeight="1" x14ac:dyDescent="0.25">
      <c r="C10" s="130" t="s">
        <v>263</v>
      </c>
      <c r="D10" s="132"/>
      <c r="E10" s="132"/>
      <c r="F10" s="132"/>
      <c r="G10" s="132"/>
      <c r="H10" s="132"/>
      <c r="I10" s="132"/>
      <c r="J10" s="132"/>
      <c r="K10" s="132"/>
      <c r="L10" s="132"/>
      <c r="M10" s="132"/>
    </row>
    <row r="11" spans="3:13" ht="12.75" customHeight="1" x14ac:dyDescent="0.25">
      <c r="C11" s="130" t="s">
        <v>264</v>
      </c>
      <c r="D11" s="132">
        <f>+-'Depreciación y VR'!$F$24</f>
        <v>-34666.57469733656</v>
      </c>
      <c r="E11" s="132">
        <f>+-'Depreciación y VR'!$F$24</f>
        <v>-34666.57469733656</v>
      </c>
      <c r="F11" s="132">
        <f>+-'Depreciación y VR'!$F$24</f>
        <v>-34666.57469733656</v>
      </c>
      <c r="G11" s="132">
        <f>+-'Depreciación y VR'!$F$24</f>
        <v>-34666.57469733656</v>
      </c>
      <c r="H11" s="132">
        <f>+-'Depreciación y VR'!$F$24</f>
        <v>-34666.57469733656</v>
      </c>
      <c r="I11" s="132">
        <f>+-'Depreciación y VR'!$F$24</f>
        <v>-34666.57469733656</v>
      </c>
      <c r="J11" s="132">
        <f>+-'Depreciación y VR'!$F$24</f>
        <v>-34666.57469733656</v>
      </c>
      <c r="K11" s="132">
        <f>+-'Depreciación y VR'!$F$24</f>
        <v>-34666.57469733656</v>
      </c>
      <c r="L11" s="132">
        <f>+-'Depreciación y VR'!$F$24</f>
        <v>-34666.57469733656</v>
      </c>
      <c r="M11" s="132">
        <f>+-'Depreciación y VR'!$F$24</f>
        <v>-34666.57469733656</v>
      </c>
    </row>
    <row r="12" spans="3:13" ht="12.75" customHeight="1" x14ac:dyDescent="0.25">
      <c r="C12" s="131" t="s">
        <v>265</v>
      </c>
      <c r="D12" s="133">
        <f>SUM(D8:D11)</f>
        <v>318604.00157385005</v>
      </c>
      <c r="E12" s="133">
        <f t="shared" ref="E12:M12" si="0">SUM(E8:E11)</f>
        <v>357442.8829297818</v>
      </c>
      <c r="F12" s="133">
        <f t="shared" si="0"/>
        <v>384893.65496368043</v>
      </c>
      <c r="G12" s="133">
        <f t="shared" si="0"/>
        <v>414270.26103995147</v>
      </c>
      <c r="H12" s="133">
        <f t="shared" si="0"/>
        <v>445703.30954156176</v>
      </c>
      <c r="I12" s="133">
        <f t="shared" si="0"/>
        <v>479332.55143828469</v>
      </c>
      <c r="J12" s="133">
        <f t="shared" si="0"/>
        <v>515307.52026777843</v>
      </c>
      <c r="K12" s="133">
        <f t="shared" si="0"/>
        <v>553803.21691533609</v>
      </c>
      <c r="L12" s="133">
        <f t="shared" si="0"/>
        <v>594990.84232822352</v>
      </c>
      <c r="M12" s="133">
        <f t="shared" si="0"/>
        <v>639068.5815200127</v>
      </c>
    </row>
    <row r="13" spans="3:13" ht="12.75" customHeight="1" x14ac:dyDescent="0.25">
      <c r="C13" s="130" t="s">
        <v>266</v>
      </c>
      <c r="D13" s="132"/>
      <c r="E13" s="132"/>
      <c r="F13" s="132"/>
      <c r="G13" s="132"/>
      <c r="H13" s="132"/>
      <c r="I13" s="132"/>
      <c r="J13" s="132"/>
      <c r="K13" s="132"/>
      <c r="L13" s="132"/>
      <c r="M13" s="132"/>
    </row>
    <row r="14" spans="3:13" ht="12.75" customHeight="1" x14ac:dyDescent="0.25">
      <c r="C14" s="130" t="s">
        <v>267</v>
      </c>
      <c r="D14" s="132">
        <f>+-Gastos_Operativos!$G$17*12-Gastos_Operativos!$G$16</f>
        <v>-48756.218220338982</v>
      </c>
      <c r="E14" s="132">
        <f>+-Gastos_Operativos!$G$17*12-Gastos_Operativos!$G$16</f>
        <v>-48756.218220338982</v>
      </c>
      <c r="F14" s="132">
        <f>+-Gastos_Operativos!$G$17*12-Gastos_Operativos!$G$16</f>
        <v>-48756.218220338982</v>
      </c>
      <c r="G14" s="132">
        <f>+-Gastos_Operativos!$G$17*12-Gastos_Operativos!$G$16</f>
        <v>-48756.218220338982</v>
      </c>
      <c r="H14" s="132">
        <f>+-Gastos_Operativos!$G$17*12-Gastos_Operativos!$G$16</f>
        <v>-48756.218220338982</v>
      </c>
      <c r="I14" s="132">
        <f>+-Gastos_Operativos!$G$17*12-Gastos_Operativos!$G$16</f>
        <v>-48756.218220338982</v>
      </c>
      <c r="J14" s="132">
        <f>+-Gastos_Operativos!$G$17*12-Gastos_Operativos!$G$16</f>
        <v>-48756.218220338982</v>
      </c>
      <c r="K14" s="132">
        <f>+-Gastos_Operativos!$G$17*12-Gastos_Operativos!$G$16</f>
        <v>-48756.218220338982</v>
      </c>
      <c r="L14" s="132">
        <f>+-Gastos_Operativos!$G$17*12-Gastos_Operativos!$G$16</f>
        <v>-48756.218220338982</v>
      </c>
      <c r="M14" s="132">
        <f>+-Gastos_Operativos!$G$17*12-Gastos_Operativos!$G$16</f>
        <v>-48756.218220338982</v>
      </c>
    </row>
    <row r="15" spans="3:13" ht="12.75" customHeight="1" x14ac:dyDescent="0.25">
      <c r="C15" s="130" t="s">
        <v>268</v>
      </c>
      <c r="D15" s="132">
        <f>+-Gastos_Operativos!$G$24*12</f>
        <v>-43602.191666666666</v>
      </c>
      <c r="E15" s="132">
        <f>+-Gastos_Operativos!$G$24*12</f>
        <v>-43602.191666666666</v>
      </c>
      <c r="F15" s="132">
        <f>+-Gastos_Operativos!$G$24*12</f>
        <v>-43602.191666666666</v>
      </c>
      <c r="G15" s="132">
        <f>+-Gastos_Operativos!$G$24*12</f>
        <v>-43602.191666666666</v>
      </c>
      <c r="H15" s="132">
        <f>+-Gastos_Operativos!$G$24*12</f>
        <v>-43602.191666666666</v>
      </c>
      <c r="I15" s="132">
        <f>+-Gastos_Operativos!$G$24*12</f>
        <v>-43602.191666666666</v>
      </c>
      <c r="J15" s="132">
        <f>+-Gastos_Operativos!$G$24*12</f>
        <v>-43602.191666666666</v>
      </c>
      <c r="K15" s="132">
        <f>+-Gastos_Operativos!$G$24*12</f>
        <v>-43602.191666666666</v>
      </c>
      <c r="L15" s="132">
        <f>+-Gastos_Operativos!$G$24*12</f>
        <v>-43602.191666666666</v>
      </c>
      <c r="M15" s="132">
        <f>+-Gastos_Operativos!$G$24*12</f>
        <v>-43602.191666666666</v>
      </c>
    </row>
    <row r="16" spans="3:13" ht="12.75" customHeight="1" x14ac:dyDescent="0.25">
      <c r="C16" s="130" t="s">
        <v>269</v>
      </c>
      <c r="D16" s="132">
        <f>+-Gastos_Operativos!$G$16*12</f>
        <v>-1675.9322033898311</v>
      </c>
      <c r="E16" s="132">
        <f>+-Gastos_Operativos!$G$16*12</f>
        <v>-1675.9322033898311</v>
      </c>
      <c r="F16" s="132">
        <f>+-Gastos_Operativos!$G$16*12</f>
        <v>-1675.9322033898311</v>
      </c>
      <c r="G16" s="132">
        <f>+-Gastos_Operativos!$G$16*12</f>
        <v>-1675.9322033898311</v>
      </c>
      <c r="H16" s="132">
        <f>+-Gastos_Operativos!$G$16*12</f>
        <v>-1675.9322033898311</v>
      </c>
      <c r="I16" s="132">
        <f>+-Gastos_Operativos!$G$16*12</f>
        <v>-1675.9322033898311</v>
      </c>
      <c r="J16" s="132">
        <f>+-Gastos_Operativos!$G$16*12</f>
        <v>-1675.9322033898311</v>
      </c>
      <c r="K16" s="132">
        <f>+-Gastos_Operativos!$G$16*12</f>
        <v>-1675.9322033898311</v>
      </c>
      <c r="L16" s="132">
        <f>+-Gastos_Operativos!$G$16*12</f>
        <v>-1675.9322033898311</v>
      </c>
      <c r="M16" s="132">
        <f>+-Gastos_Operativos!$G$16*12</f>
        <v>-1675.9322033898311</v>
      </c>
    </row>
    <row r="17" spans="3:14" ht="12.75" customHeight="1" x14ac:dyDescent="0.25">
      <c r="C17" s="131" t="s">
        <v>270</v>
      </c>
      <c r="D17" s="133">
        <f>SUM(D12:D16)</f>
        <v>224569.6594834546</v>
      </c>
      <c r="E17" s="133">
        <f t="shared" ref="E17:M17" si="1">SUM(E12:E16)</f>
        <v>263408.54083938635</v>
      </c>
      <c r="F17" s="133">
        <f t="shared" si="1"/>
        <v>290859.31287328497</v>
      </c>
      <c r="G17" s="133">
        <f t="shared" si="1"/>
        <v>320235.91894955601</v>
      </c>
      <c r="H17" s="133">
        <f t="shared" si="1"/>
        <v>351668.9674511663</v>
      </c>
      <c r="I17" s="133">
        <f t="shared" si="1"/>
        <v>385298.20934788923</v>
      </c>
      <c r="J17" s="133">
        <f t="shared" si="1"/>
        <v>421273.17817738297</v>
      </c>
      <c r="K17" s="133">
        <f t="shared" si="1"/>
        <v>459768.87482494063</v>
      </c>
      <c r="L17" s="133">
        <f t="shared" si="1"/>
        <v>500956.500237828</v>
      </c>
      <c r="M17" s="133">
        <f t="shared" si="1"/>
        <v>545034.23942961718</v>
      </c>
    </row>
    <row r="18" spans="3:14" ht="12.75" customHeight="1" x14ac:dyDescent="0.25">
      <c r="C18" s="130" t="s">
        <v>271</v>
      </c>
      <c r="D18" s="132">
        <f>+-Financiamiento!D138</f>
        <v>-33282.131732641181</v>
      </c>
      <c r="E18" s="132">
        <f>+-Financiamiento!E138</f>
        <v>-31059.828492448341</v>
      </c>
      <c r="F18" s="132">
        <f>+-Financiamiento!F138</f>
        <v>-28610.111713681836</v>
      </c>
      <c r="G18" s="132">
        <f>+-Financiamiento!G138</f>
        <v>-25909.709631898695</v>
      </c>
      <c r="H18" s="132">
        <f>+-Financiamiento!H138</f>
        <v>-22932.969028043863</v>
      </c>
      <c r="I18" s="132">
        <f>+-Financiamiento!I138</f>
        <v>-19651.611528575893</v>
      </c>
      <c r="J18" s="132">
        <f>+-Financiamiento!J138</f>
        <v>-16034.464967209009</v>
      </c>
      <c r="K18" s="132">
        <f>+-Financiamiento!K138</f>
        <v>-12047.16725626785</v>
      </c>
      <c r="L18" s="132">
        <f>+-Financiamiento!L138</f>
        <v>-7651.8399544986023</v>
      </c>
      <c r="M18" s="132">
        <f>+-Financiamiento!M138</f>
        <v>-2806.7284303033812</v>
      </c>
    </row>
    <row r="19" spans="3:14" ht="12.75" customHeight="1" x14ac:dyDescent="0.25">
      <c r="C19" s="131" t="s">
        <v>272</v>
      </c>
      <c r="D19" s="133">
        <f>SUM(D17:D18)</f>
        <v>191287.5277508134</v>
      </c>
      <c r="E19" s="133">
        <f t="shared" ref="E19:M19" si="2">SUM(E17:E18)</f>
        <v>232348.712346938</v>
      </c>
      <c r="F19" s="133">
        <f t="shared" si="2"/>
        <v>262249.20115960314</v>
      </c>
      <c r="G19" s="133">
        <f t="shared" si="2"/>
        <v>294326.20931765734</v>
      </c>
      <c r="H19" s="133">
        <f t="shared" si="2"/>
        <v>328735.99842312245</v>
      </c>
      <c r="I19" s="133">
        <f t="shared" si="2"/>
        <v>365646.59781931335</v>
      </c>
      <c r="J19" s="133">
        <f t="shared" si="2"/>
        <v>405238.71321017394</v>
      </c>
      <c r="K19" s="133">
        <f t="shared" si="2"/>
        <v>447721.70756867278</v>
      </c>
      <c r="L19" s="133">
        <f t="shared" si="2"/>
        <v>493304.66028332943</v>
      </c>
      <c r="M19" s="133">
        <f t="shared" si="2"/>
        <v>542227.51099931379</v>
      </c>
    </row>
    <row r="20" spans="3:14" ht="13.5" customHeight="1" x14ac:dyDescent="0.25">
      <c r="C20" s="130" t="s">
        <v>273</v>
      </c>
      <c r="D20" s="132">
        <f>-D19*Resumen!$G$3</f>
        <v>-56429.820686489948</v>
      </c>
      <c r="E20" s="132">
        <f>-E19*Resumen!$G$3</f>
        <v>-68542.870142346714</v>
      </c>
      <c r="F20" s="132">
        <f>-F19*Resumen!$G$3</f>
        <v>-77363.514342082926</v>
      </c>
      <c r="G20" s="132">
        <f>-G19*Resumen!$G$3</f>
        <v>-86826.231748708917</v>
      </c>
      <c r="H20" s="132">
        <f>-H19*Resumen!$G$3</f>
        <v>-96977.119534821119</v>
      </c>
      <c r="I20" s="132">
        <f>-I19*Resumen!$G$3</f>
        <v>-107865.74635669743</v>
      </c>
      <c r="J20" s="132">
        <f>-J19*Resumen!$G$3</f>
        <v>-119545.4203970013</v>
      </c>
      <c r="K20" s="132">
        <f>-K19*Resumen!$G$3</f>
        <v>-132077.90373275845</v>
      </c>
      <c r="L20" s="132">
        <f>-L19*Resumen!$G$3</f>
        <v>-145524.87478358217</v>
      </c>
      <c r="M20" s="132">
        <f>-M19*Resumen!$G$3</f>
        <v>-159957.11574479757</v>
      </c>
    </row>
    <row r="21" spans="3:14" ht="13.5" customHeight="1" x14ac:dyDescent="0.25">
      <c r="C21" s="128" t="s">
        <v>274</v>
      </c>
      <c r="D21" s="133">
        <f>+D19+D20</f>
        <v>134857.70706432345</v>
      </c>
      <c r="E21" s="133">
        <f t="shared" ref="E21:M21" si="3">+E19+E20</f>
        <v>163805.84220459129</v>
      </c>
      <c r="F21" s="133">
        <f t="shared" si="3"/>
        <v>184885.68681752021</v>
      </c>
      <c r="G21" s="133">
        <f t="shared" si="3"/>
        <v>207499.97756894841</v>
      </c>
      <c r="H21" s="133">
        <f t="shared" si="3"/>
        <v>231758.87888830132</v>
      </c>
      <c r="I21" s="133">
        <f t="shared" si="3"/>
        <v>257780.85146261592</v>
      </c>
      <c r="J21" s="133">
        <f t="shared" si="3"/>
        <v>285693.29281317262</v>
      </c>
      <c r="K21" s="133">
        <f t="shared" si="3"/>
        <v>315643.80383591435</v>
      </c>
      <c r="L21" s="133">
        <f t="shared" si="3"/>
        <v>347779.78549974726</v>
      </c>
      <c r="M21" s="133">
        <f t="shared" si="3"/>
        <v>382270.39525451622</v>
      </c>
      <c r="N21" s="127"/>
    </row>
    <row r="22" spans="3:14" ht="12.75" customHeight="1" x14ac:dyDescent="0.25"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</row>
    <row r="23" spans="3:14" ht="12.75" customHeight="1" x14ac:dyDescent="0.25">
      <c r="C23" s="122"/>
      <c r="D23" s="122">
        <f>15*4400</f>
        <v>66000</v>
      </c>
      <c r="E23" s="122"/>
      <c r="F23" s="122"/>
      <c r="G23" s="122"/>
      <c r="H23" s="122"/>
      <c r="I23" s="122"/>
      <c r="J23" s="122"/>
      <c r="K23" s="122"/>
      <c r="L23" s="122"/>
      <c r="M23" s="122"/>
    </row>
    <row r="24" spans="3:14" ht="12.75" customHeight="1" x14ac:dyDescent="0.25"/>
    <row r="25" spans="3:14" ht="12.75" customHeight="1" x14ac:dyDescent="0.25">
      <c r="D25" s="124"/>
    </row>
    <row r="26" spans="3:14" ht="12.75" customHeight="1" x14ac:dyDescent="0.25"/>
    <row r="27" spans="3:14" ht="12.75" customHeight="1" x14ac:dyDescent="0.25"/>
    <row r="28" spans="3:14" ht="12.75" customHeight="1" x14ac:dyDescent="0.25"/>
    <row r="29" spans="3:14" ht="12.75" customHeight="1" x14ac:dyDescent="0.25"/>
    <row r="30" spans="3:14" ht="12.75" customHeight="1" x14ac:dyDescent="0.25"/>
    <row r="31" spans="3:14" ht="12.75" customHeight="1" x14ac:dyDescent="0.25"/>
    <row r="32" spans="3:1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</sheetData>
  <mergeCells count="2">
    <mergeCell ref="C3:M3"/>
    <mergeCell ref="C5:M5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569-92A4-43AC-BA5D-72F9BD2C064C}">
  <dimension ref="A1:M971"/>
  <sheetViews>
    <sheetView topLeftCell="A19" workbookViewId="0">
      <selection activeCell="E23" sqref="E23"/>
    </sheetView>
  </sheetViews>
  <sheetFormatPr baseColWidth="10" defaultColWidth="14.42578125" defaultRowHeight="15" x14ac:dyDescent="0.25"/>
  <cols>
    <col min="1" max="1" width="13.5703125" style="121" customWidth="1"/>
    <col min="2" max="2" width="18" style="121" customWidth="1"/>
    <col min="3" max="3" width="11.28515625" style="121" customWidth="1"/>
    <col min="4" max="4" width="12.42578125" style="121" customWidth="1"/>
    <col min="5" max="5" width="11.5703125" style="121" customWidth="1"/>
    <col min="6" max="6" width="11.28515625" style="121" customWidth="1"/>
    <col min="7" max="7" width="10" style="121" customWidth="1"/>
    <col min="8" max="8" width="14.28515625" style="121" customWidth="1"/>
    <col min="9" max="11" width="11.42578125" style="121" customWidth="1"/>
    <col min="12" max="26" width="10" style="121" customWidth="1"/>
    <col min="27" max="16384" width="14.42578125" style="121"/>
  </cols>
  <sheetData>
    <row r="1" spans="1:13" ht="12.75" customHeight="1" x14ac:dyDescent="0.25">
      <c r="A1" s="122"/>
    </row>
    <row r="2" spans="1:13" ht="13.5" customHeight="1" x14ac:dyDescent="0.25">
      <c r="A2" s="122"/>
      <c r="B2" s="123"/>
    </row>
    <row r="3" spans="1:13" ht="13.5" customHeight="1" x14ac:dyDescent="0.25">
      <c r="A3" s="122"/>
      <c r="C3" s="122"/>
      <c r="D3" s="122"/>
      <c r="E3" s="122"/>
      <c r="F3" s="122"/>
    </row>
    <row r="4" spans="1:13" ht="13.5" customHeight="1" x14ac:dyDescent="0.25">
      <c r="A4" s="122"/>
      <c r="B4" s="383" t="s">
        <v>276</v>
      </c>
      <c r="C4" s="384"/>
      <c r="D4" s="384"/>
      <c r="E4" s="384"/>
      <c r="F4" s="384"/>
      <c r="H4" s="383" t="s">
        <v>277</v>
      </c>
      <c r="I4" s="383"/>
      <c r="J4" s="383"/>
      <c r="K4" s="383"/>
      <c r="L4" s="383"/>
    </row>
    <row r="5" spans="1:13" ht="13.5" customHeight="1" x14ac:dyDescent="0.25">
      <c r="A5" s="122"/>
      <c r="H5" s="122"/>
      <c r="I5" s="122"/>
      <c r="J5" s="122"/>
      <c r="K5" s="122"/>
    </row>
    <row r="6" spans="1:13" ht="26.25" customHeight="1" x14ac:dyDescent="0.25">
      <c r="A6" s="122"/>
      <c r="B6" s="148" t="s">
        <v>46</v>
      </c>
      <c r="C6" s="148" t="s">
        <v>291</v>
      </c>
      <c r="D6" s="148" t="s">
        <v>292</v>
      </c>
      <c r="E6" s="148" t="s">
        <v>293</v>
      </c>
      <c r="F6" s="149" t="s">
        <v>290</v>
      </c>
      <c r="H6" s="388" t="s">
        <v>285</v>
      </c>
      <c r="I6" s="388"/>
      <c r="J6" s="148" t="s">
        <v>293</v>
      </c>
      <c r="K6" s="148" t="s">
        <v>294</v>
      </c>
      <c r="L6" s="149" t="s">
        <v>299</v>
      </c>
      <c r="M6" s="121" t="str">
        <f t="shared" ref="M6" si="0">+LOWER(G6)</f>
        <v/>
      </c>
    </row>
    <row r="7" spans="1:13" ht="12.75" customHeight="1" x14ac:dyDescent="0.25">
      <c r="A7" s="122"/>
      <c r="B7" s="130" t="s">
        <v>2</v>
      </c>
      <c r="C7" s="134">
        <f>+Resumen!D4</f>
        <v>12.99</v>
      </c>
      <c r="D7" s="135">
        <f>+Resumen!D10</f>
        <v>9.5094999999999992</v>
      </c>
      <c r="E7" s="135">
        <f>+C7-D7</f>
        <v>3.480500000000001</v>
      </c>
      <c r="F7" s="136">
        <f>+'Presupuesto de ventas'!S73/'Presupuesto de ventas'!$S$76</f>
        <v>0.51281272529315791</v>
      </c>
      <c r="H7" s="389" t="s">
        <v>2</v>
      </c>
      <c r="I7" s="389"/>
      <c r="J7" s="135">
        <f t="shared" ref="J7:K9" si="1">E7</f>
        <v>3.480500000000001</v>
      </c>
      <c r="K7" s="136">
        <f t="shared" si="1"/>
        <v>0.51281272529315791</v>
      </c>
      <c r="L7" s="138">
        <f>J7*K7</f>
        <v>1.7848446903828366</v>
      </c>
    </row>
    <row r="8" spans="1:13" ht="12.75" customHeight="1" x14ac:dyDescent="0.25">
      <c r="A8" s="122"/>
      <c r="B8" s="130" t="s">
        <v>3</v>
      </c>
      <c r="C8" s="134">
        <f>+Resumen!D5</f>
        <v>13.034000000000001</v>
      </c>
      <c r="D8" s="135">
        <f>+Resumen!D11</f>
        <v>9.6710000000000012</v>
      </c>
      <c r="E8" s="135">
        <f t="shared" ref="E8:E9" si="2">+C8-D8</f>
        <v>3.3629999999999995</v>
      </c>
      <c r="F8" s="136">
        <f>+'Presupuesto de ventas'!S74/'Presupuesto de ventas'!$S$76</f>
        <v>0.38591230147061317</v>
      </c>
      <c r="H8" s="389" t="s">
        <v>3</v>
      </c>
      <c r="I8" s="389"/>
      <c r="J8" s="135">
        <f t="shared" si="1"/>
        <v>3.3629999999999995</v>
      </c>
      <c r="K8" s="136">
        <f t="shared" si="1"/>
        <v>0.38591230147061317</v>
      </c>
      <c r="L8" s="138">
        <f>J8*K8</f>
        <v>1.2978230698456719</v>
      </c>
    </row>
    <row r="9" spans="1:13" ht="13.5" customHeight="1" x14ac:dyDescent="0.25">
      <c r="A9" s="122"/>
      <c r="B9" s="130" t="s">
        <v>4</v>
      </c>
      <c r="C9" s="134">
        <f>+Resumen!D6</f>
        <v>13.992899999999997</v>
      </c>
      <c r="D9" s="135">
        <f>+Resumen!D12</f>
        <v>9.9749999999999996</v>
      </c>
      <c r="E9" s="135">
        <f t="shared" si="2"/>
        <v>4.0178999999999974</v>
      </c>
      <c r="F9" s="136">
        <f>+'Presupuesto de ventas'!S75/'Presupuesto de ventas'!$S$76</f>
        <v>0.10127419684539506</v>
      </c>
      <c r="H9" s="389" t="s">
        <v>4</v>
      </c>
      <c r="I9" s="389"/>
      <c r="J9" s="135">
        <f t="shared" si="1"/>
        <v>4.0178999999999974</v>
      </c>
      <c r="K9" s="136">
        <f t="shared" si="1"/>
        <v>0.10127419684539506</v>
      </c>
      <c r="L9" s="138">
        <f>J9*K9</f>
        <v>0.40690959550511252</v>
      </c>
    </row>
    <row r="10" spans="1:13" ht="13.5" customHeight="1" x14ac:dyDescent="0.25">
      <c r="A10" s="122"/>
      <c r="B10" s="128" t="s">
        <v>50</v>
      </c>
      <c r="C10" s="130"/>
      <c r="D10" s="135"/>
      <c r="E10" s="135"/>
      <c r="F10" s="137">
        <f>SUM(F7:F9)</f>
        <v>0.99999922360916615</v>
      </c>
      <c r="H10" s="385" t="s">
        <v>278</v>
      </c>
      <c r="I10" s="386"/>
      <c r="J10" s="386"/>
      <c r="K10" s="217"/>
      <c r="L10" s="139">
        <f>SUM(L7:L9)</f>
        <v>3.4895773557336209</v>
      </c>
    </row>
    <row r="11" spans="1:13" ht="12.75" customHeight="1" x14ac:dyDescent="0.25">
      <c r="A11" s="122"/>
      <c r="B11" s="122"/>
      <c r="C11" s="122"/>
      <c r="D11" s="122"/>
      <c r="E11" s="122"/>
      <c r="F11" s="122"/>
    </row>
    <row r="12" spans="1:13" ht="12.75" customHeight="1" x14ac:dyDescent="0.25">
      <c r="A12" s="122"/>
      <c r="B12" s="123" t="s">
        <v>279</v>
      </c>
      <c r="C12" s="122"/>
      <c r="D12" s="122"/>
      <c r="E12" s="122"/>
      <c r="F12" s="122"/>
    </row>
    <row r="13" spans="1:13" ht="13.5" customHeight="1" x14ac:dyDescent="0.25">
      <c r="A13" s="122"/>
      <c r="B13" s="122"/>
      <c r="C13" s="122"/>
      <c r="D13" s="122"/>
    </row>
    <row r="14" spans="1:13" ht="15" customHeight="1" x14ac:dyDescent="0.25">
      <c r="A14" s="122"/>
      <c r="B14" s="146" t="s">
        <v>280</v>
      </c>
      <c r="C14" s="140">
        <f>+'Costos unitarios'!C10</f>
        <v>10573.776963949422</v>
      </c>
      <c r="D14" s="122"/>
    </row>
    <row r="15" spans="1:13" ht="12.75" customHeight="1" x14ac:dyDescent="0.25">
      <c r="A15" s="122"/>
      <c r="B15" s="122"/>
      <c r="C15" s="147">
        <f>+L10</f>
        <v>3.4895773557336209</v>
      </c>
      <c r="D15" s="122"/>
    </row>
    <row r="16" spans="1:13" ht="12.75" customHeight="1" x14ac:dyDescent="0.25">
      <c r="A16" s="122"/>
      <c r="B16" s="122"/>
      <c r="C16" s="122"/>
      <c r="D16" s="122"/>
    </row>
    <row r="17" spans="1:13" ht="13.5" customHeight="1" x14ac:dyDescent="0.25">
      <c r="A17" s="122"/>
      <c r="B17" s="146" t="s">
        <v>281</v>
      </c>
      <c r="C17" s="152">
        <f>+C14/C15</f>
        <v>3030.1024697377643</v>
      </c>
      <c r="D17" s="122" t="s">
        <v>282</v>
      </c>
    </row>
    <row r="18" spans="1:13" ht="13.5" customHeight="1" x14ac:dyDescent="0.25">
      <c r="A18" s="122"/>
    </row>
    <row r="19" spans="1:13" ht="13.5" customHeight="1" x14ac:dyDescent="0.25">
      <c r="A19" s="122"/>
      <c r="B19" s="383" t="s">
        <v>283</v>
      </c>
      <c r="C19" s="387"/>
      <c r="D19" s="387"/>
      <c r="E19" s="387"/>
      <c r="F19" s="387"/>
      <c r="H19" s="383" t="s">
        <v>284</v>
      </c>
      <c r="I19" s="387"/>
      <c r="J19" s="387"/>
      <c r="K19" s="387"/>
      <c r="L19" s="387"/>
    </row>
    <row r="20" spans="1:13" ht="12.75" customHeight="1" x14ac:dyDescent="0.25">
      <c r="A20" s="122"/>
      <c r="B20" s="122"/>
      <c r="C20" s="122"/>
      <c r="D20" s="122"/>
      <c r="E20" s="122"/>
      <c r="F20" s="122"/>
      <c r="H20" s="122"/>
      <c r="I20" s="122"/>
      <c r="J20" s="122"/>
      <c r="K20" s="122"/>
      <c r="L20" s="122"/>
    </row>
    <row r="21" spans="1:13" ht="12.75" customHeight="1" x14ac:dyDescent="0.25">
      <c r="A21" s="122"/>
      <c r="B21" s="148" t="s">
        <v>285</v>
      </c>
      <c r="C21" s="149" t="s">
        <v>286</v>
      </c>
      <c r="D21" s="149" t="s">
        <v>287</v>
      </c>
      <c r="E21" s="149" t="s">
        <v>288</v>
      </c>
      <c r="F21" s="149" t="s">
        <v>289</v>
      </c>
      <c r="H21" s="148" t="s">
        <v>285</v>
      </c>
      <c r="I21" s="149" t="s">
        <v>291</v>
      </c>
      <c r="J21" s="149" t="s">
        <v>296</v>
      </c>
      <c r="K21" s="149" t="s">
        <v>297</v>
      </c>
      <c r="L21" s="149" t="s">
        <v>298</v>
      </c>
    </row>
    <row r="22" spans="1:13" ht="13.5" customHeight="1" x14ac:dyDescent="0.25">
      <c r="A22" s="122"/>
      <c r="B22" s="130" t="s">
        <v>2</v>
      </c>
      <c r="C22" s="141" t="s">
        <v>295</v>
      </c>
      <c r="D22" s="142">
        <f>+E22*12</f>
        <v>18646.501265085019</v>
      </c>
      <c r="E22" s="143">
        <f>+$C$17*K7</f>
        <v>1553.8751054237514</v>
      </c>
      <c r="F22" s="143">
        <f>+E22/30</f>
        <v>51.795836847458382</v>
      </c>
      <c r="H22" s="130" t="s">
        <v>2</v>
      </c>
      <c r="I22" s="141">
        <f>+C7</f>
        <v>12.99</v>
      </c>
      <c r="J22" s="142">
        <f>+$I$22*D22</f>
        <v>242218.05143345438</v>
      </c>
      <c r="K22" s="142">
        <f>+$I$22*E22</f>
        <v>20184.837619454531</v>
      </c>
      <c r="L22" s="142">
        <f>+$I$22*F22</f>
        <v>672.82792064848445</v>
      </c>
    </row>
    <row r="23" spans="1:13" ht="12.75" customHeight="1" x14ac:dyDescent="0.25">
      <c r="A23" s="122"/>
      <c r="B23" s="130" t="s">
        <v>3</v>
      </c>
      <c r="C23" s="141" t="s">
        <v>295</v>
      </c>
      <c r="D23" s="142">
        <f>+E23*12</f>
        <v>14032.245813459476</v>
      </c>
      <c r="E23" s="143">
        <f>+$C$17*K8</f>
        <v>1169.3538177882897</v>
      </c>
      <c r="F23" s="143">
        <f>+E23/30</f>
        <v>38.978460592942987</v>
      </c>
      <c r="H23" s="130" t="s">
        <v>3</v>
      </c>
      <c r="I23" s="141">
        <f>+C8</f>
        <v>13.034000000000001</v>
      </c>
      <c r="J23" s="142">
        <f>+D23*$I$23</f>
        <v>182896.29193263082</v>
      </c>
      <c r="K23" s="142">
        <f>+E23*$I$23</f>
        <v>15241.357661052569</v>
      </c>
      <c r="L23" s="142">
        <f>+F23*$I$23</f>
        <v>508.04525536841891</v>
      </c>
    </row>
    <row r="24" spans="1:13" ht="12.75" customHeight="1" x14ac:dyDescent="0.25">
      <c r="A24" s="122"/>
      <c r="B24" s="130" t="s">
        <v>4</v>
      </c>
      <c r="C24" s="141" t="s">
        <v>295</v>
      </c>
      <c r="D24" s="142">
        <f>+E24*12</f>
        <v>3682.4543277832809</v>
      </c>
      <c r="E24" s="143">
        <f>+$C$17*K9</f>
        <v>306.87119398194005</v>
      </c>
      <c r="F24" s="143">
        <f>+E24/30</f>
        <v>10.229039799398002</v>
      </c>
      <c r="H24" s="130" t="s">
        <v>4</v>
      </c>
      <c r="I24" s="141">
        <f>+C9</f>
        <v>13.992899999999997</v>
      </c>
      <c r="J24" s="142">
        <f>+D24*$I$24</f>
        <v>51528.215163238659</v>
      </c>
      <c r="K24" s="142">
        <f>+E24*$I$24</f>
        <v>4294.017930269888</v>
      </c>
      <c r="L24" s="142">
        <f>+F24*$I$24</f>
        <v>143.13393100899629</v>
      </c>
    </row>
    <row r="25" spans="1:13" ht="12.75" customHeight="1" x14ac:dyDescent="0.25">
      <c r="A25" s="122"/>
      <c r="B25" s="385" t="s">
        <v>50</v>
      </c>
      <c r="C25" s="386"/>
      <c r="D25" s="144">
        <f>SUM(D22:D24)</f>
        <v>36361.201406327775</v>
      </c>
      <c r="E25" s="145">
        <f>SUM(E22:E24)</f>
        <v>3030.1001171939811</v>
      </c>
      <c r="F25" s="145">
        <f>SUM(F22:F24)</f>
        <v>101.00333723979938</v>
      </c>
      <c r="H25" s="385" t="s">
        <v>50</v>
      </c>
      <c r="I25" s="386"/>
      <c r="J25" s="144">
        <f>SUM(J22:J24)</f>
        <v>476642.55852932384</v>
      </c>
      <c r="K25" s="144">
        <f>SUM(K22:K24)</f>
        <v>39720.213210776987</v>
      </c>
      <c r="L25" s="144">
        <f>SUM(L22:L24)</f>
        <v>1324.0071070258998</v>
      </c>
    </row>
    <row r="26" spans="1:13" ht="12.75" customHeight="1" x14ac:dyDescent="0.25">
      <c r="A26" s="122"/>
      <c r="B26" s="122"/>
      <c r="C26" s="122"/>
      <c r="D26" s="122"/>
      <c r="E26" s="122"/>
      <c r="F26" s="122"/>
    </row>
    <row r="27" spans="1:13" ht="12.75" customHeight="1" x14ac:dyDescent="0.25">
      <c r="A27" s="122"/>
      <c r="B27" s="123"/>
      <c r="C27" s="122"/>
      <c r="D27" s="122"/>
      <c r="E27" s="122"/>
      <c r="F27" s="122"/>
    </row>
    <row r="28" spans="1:13" ht="12.75" customHeight="1" x14ac:dyDescent="0.25">
      <c r="A28" s="122"/>
    </row>
    <row r="29" spans="1:13" ht="13.5" customHeight="1" x14ac:dyDescent="0.25">
      <c r="A29" s="122"/>
    </row>
    <row r="30" spans="1:13" ht="25.5" customHeight="1" x14ac:dyDescent="0.25">
      <c r="A30" s="122"/>
      <c r="M30" s="121" t="str">
        <f t="shared" ref="M30" si="3">+LOWER(G30)</f>
        <v/>
      </c>
    </row>
    <row r="31" spans="1:13" ht="12.75" customHeight="1" x14ac:dyDescent="0.25">
      <c r="A31" s="122"/>
    </row>
    <row r="32" spans="1:13" ht="12.75" customHeight="1" x14ac:dyDescent="0.25">
      <c r="A32" s="122"/>
    </row>
    <row r="33" spans="1:6" ht="13.5" customHeight="1" x14ac:dyDescent="0.25">
      <c r="A33" s="122"/>
    </row>
    <row r="34" spans="1:6" ht="13.5" customHeight="1" x14ac:dyDescent="0.25">
      <c r="A34" s="122"/>
    </row>
    <row r="35" spans="1:6" ht="12.75" customHeight="1" x14ac:dyDescent="0.25">
      <c r="A35" s="122"/>
      <c r="B35" s="122"/>
      <c r="C35" s="122"/>
      <c r="D35" s="122"/>
      <c r="E35" s="122"/>
      <c r="F35" s="122"/>
    </row>
    <row r="36" spans="1:6" ht="12.75" customHeight="1" x14ac:dyDescent="0.25">
      <c r="A36" s="122"/>
    </row>
    <row r="37" spans="1:6" ht="13.5" customHeight="1" x14ac:dyDescent="0.25">
      <c r="A37" s="122"/>
    </row>
    <row r="38" spans="1:6" ht="25.5" customHeight="1" x14ac:dyDescent="0.25">
      <c r="A38" s="122"/>
    </row>
    <row r="39" spans="1:6" ht="12.75" customHeight="1" x14ac:dyDescent="0.25">
      <c r="A39" s="122"/>
    </row>
    <row r="40" spans="1:6" ht="12.75" customHeight="1" x14ac:dyDescent="0.25">
      <c r="A40" s="122"/>
    </row>
    <row r="41" spans="1:6" ht="13.5" customHeight="1" x14ac:dyDescent="0.25">
      <c r="A41" s="122"/>
    </row>
    <row r="42" spans="1:6" ht="13.5" customHeight="1" x14ac:dyDescent="0.25">
      <c r="A42" s="122"/>
    </row>
    <row r="43" spans="1:6" ht="12.75" customHeight="1" x14ac:dyDescent="0.25">
      <c r="A43" s="122"/>
    </row>
    <row r="44" spans="1:6" ht="12.75" customHeight="1" x14ac:dyDescent="0.25">
      <c r="A44" s="122"/>
    </row>
    <row r="45" spans="1:6" ht="12.75" customHeight="1" x14ac:dyDescent="0.25">
      <c r="A45" s="122"/>
    </row>
    <row r="46" spans="1:6" ht="12.75" customHeight="1" x14ac:dyDescent="0.25">
      <c r="A46" s="122"/>
    </row>
    <row r="47" spans="1:6" ht="12.75" customHeight="1" x14ac:dyDescent="0.25">
      <c r="A47" s="122"/>
    </row>
    <row r="48" spans="1:6" ht="12.75" customHeight="1" x14ac:dyDescent="0.25">
      <c r="A48" s="122"/>
    </row>
    <row r="49" spans="1:1" ht="12.75" customHeight="1" x14ac:dyDescent="0.25">
      <c r="A49" s="122"/>
    </row>
    <row r="50" spans="1:1" ht="12.75" customHeight="1" x14ac:dyDescent="0.25">
      <c r="A50" s="122"/>
    </row>
    <row r="51" spans="1:1" ht="12.75" customHeight="1" x14ac:dyDescent="0.25">
      <c r="A51" s="122"/>
    </row>
    <row r="52" spans="1:1" ht="12.75" customHeight="1" x14ac:dyDescent="0.25">
      <c r="A52" s="122"/>
    </row>
    <row r="53" spans="1:1" ht="12.75" customHeight="1" x14ac:dyDescent="0.25">
      <c r="A53" s="122"/>
    </row>
    <row r="54" spans="1:1" ht="12.75" customHeight="1" x14ac:dyDescent="0.25">
      <c r="A54" s="122"/>
    </row>
    <row r="55" spans="1:1" ht="12.75" customHeight="1" x14ac:dyDescent="0.25">
      <c r="A55" s="122"/>
    </row>
    <row r="56" spans="1:1" ht="12.75" customHeight="1" x14ac:dyDescent="0.25">
      <c r="A56" s="122"/>
    </row>
    <row r="57" spans="1:1" ht="12.75" customHeight="1" x14ac:dyDescent="0.25">
      <c r="A57" s="122"/>
    </row>
    <row r="58" spans="1:1" ht="12.75" customHeight="1" x14ac:dyDescent="0.25">
      <c r="A58" s="122"/>
    </row>
    <row r="59" spans="1:1" ht="12.75" customHeight="1" x14ac:dyDescent="0.25">
      <c r="A59" s="122"/>
    </row>
    <row r="60" spans="1:1" ht="12.75" customHeight="1" x14ac:dyDescent="0.25">
      <c r="A60" s="122"/>
    </row>
    <row r="61" spans="1:1" ht="12.75" customHeight="1" x14ac:dyDescent="0.25">
      <c r="A61" s="122"/>
    </row>
    <row r="62" spans="1:1" ht="12.75" customHeight="1" x14ac:dyDescent="0.25">
      <c r="A62" s="122"/>
    </row>
    <row r="63" spans="1:1" ht="12.75" customHeight="1" x14ac:dyDescent="0.25">
      <c r="A63" s="122"/>
    </row>
    <row r="64" spans="1:1" ht="12.75" customHeight="1" x14ac:dyDescent="0.25">
      <c r="A64" s="122"/>
    </row>
    <row r="65" spans="1:1" ht="12.75" customHeight="1" x14ac:dyDescent="0.25">
      <c r="A65" s="122"/>
    </row>
    <row r="66" spans="1:1" ht="12.75" customHeight="1" x14ac:dyDescent="0.25">
      <c r="A66" s="122"/>
    </row>
    <row r="67" spans="1:1" ht="12.75" customHeight="1" x14ac:dyDescent="0.25">
      <c r="A67" s="122"/>
    </row>
    <row r="68" spans="1:1" ht="12.75" customHeight="1" x14ac:dyDescent="0.25">
      <c r="A68" s="122"/>
    </row>
    <row r="69" spans="1:1" ht="12.75" customHeight="1" x14ac:dyDescent="0.25">
      <c r="A69" s="122"/>
    </row>
    <row r="70" spans="1:1" ht="12.75" customHeight="1" x14ac:dyDescent="0.25">
      <c r="A70" s="122"/>
    </row>
    <row r="71" spans="1:1" ht="12.75" customHeight="1" x14ac:dyDescent="0.25">
      <c r="A71" s="122"/>
    </row>
    <row r="72" spans="1:1" ht="12.75" customHeight="1" x14ac:dyDescent="0.25">
      <c r="A72" s="122"/>
    </row>
    <row r="73" spans="1:1" ht="12.75" customHeight="1" x14ac:dyDescent="0.25">
      <c r="A73" s="122"/>
    </row>
    <row r="74" spans="1:1" ht="12.75" customHeight="1" x14ac:dyDescent="0.25">
      <c r="A74" s="122"/>
    </row>
    <row r="75" spans="1:1" ht="12.75" customHeight="1" x14ac:dyDescent="0.25">
      <c r="A75" s="122"/>
    </row>
    <row r="76" spans="1:1" ht="12.75" customHeight="1" x14ac:dyDescent="0.25">
      <c r="A76" s="122"/>
    </row>
    <row r="77" spans="1:1" ht="12.75" customHeight="1" x14ac:dyDescent="0.25">
      <c r="A77" s="122"/>
    </row>
    <row r="78" spans="1:1" ht="12.75" customHeight="1" x14ac:dyDescent="0.25">
      <c r="A78" s="122"/>
    </row>
    <row r="79" spans="1:1" ht="12.75" customHeight="1" x14ac:dyDescent="0.25">
      <c r="A79" s="122"/>
    </row>
    <row r="80" spans="1:1" ht="12.75" customHeight="1" x14ac:dyDescent="0.25">
      <c r="A80" s="122"/>
    </row>
    <row r="81" spans="1:1" ht="12.75" customHeight="1" x14ac:dyDescent="0.25">
      <c r="A81" s="122"/>
    </row>
    <row r="82" spans="1:1" ht="12.75" customHeight="1" x14ac:dyDescent="0.25">
      <c r="A82" s="122"/>
    </row>
    <row r="83" spans="1:1" ht="12.75" customHeight="1" x14ac:dyDescent="0.25">
      <c r="A83" s="122"/>
    </row>
    <row r="84" spans="1:1" ht="12.75" customHeight="1" x14ac:dyDescent="0.25">
      <c r="A84" s="122"/>
    </row>
    <row r="85" spans="1:1" ht="12.75" customHeight="1" x14ac:dyDescent="0.25">
      <c r="A85" s="122"/>
    </row>
    <row r="86" spans="1:1" ht="12.75" customHeight="1" x14ac:dyDescent="0.25">
      <c r="A86" s="122"/>
    </row>
    <row r="87" spans="1:1" ht="12.75" customHeight="1" x14ac:dyDescent="0.25">
      <c r="A87" s="122"/>
    </row>
    <row r="88" spans="1:1" ht="12.75" customHeight="1" x14ac:dyDescent="0.25">
      <c r="A88" s="122"/>
    </row>
    <row r="89" spans="1:1" ht="12.75" customHeight="1" x14ac:dyDescent="0.25">
      <c r="A89" s="122"/>
    </row>
    <row r="90" spans="1:1" ht="12.75" customHeight="1" x14ac:dyDescent="0.25">
      <c r="A90" s="122"/>
    </row>
    <row r="91" spans="1:1" ht="12.75" customHeight="1" x14ac:dyDescent="0.25">
      <c r="A91" s="122"/>
    </row>
    <row r="92" spans="1:1" ht="12.75" customHeight="1" x14ac:dyDescent="0.25">
      <c r="A92" s="122"/>
    </row>
    <row r="93" spans="1:1" ht="12.75" customHeight="1" x14ac:dyDescent="0.25">
      <c r="A93" s="122"/>
    </row>
    <row r="94" spans="1:1" ht="12.75" customHeight="1" x14ac:dyDescent="0.25">
      <c r="A94" s="122"/>
    </row>
    <row r="95" spans="1:1" ht="12.75" customHeight="1" x14ac:dyDescent="0.25">
      <c r="A95" s="122"/>
    </row>
    <row r="96" spans="1:1" ht="12.75" customHeight="1" x14ac:dyDescent="0.25">
      <c r="A96" s="122"/>
    </row>
    <row r="97" spans="1:1" ht="12.75" customHeight="1" x14ac:dyDescent="0.25">
      <c r="A97" s="122"/>
    </row>
    <row r="98" spans="1:1" ht="12.75" customHeight="1" x14ac:dyDescent="0.25">
      <c r="A98" s="122"/>
    </row>
    <row r="99" spans="1:1" ht="12.75" customHeight="1" x14ac:dyDescent="0.25">
      <c r="A99" s="122"/>
    </row>
    <row r="100" spans="1:1" ht="12.75" customHeight="1" x14ac:dyDescent="0.25">
      <c r="A100" s="122"/>
    </row>
    <row r="101" spans="1:1" ht="12.75" customHeight="1" x14ac:dyDescent="0.25">
      <c r="A101" s="122"/>
    </row>
    <row r="102" spans="1:1" ht="12.75" customHeight="1" x14ac:dyDescent="0.25">
      <c r="A102" s="122"/>
    </row>
    <row r="103" spans="1:1" ht="12.75" customHeight="1" x14ac:dyDescent="0.25">
      <c r="A103" s="122"/>
    </row>
    <row r="104" spans="1:1" ht="12.75" customHeight="1" x14ac:dyDescent="0.25">
      <c r="A104" s="122"/>
    </row>
    <row r="105" spans="1:1" ht="12.75" customHeight="1" x14ac:dyDescent="0.25">
      <c r="A105" s="122"/>
    </row>
    <row r="106" spans="1:1" ht="12.75" customHeight="1" x14ac:dyDescent="0.25">
      <c r="A106" s="122"/>
    </row>
    <row r="107" spans="1:1" ht="12.75" customHeight="1" x14ac:dyDescent="0.25">
      <c r="A107" s="122"/>
    </row>
    <row r="108" spans="1:1" ht="12.75" customHeight="1" x14ac:dyDescent="0.25">
      <c r="A108" s="122"/>
    </row>
    <row r="109" spans="1:1" ht="12.75" customHeight="1" x14ac:dyDescent="0.25">
      <c r="A109" s="122"/>
    </row>
    <row r="110" spans="1:1" ht="12.75" customHeight="1" x14ac:dyDescent="0.25">
      <c r="A110" s="122"/>
    </row>
    <row r="111" spans="1:1" ht="12.75" customHeight="1" x14ac:dyDescent="0.25">
      <c r="A111" s="122"/>
    </row>
    <row r="112" spans="1:1" ht="12.75" customHeight="1" x14ac:dyDescent="0.25">
      <c r="A112" s="122"/>
    </row>
    <row r="113" spans="1:1" ht="12.75" customHeight="1" x14ac:dyDescent="0.25">
      <c r="A113" s="122"/>
    </row>
    <row r="114" spans="1:1" ht="12.75" customHeight="1" x14ac:dyDescent="0.25">
      <c r="A114" s="122"/>
    </row>
    <row r="115" spans="1:1" ht="12.75" customHeight="1" x14ac:dyDescent="0.25">
      <c r="A115" s="122"/>
    </row>
    <row r="116" spans="1:1" ht="12.75" customHeight="1" x14ac:dyDescent="0.25">
      <c r="A116" s="122"/>
    </row>
    <row r="117" spans="1:1" ht="12.75" customHeight="1" x14ac:dyDescent="0.25">
      <c r="A117" s="122"/>
    </row>
    <row r="118" spans="1:1" ht="12.75" customHeight="1" x14ac:dyDescent="0.25">
      <c r="A118" s="122"/>
    </row>
    <row r="119" spans="1:1" ht="12.75" customHeight="1" x14ac:dyDescent="0.25">
      <c r="A119" s="122"/>
    </row>
    <row r="120" spans="1:1" ht="12.75" customHeight="1" x14ac:dyDescent="0.25">
      <c r="A120" s="122"/>
    </row>
    <row r="121" spans="1:1" ht="12.75" customHeight="1" x14ac:dyDescent="0.25">
      <c r="A121" s="122"/>
    </row>
    <row r="122" spans="1:1" ht="12.75" customHeight="1" x14ac:dyDescent="0.25">
      <c r="A122" s="122"/>
    </row>
    <row r="123" spans="1:1" ht="12.75" customHeight="1" x14ac:dyDescent="0.25">
      <c r="A123" s="122"/>
    </row>
    <row r="124" spans="1:1" ht="12.75" customHeight="1" x14ac:dyDescent="0.25">
      <c r="A124" s="122"/>
    </row>
    <row r="125" spans="1:1" ht="12.75" customHeight="1" x14ac:dyDescent="0.25">
      <c r="A125" s="122"/>
    </row>
    <row r="126" spans="1:1" ht="12.75" customHeight="1" x14ac:dyDescent="0.25">
      <c r="A126" s="122"/>
    </row>
    <row r="127" spans="1:1" ht="12.75" customHeight="1" x14ac:dyDescent="0.25">
      <c r="A127" s="122"/>
    </row>
    <row r="128" spans="1:1" ht="12.75" customHeight="1" x14ac:dyDescent="0.25">
      <c r="A128" s="122"/>
    </row>
    <row r="129" spans="1:1" ht="12.75" customHeight="1" x14ac:dyDescent="0.25">
      <c r="A129" s="122"/>
    </row>
    <row r="130" spans="1:1" ht="12.75" customHeight="1" x14ac:dyDescent="0.25">
      <c r="A130" s="122"/>
    </row>
    <row r="131" spans="1:1" ht="12.75" customHeight="1" x14ac:dyDescent="0.25">
      <c r="A131" s="122"/>
    </row>
    <row r="132" spans="1:1" ht="12.75" customHeight="1" x14ac:dyDescent="0.25">
      <c r="A132" s="122"/>
    </row>
    <row r="133" spans="1:1" ht="12.75" customHeight="1" x14ac:dyDescent="0.25">
      <c r="A133" s="122"/>
    </row>
    <row r="134" spans="1:1" ht="12.75" customHeight="1" x14ac:dyDescent="0.25">
      <c r="A134" s="122"/>
    </row>
    <row r="135" spans="1:1" ht="12.75" customHeight="1" x14ac:dyDescent="0.25">
      <c r="A135" s="122"/>
    </row>
    <row r="136" spans="1:1" ht="12.75" customHeight="1" x14ac:dyDescent="0.25">
      <c r="A136" s="122"/>
    </row>
    <row r="137" spans="1:1" ht="12.75" customHeight="1" x14ac:dyDescent="0.25">
      <c r="A137" s="122"/>
    </row>
    <row r="138" spans="1:1" ht="12.75" customHeight="1" x14ac:dyDescent="0.25">
      <c r="A138" s="122"/>
    </row>
    <row r="139" spans="1:1" ht="12.75" customHeight="1" x14ac:dyDescent="0.25">
      <c r="A139" s="122"/>
    </row>
    <row r="140" spans="1:1" ht="12.75" customHeight="1" x14ac:dyDescent="0.25">
      <c r="A140" s="122"/>
    </row>
    <row r="141" spans="1:1" ht="12.75" customHeight="1" x14ac:dyDescent="0.25">
      <c r="A141" s="122"/>
    </row>
    <row r="142" spans="1:1" ht="12.75" customHeight="1" x14ac:dyDescent="0.25">
      <c r="A142" s="122"/>
    </row>
    <row r="143" spans="1:1" ht="12.75" customHeight="1" x14ac:dyDescent="0.25">
      <c r="A143" s="122"/>
    </row>
    <row r="144" spans="1:1" ht="12.75" customHeight="1" x14ac:dyDescent="0.25">
      <c r="A144" s="122"/>
    </row>
    <row r="145" spans="1:1" ht="12.75" customHeight="1" x14ac:dyDescent="0.25">
      <c r="A145" s="122"/>
    </row>
    <row r="146" spans="1:1" ht="12.75" customHeight="1" x14ac:dyDescent="0.25">
      <c r="A146" s="122"/>
    </row>
    <row r="147" spans="1:1" ht="12.75" customHeight="1" x14ac:dyDescent="0.25">
      <c r="A147" s="122"/>
    </row>
    <row r="148" spans="1:1" ht="12.75" customHeight="1" x14ac:dyDescent="0.25">
      <c r="A148" s="122"/>
    </row>
    <row r="149" spans="1:1" ht="12.75" customHeight="1" x14ac:dyDescent="0.25">
      <c r="A149" s="122"/>
    </row>
    <row r="150" spans="1:1" ht="12.75" customHeight="1" x14ac:dyDescent="0.25">
      <c r="A150" s="122"/>
    </row>
    <row r="151" spans="1:1" ht="12.75" customHeight="1" x14ac:dyDescent="0.25">
      <c r="A151" s="122"/>
    </row>
    <row r="152" spans="1:1" ht="12.75" customHeight="1" x14ac:dyDescent="0.25">
      <c r="A152" s="122"/>
    </row>
    <row r="153" spans="1:1" ht="12.75" customHeight="1" x14ac:dyDescent="0.25">
      <c r="A153" s="122"/>
    </row>
    <row r="154" spans="1:1" ht="12.75" customHeight="1" x14ac:dyDescent="0.25">
      <c r="A154" s="122"/>
    </row>
    <row r="155" spans="1:1" ht="12.75" customHeight="1" x14ac:dyDescent="0.25">
      <c r="A155" s="122"/>
    </row>
    <row r="156" spans="1:1" ht="12.75" customHeight="1" x14ac:dyDescent="0.25">
      <c r="A156" s="122"/>
    </row>
    <row r="157" spans="1:1" ht="12.75" customHeight="1" x14ac:dyDescent="0.25">
      <c r="A157" s="122"/>
    </row>
    <row r="158" spans="1:1" ht="12.75" customHeight="1" x14ac:dyDescent="0.25">
      <c r="A158" s="122"/>
    </row>
    <row r="159" spans="1:1" ht="12.75" customHeight="1" x14ac:dyDescent="0.25">
      <c r="A159" s="122"/>
    </row>
    <row r="160" spans="1:1" ht="12.75" customHeight="1" x14ac:dyDescent="0.25">
      <c r="A160" s="122"/>
    </row>
    <row r="161" spans="1:1" ht="12.75" customHeight="1" x14ac:dyDescent="0.25">
      <c r="A161" s="122"/>
    </row>
    <row r="162" spans="1:1" ht="12.75" customHeight="1" x14ac:dyDescent="0.25">
      <c r="A162" s="122"/>
    </row>
    <row r="163" spans="1:1" ht="12.75" customHeight="1" x14ac:dyDescent="0.25">
      <c r="A163" s="122"/>
    </row>
    <row r="164" spans="1:1" ht="12.75" customHeight="1" x14ac:dyDescent="0.25">
      <c r="A164" s="122"/>
    </row>
    <row r="165" spans="1:1" ht="12.75" customHeight="1" x14ac:dyDescent="0.25">
      <c r="A165" s="122"/>
    </row>
    <row r="166" spans="1:1" ht="12.75" customHeight="1" x14ac:dyDescent="0.25">
      <c r="A166" s="122"/>
    </row>
    <row r="167" spans="1:1" ht="12.75" customHeight="1" x14ac:dyDescent="0.25">
      <c r="A167" s="122"/>
    </row>
    <row r="168" spans="1:1" ht="12.75" customHeight="1" x14ac:dyDescent="0.25">
      <c r="A168" s="122"/>
    </row>
    <row r="169" spans="1:1" ht="12.75" customHeight="1" x14ac:dyDescent="0.25">
      <c r="A169" s="122"/>
    </row>
    <row r="170" spans="1:1" ht="12.75" customHeight="1" x14ac:dyDescent="0.25">
      <c r="A170" s="122"/>
    </row>
    <row r="171" spans="1:1" ht="12.75" customHeight="1" x14ac:dyDescent="0.25">
      <c r="A171" s="122"/>
    </row>
    <row r="172" spans="1:1" ht="12.75" customHeight="1" x14ac:dyDescent="0.25">
      <c r="A172" s="122"/>
    </row>
    <row r="173" spans="1:1" ht="12.75" customHeight="1" x14ac:dyDescent="0.25">
      <c r="A173" s="122"/>
    </row>
    <row r="174" spans="1:1" ht="12.75" customHeight="1" x14ac:dyDescent="0.25">
      <c r="A174" s="122"/>
    </row>
    <row r="175" spans="1:1" ht="12.75" customHeight="1" x14ac:dyDescent="0.25">
      <c r="A175" s="122"/>
    </row>
    <row r="176" spans="1:1" ht="12.75" customHeight="1" x14ac:dyDescent="0.25">
      <c r="A176" s="122"/>
    </row>
    <row r="177" spans="1:1" ht="12.75" customHeight="1" x14ac:dyDescent="0.25">
      <c r="A177" s="122"/>
    </row>
    <row r="178" spans="1:1" ht="12.75" customHeight="1" x14ac:dyDescent="0.25">
      <c r="A178" s="122"/>
    </row>
    <row r="179" spans="1:1" ht="12.75" customHeight="1" x14ac:dyDescent="0.25">
      <c r="A179" s="122"/>
    </row>
    <row r="180" spans="1:1" ht="12.75" customHeight="1" x14ac:dyDescent="0.25">
      <c r="A180" s="122"/>
    </row>
    <row r="181" spans="1:1" ht="12.75" customHeight="1" x14ac:dyDescent="0.25">
      <c r="A181" s="122"/>
    </row>
    <row r="182" spans="1:1" ht="12.75" customHeight="1" x14ac:dyDescent="0.25">
      <c r="A182" s="122"/>
    </row>
    <row r="183" spans="1:1" ht="12.75" customHeight="1" x14ac:dyDescent="0.25">
      <c r="A183" s="122"/>
    </row>
    <row r="184" spans="1:1" ht="12.75" customHeight="1" x14ac:dyDescent="0.25">
      <c r="A184" s="122"/>
    </row>
    <row r="185" spans="1:1" ht="12.75" customHeight="1" x14ac:dyDescent="0.25">
      <c r="A185" s="122"/>
    </row>
    <row r="186" spans="1:1" ht="12.75" customHeight="1" x14ac:dyDescent="0.25">
      <c r="A186" s="122"/>
    </row>
    <row r="187" spans="1:1" ht="12.75" customHeight="1" x14ac:dyDescent="0.25">
      <c r="A187" s="122"/>
    </row>
    <row r="188" spans="1:1" ht="12.75" customHeight="1" x14ac:dyDescent="0.25">
      <c r="A188" s="122"/>
    </row>
    <row r="189" spans="1:1" ht="12.75" customHeight="1" x14ac:dyDescent="0.25">
      <c r="A189" s="122"/>
    </row>
    <row r="190" spans="1:1" ht="12.75" customHeight="1" x14ac:dyDescent="0.25">
      <c r="A190" s="122"/>
    </row>
    <row r="191" spans="1:1" ht="12.75" customHeight="1" x14ac:dyDescent="0.25">
      <c r="A191" s="122"/>
    </row>
    <row r="192" spans="1:1" ht="12.75" customHeight="1" x14ac:dyDescent="0.25">
      <c r="A192" s="122"/>
    </row>
    <row r="193" spans="1:1" ht="12.75" customHeight="1" x14ac:dyDescent="0.25">
      <c r="A193" s="122"/>
    </row>
    <row r="194" spans="1:1" ht="12.75" customHeight="1" x14ac:dyDescent="0.25">
      <c r="A194" s="122"/>
    </row>
    <row r="195" spans="1:1" ht="12.75" customHeight="1" x14ac:dyDescent="0.25">
      <c r="A195" s="122"/>
    </row>
    <row r="196" spans="1:1" ht="12.75" customHeight="1" x14ac:dyDescent="0.25">
      <c r="A196" s="122"/>
    </row>
    <row r="197" spans="1:1" ht="12.75" customHeight="1" x14ac:dyDescent="0.25">
      <c r="A197" s="122"/>
    </row>
    <row r="198" spans="1:1" ht="12.75" customHeight="1" x14ac:dyDescent="0.25">
      <c r="A198" s="122"/>
    </row>
    <row r="199" spans="1:1" ht="12.75" customHeight="1" x14ac:dyDescent="0.25">
      <c r="A199" s="122"/>
    </row>
    <row r="200" spans="1:1" ht="12.75" customHeight="1" x14ac:dyDescent="0.25">
      <c r="A200" s="122"/>
    </row>
    <row r="201" spans="1:1" ht="12.75" customHeight="1" x14ac:dyDescent="0.25">
      <c r="A201" s="122"/>
    </row>
    <row r="202" spans="1:1" ht="12.75" customHeight="1" x14ac:dyDescent="0.25">
      <c r="A202" s="122"/>
    </row>
    <row r="203" spans="1:1" ht="12.75" customHeight="1" x14ac:dyDescent="0.25">
      <c r="A203" s="122"/>
    </row>
    <row r="204" spans="1:1" ht="12.75" customHeight="1" x14ac:dyDescent="0.25">
      <c r="A204" s="122"/>
    </row>
    <row r="205" spans="1:1" ht="12.75" customHeight="1" x14ac:dyDescent="0.25">
      <c r="A205" s="122"/>
    </row>
    <row r="206" spans="1:1" ht="12.75" customHeight="1" x14ac:dyDescent="0.25">
      <c r="A206" s="122"/>
    </row>
    <row r="207" spans="1:1" ht="12.75" customHeight="1" x14ac:dyDescent="0.25">
      <c r="A207" s="122"/>
    </row>
    <row r="208" spans="1:1" ht="12.75" customHeight="1" x14ac:dyDescent="0.25">
      <c r="A208" s="122"/>
    </row>
    <row r="209" spans="1:1" ht="12.75" customHeight="1" x14ac:dyDescent="0.25">
      <c r="A209" s="122"/>
    </row>
    <row r="210" spans="1:1" ht="12.75" customHeight="1" x14ac:dyDescent="0.25">
      <c r="A210" s="122"/>
    </row>
    <row r="211" spans="1:1" ht="12.75" customHeight="1" x14ac:dyDescent="0.25">
      <c r="A211" s="122"/>
    </row>
    <row r="212" spans="1:1" ht="12.75" customHeight="1" x14ac:dyDescent="0.25">
      <c r="A212" s="122"/>
    </row>
    <row r="213" spans="1:1" ht="12.75" customHeight="1" x14ac:dyDescent="0.25">
      <c r="A213" s="122"/>
    </row>
    <row r="214" spans="1:1" ht="12.75" customHeight="1" x14ac:dyDescent="0.25">
      <c r="A214" s="122"/>
    </row>
    <row r="215" spans="1:1" ht="12.75" customHeight="1" x14ac:dyDescent="0.25">
      <c r="A215" s="122"/>
    </row>
    <row r="216" spans="1:1" ht="12.75" customHeight="1" x14ac:dyDescent="0.25">
      <c r="A216" s="122"/>
    </row>
    <row r="217" spans="1:1" ht="12.75" customHeight="1" x14ac:dyDescent="0.25">
      <c r="A217" s="122"/>
    </row>
    <row r="218" spans="1:1" ht="12.75" customHeight="1" x14ac:dyDescent="0.25">
      <c r="A218" s="122"/>
    </row>
    <row r="219" spans="1:1" ht="12.75" customHeight="1" x14ac:dyDescent="0.25">
      <c r="A219" s="122"/>
    </row>
    <row r="220" spans="1:1" ht="12.75" customHeight="1" x14ac:dyDescent="0.25">
      <c r="A220" s="122"/>
    </row>
    <row r="221" spans="1:1" ht="12.75" customHeight="1" x14ac:dyDescent="0.25">
      <c r="A221" s="122"/>
    </row>
    <row r="222" spans="1:1" ht="12.75" customHeight="1" x14ac:dyDescent="0.25">
      <c r="A222" s="122"/>
    </row>
    <row r="223" spans="1:1" ht="12.75" customHeight="1" x14ac:dyDescent="0.25">
      <c r="A223" s="122"/>
    </row>
    <row r="224" spans="1:1" ht="12.75" customHeight="1" x14ac:dyDescent="0.25">
      <c r="A224" s="122"/>
    </row>
    <row r="225" spans="1:1" ht="12.75" customHeight="1" x14ac:dyDescent="0.25">
      <c r="A225" s="122"/>
    </row>
    <row r="226" spans="1:1" ht="12.75" customHeight="1" x14ac:dyDescent="0.25">
      <c r="A226" s="122"/>
    </row>
    <row r="227" spans="1:1" ht="12.75" customHeight="1" x14ac:dyDescent="0.25">
      <c r="A227" s="122"/>
    </row>
    <row r="228" spans="1:1" ht="12.75" customHeight="1" x14ac:dyDescent="0.25">
      <c r="A228" s="122"/>
    </row>
    <row r="229" spans="1:1" ht="12.75" customHeight="1" x14ac:dyDescent="0.25">
      <c r="A229" s="122"/>
    </row>
    <row r="230" spans="1:1" ht="12.75" customHeight="1" x14ac:dyDescent="0.25">
      <c r="A230" s="122"/>
    </row>
    <row r="231" spans="1:1" ht="12.75" customHeight="1" x14ac:dyDescent="0.25">
      <c r="A231" s="122"/>
    </row>
    <row r="232" spans="1:1" ht="12.75" customHeight="1" x14ac:dyDescent="0.25">
      <c r="A232" s="122"/>
    </row>
    <row r="233" spans="1:1" ht="12.75" customHeight="1" x14ac:dyDescent="0.25">
      <c r="A233" s="122"/>
    </row>
    <row r="234" spans="1:1" ht="12.75" customHeight="1" x14ac:dyDescent="0.25">
      <c r="A234" s="122"/>
    </row>
    <row r="235" spans="1:1" ht="12.75" customHeight="1" x14ac:dyDescent="0.25">
      <c r="A235" s="122"/>
    </row>
    <row r="236" spans="1:1" ht="12.75" customHeight="1" x14ac:dyDescent="0.25">
      <c r="A236" s="122"/>
    </row>
    <row r="237" spans="1:1" ht="12.75" customHeight="1" x14ac:dyDescent="0.25">
      <c r="A237" s="122"/>
    </row>
    <row r="238" spans="1:1" ht="12.75" customHeight="1" x14ac:dyDescent="0.25">
      <c r="A238" s="122"/>
    </row>
    <row r="239" spans="1:1" ht="12.75" customHeight="1" x14ac:dyDescent="0.25">
      <c r="A239" s="122"/>
    </row>
    <row r="240" spans="1:1" ht="12.75" customHeight="1" x14ac:dyDescent="0.25">
      <c r="A240" s="122"/>
    </row>
    <row r="241" spans="1:1" ht="12.75" customHeight="1" x14ac:dyDescent="0.25">
      <c r="A241" s="122"/>
    </row>
    <row r="242" spans="1:1" ht="12.75" customHeight="1" x14ac:dyDescent="0.25">
      <c r="A242" s="122"/>
    </row>
    <row r="243" spans="1:1" ht="12.75" customHeight="1" x14ac:dyDescent="0.25">
      <c r="A243" s="122"/>
    </row>
    <row r="244" spans="1:1" ht="12.75" customHeight="1" x14ac:dyDescent="0.25">
      <c r="A244" s="122"/>
    </row>
    <row r="245" spans="1:1" ht="12.75" customHeight="1" x14ac:dyDescent="0.25">
      <c r="A245" s="122"/>
    </row>
    <row r="246" spans="1:1" ht="12.75" customHeight="1" x14ac:dyDescent="0.25">
      <c r="A246" s="122"/>
    </row>
    <row r="247" spans="1:1" ht="12.75" customHeight="1" x14ac:dyDescent="0.25">
      <c r="A247" s="122"/>
    </row>
    <row r="248" spans="1:1" ht="12.75" customHeight="1" x14ac:dyDescent="0.25">
      <c r="A248" s="122"/>
    </row>
    <row r="249" spans="1:1" ht="12.75" customHeight="1" x14ac:dyDescent="0.25">
      <c r="A249" s="122"/>
    </row>
    <row r="250" spans="1:1" ht="12.75" customHeight="1" x14ac:dyDescent="0.25">
      <c r="A250" s="122"/>
    </row>
    <row r="251" spans="1:1" ht="12.75" customHeight="1" x14ac:dyDescent="0.25">
      <c r="A251" s="122"/>
    </row>
    <row r="252" spans="1:1" ht="12.75" customHeight="1" x14ac:dyDescent="0.25">
      <c r="A252" s="122"/>
    </row>
    <row r="253" spans="1:1" ht="12.75" customHeight="1" x14ac:dyDescent="0.25">
      <c r="A253" s="122"/>
    </row>
    <row r="254" spans="1:1" ht="12.75" customHeight="1" x14ac:dyDescent="0.25">
      <c r="A254" s="122"/>
    </row>
    <row r="255" spans="1:1" ht="12.75" customHeight="1" x14ac:dyDescent="0.25">
      <c r="A255" s="122"/>
    </row>
    <row r="256" spans="1:1" ht="12.75" customHeight="1" x14ac:dyDescent="0.25">
      <c r="A256" s="122"/>
    </row>
    <row r="257" spans="1:1" ht="12.75" customHeight="1" x14ac:dyDescent="0.25">
      <c r="A257" s="122"/>
    </row>
    <row r="258" spans="1:1" ht="12.75" customHeight="1" x14ac:dyDescent="0.25">
      <c r="A258" s="122"/>
    </row>
    <row r="259" spans="1:1" ht="12.75" customHeight="1" x14ac:dyDescent="0.25">
      <c r="A259" s="122"/>
    </row>
    <row r="260" spans="1:1" ht="12.75" customHeight="1" x14ac:dyDescent="0.25">
      <c r="A260" s="122"/>
    </row>
    <row r="261" spans="1:1" ht="12.75" customHeight="1" x14ac:dyDescent="0.25">
      <c r="A261" s="122"/>
    </row>
    <row r="262" spans="1:1" ht="12.75" customHeight="1" x14ac:dyDescent="0.25">
      <c r="A262" s="122"/>
    </row>
    <row r="263" spans="1:1" ht="12.75" customHeight="1" x14ac:dyDescent="0.25">
      <c r="A263" s="122"/>
    </row>
    <row r="264" spans="1:1" ht="12.75" customHeight="1" x14ac:dyDescent="0.25">
      <c r="A264" s="122"/>
    </row>
    <row r="265" spans="1:1" ht="12.75" customHeight="1" x14ac:dyDescent="0.25">
      <c r="A265" s="122"/>
    </row>
    <row r="266" spans="1:1" ht="12.75" customHeight="1" x14ac:dyDescent="0.25">
      <c r="A266" s="122"/>
    </row>
    <row r="267" spans="1:1" ht="12.75" customHeight="1" x14ac:dyDescent="0.25">
      <c r="A267" s="122"/>
    </row>
    <row r="268" spans="1:1" ht="12.75" customHeight="1" x14ac:dyDescent="0.25">
      <c r="A268" s="122"/>
    </row>
    <row r="269" spans="1:1" ht="12.75" customHeight="1" x14ac:dyDescent="0.25">
      <c r="A269" s="122"/>
    </row>
    <row r="270" spans="1:1" ht="12.75" customHeight="1" x14ac:dyDescent="0.25">
      <c r="A270" s="122"/>
    </row>
    <row r="271" spans="1:1" ht="12.75" customHeight="1" x14ac:dyDescent="0.25">
      <c r="A271" s="122"/>
    </row>
    <row r="272" spans="1:1" ht="12.75" customHeight="1" x14ac:dyDescent="0.25">
      <c r="A272" s="122"/>
    </row>
    <row r="273" spans="1:1" ht="12.75" customHeight="1" x14ac:dyDescent="0.25">
      <c r="A273" s="122"/>
    </row>
    <row r="274" spans="1:1" ht="12.75" customHeight="1" x14ac:dyDescent="0.25">
      <c r="A274" s="122"/>
    </row>
    <row r="275" spans="1:1" ht="12.75" customHeight="1" x14ac:dyDescent="0.25">
      <c r="A275" s="122"/>
    </row>
    <row r="276" spans="1:1" ht="12.75" customHeight="1" x14ac:dyDescent="0.25">
      <c r="A276" s="122"/>
    </row>
    <row r="277" spans="1:1" ht="12.75" customHeight="1" x14ac:dyDescent="0.25">
      <c r="A277" s="122"/>
    </row>
    <row r="278" spans="1:1" ht="12.75" customHeight="1" x14ac:dyDescent="0.25">
      <c r="A278" s="122"/>
    </row>
    <row r="279" spans="1:1" ht="12.75" customHeight="1" x14ac:dyDescent="0.25">
      <c r="A279" s="122"/>
    </row>
    <row r="280" spans="1:1" ht="12.75" customHeight="1" x14ac:dyDescent="0.25">
      <c r="A280" s="122"/>
    </row>
    <row r="281" spans="1:1" ht="12.75" customHeight="1" x14ac:dyDescent="0.25">
      <c r="A281" s="122"/>
    </row>
    <row r="282" spans="1:1" ht="12.75" customHeight="1" x14ac:dyDescent="0.25">
      <c r="A282" s="122"/>
    </row>
    <row r="283" spans="1:1" ht="12.75" customHeight="1" x14ac:dyDescent="0.25">
      <c r="A283" s="122"/>
    </row>
    <row r="284" spans="1:1" ht="12.75" customHeight="1" x14ac:dyDescent="0.25">
      <c r="A284" s="122"/>
    </row>
    <row r="285" spans="1:1" ht="12.75" customHeight="1" x14ac:dyDescent="0.25">
      <c r="A285" s="122"/>
    </row>
    <row r="286" spans="1:1" ht="12.75" customHeight="1" x14ac:dyDescent="0.25">
      <c r="A286" s="122"/>
    </row>
    <row r="287" spans="1:1" ht="12.75" customHeight="1" x14ac:dyDescent="0.25">
      <c r="A287" s="122"/>
    </row>
    <row r="288" spans="1:1" ht="12.75" customHeight="1" x14ac:dyDescent="0.25">
      <c r="A288" s="122"/>
    </row>
    <row r="289" spans="1:1" ht="12.75" customHeight="1" x14ac:dyDescent="0.25">
      <c r="A289" s="122"/>
    </row>
    <row r="290" spans="1:1" ht="12.75" customHeight="1" x14ac:dyDescent="0.25">
      <c r="A290" s="122"/>
    </row>
    <row r="291" spans="1:1" ht="12.75" customHeight="1" x14ac:dyDescent="0.25">
      <c r="A291" s="122"/>
    </row>
    <row r="292" spans="1:1" ht="12.75" customHeight="1" x14ac:dyDescent="0.25">
      <c r="A292" s="122"/>
    </row>
    <row r="293" spans="1:1" ht="12.75" customHeight="1" x14ac:dyDescent="0.25">
      <c r="A293" s="122"/>
    </row>
    <row r="294" spans="1:1" ht="12.75" customHeight="1" x14ac:dyDescent="0.25">
      <c r="A294" s="122"/>
    </row>
    <row r="295" spans="1:1" ht="12.75" customHeight="1" x14ac:dyDescent="0.25">
      <c r="A295" s="122"/>
    </row>
    <row r="296" spans="1:1" ht="12.75" customHeight="1" x14ac:dyDescent="0.25">
      <c r="A296" s="122"/>
    </row>
    <row r="297" spans="1:1" ht="12.75" customHeight="1" x14ac:dyDescent="0.25">
      <c r="A297" s="122"/>
    </row>
    <row r="298" spans="1:1" ht="12.75" customHeight="1" x14ac:dyDescent="0.25">
      <c r="A298" s="122"/>
    </row>
    <row r="299" spans="1:1" ht="12.75" customHeight="1" x14ac:dyDescent="0.25">
      <c r="A299" s="122"/>
    </row>
    <row r="300" spans="1:1" ht="12.75" customHeight="1" x14ac:dyDescent="0.25">
      <c r="A300" s="122"/>
    </row>
    <row r="301" spans="1:1" ht="12.75" customHeight="1" x14ac:dyDescent="0.25">
      <c r="A301" s="122"/>
    </row>
    <row r="302" spans="1:1" ht="12.75" customHeight="1" x14ac:dyDescent="0.25">
      <c r="A302" s="122"/>
    </row>
    <row r="303" spans="1:1" ht="12.75" customHeight="1" x14ac:dyDescent="0.25">
      <c r="A303" s="122"/>
    </row>
    <row r="304" spans="1:1" ht="12.75" customHeight="1" x14ac:dyDescent="0.25">
      <c r="A304" s="122"/>
    </row>
    <row r="305" spans="1:1" ht="12.75" customHeight="1" x14ac:dyDescent="0.25">
      <c r="A305" s="122"/>
    </row>
    <row r="306" spans="1:1" ht="12.75" customHeight="1" x14ac:dyDescent="0.25">
      <c r="A306" s="122"/>
    </row>
    <row r="307" spans="1:1" ht="12.75" customHeight="1" x14ac:dyDescent="0.25">
      <c r="A307" s="122"/>
    </row>
    <row r="308" spans="1:1" ht="12.75" customHeight="1" x14ac:dyDescent="0.25">
      <c r="A308" s="122"/>
    </row>
    <row r="309" spans="1:1" ht="12.75" customHeight="1" x14ac:dyDescent="0.25">
      <c r="A309" s="122"/>
    </row>
    <row r="310" spans="1:1" ht="12.75" customHeight="1" x14ac:dyDescent="0.25">
      <c r="A310" s="122"/>
    </row>
    <row r="311" spans="1:1" ht="12.75" customHeight="1" x14ac:dyDescent="0.25">
      <c r="A311" s="122"/>
    </row>
    <row r="312" spans="1:1" ht="12.75" customHeight="1" x14ac:dyDescent="0.25">
      <c r="A312" s="122"/>
    </row>
    <row r="313" spans="1:1" ht="12.75" customHeight="1" x14ac:dyDescent="0.25">
      <c r="A313" s="122"/>
    </row>
    <row r="314" spans="1:1" ht="12.75" customHeight="1" x14ac:dyDescent="0.25">
      <c r="A314" s="122"/>
    </row>
    <row r="315" spans="1:1" ht="12.75" customHeight="1" x14ac:dyDescent="0.25">
      <c r="A315" s="122"/>
    </row>
    <row r="316" spans="1:1" ht="12.75" customHeight="1" x14ac:dyDescent="0.25">
      <c r="A316" s="122"/>
    </row>
    <row r="317" spans="1:1" ht="12.75" customHeight="1" x14ac:dyDescent="0.25">
      <c r="A317" s="122"/>
    </row>
    <row r="318" spans="1:1" ht="12.75" customHeight="1" x14ac:dyDescent="0.25">
      <c r="A318" s="122"/>
    </row>
    <row r="319" spans="1:1" ht="12.75" customHeight="1" x14ac:dyDescent="0.25">
      <c r="A319" s="122"/>
    </row>
    <row r="320" spans="1:1" ht="12.75" customHeight="1" x14ac:dyDescent="0.25">
      <c r="A320" s="122"/>
    </row>
    <row r="321" spans="1:1" ht="12.75" customHeight="1" x14ac:dyDescent="0.25">
      <c r="A321" s="122"/>
    </row>
    <row r="322" spans="1:1" ht="12.75" customHeight="1" x14ac:dyDescent="0.25">
      <c r="A322" s="122"/>
    </row>
    <row r="323" spans="1:1" ht="12.75" customHeight="1" x14ac:dyDescent="0.25">
      <c r="A323" s="122"/>
    </row>
    <row r="324" spans="1:1" ht="12.75" customHeight="1" x14ac:dyDescent="0.25">
      <c r="A324" s="122"/>
    </row>
    <row r="325" spans="1:1" ht="12.75" customHeight="1" x14ac:dyDescent="0.25">
      <c r="A325" s="122"/>
    </row>
    <row r="326" spans="1:1" ht="12.75" customHeight="1" x14ac:dyDescent="0.25">
      <c r="A326" s="122"/>
    </row>
    <row r="327" spans="1:1" ht="12.75" customHeight="1" x14ac:dyDescent="0.25">
      <c r="A327" s="122"/>
    </row>
    <row r="328" spans="1:1" ht="12.75" customHeight="1" x14ac:dyDescent="0.25">
      <c r="A328" s="122"/>
    </row>
    <row r="329" spans="1:1" ht="12.75" customHeight="1" x14ac:dyDescent="0.25">
      <c r="A329" s="122"/>
    </row>
    <row r="330" spans="1:1" ht="12.75" customHeight="1" x14ac:dyDescent="0.25">
      <c r="A330" s="122"/>
    </row>
    <row r="331" spans="1:1" ht="12.75" customHeight="1" x14ac:dyDescent="0.25">
      <c r="A331" s="122"/>
    </row>
    <row r="332" spans="1:1" ht="12.75" customHeight="1" x14ac:dyDescent="0.25">
      <c r="A332" s="122"/>
    </row>
    <row r="333" spans="1:1" ht="12.75" customHeight="1" x14ac:dyDescent="0.25">
      <c r="A333" s="122"/>
    </row>
    <row r="334" spans="1:1" ht="12.75" customHeight="1" x14ac:dyDescent="0.25">
      <c r="A334" s="122"/>
    </row>
    <row r="335" spans="1:1" ht="12.75" customHeight="1" x14ac:dyDescent="0.25">
      <c r="A335" s="122"/>
    </row>
    <row r="336" spans="1:1" ht="12.75" customHeight="1" x14ac:dyDescent="0.25">
      <c r="A336" s="122"/>
    </row>
    <row r="337" spans="1:1" ht="12.75" customHeight="1" x14ac:dyDescent="0.25">
      <c r="A337" s="122"/>
    </row>
    <row r="338" spans="1:1" ht="12.75" customHeight="1" x14ac:dyDescent="0.25">
      <c r="A338" s="122"/>
    </row>
    <row r="339" spans="1:1" ht="12.75" customHeight="1" x14ac:dyDescent="0.25">
      <c r="A339" s="122"/>
    </row>
    <row r="340" spans="1:1" ht="12.75" customHeight="1" x14ac:dyDescent="0.25">
      <c r="A340" s="122"/>
    </row>
    <row r="341" spans="1:1" ht="12.75" customHeight="1" x14ac:dyDescent="0.25">
      <c r="A341" s="122"/>
    </row>
    <row r="342" spans="1:1" ht="12.75" customHeight="1" x14ac:dyDescent="0.25">
      <c r="A342" s="122"/>
    </row>
    <row r="343" spans="1:1" ht="12.75" customHeight="1" x14ac:dyDescent="0.25">
      <c r="A343" s="122"/>
    </row>
    <row r="344" spans="1:1" ht="12.75" customHeight="1" x14ac:dyDescent="0.25">
      <c r="A344" s="122"/>
    </row>
    <row r="345" spans="1:1" ht="12.75" customHeight="1" x14ac:dyDescent="0.25">
      <c r="A345" s="122"/>
    </row>
    <row r="346" spans="1:1" ht="12.75" customHeight="1" x14ac:dyDescent="0.25">
      <c r="A346" s="122"/>
    </row>
    <row r="347" spans="1:1" ht="12.75" customHeight="1" x14ac:dyDescent="0.25">
      <c r="A347" s="122"/>
    </row>
    <row r="348" spans="1:1" ht="12.75" customHeight="1" x14ac:dyDescent="0.25">
      <c r="A348" s="122"/>
    </row>
    <row r="349" spans="1:1" ht="12.75" customHeight="1" x14ac:dyDescent="0.25">
      <c r="A349" s="122"/>
    </row>
    <row r="350" spans="1:1" ht="12.75" customHeight="1" x14ac:dyDescent="0.25">
      <c r="A350" s="122"/>
    </row>
    <row r="351" spans="1:1" ht="12.75" customHeight="1" x14ac:dyDescent="0.25">
      <c r="A351" s="122"/>
    </row>
    <row r="352" spans="1:1" ht="12.75" customHeight="1" x14ac:dyDescent="0.25">
      <c r="A352" s="122"/>
    </row>
    <row r="353" spans="1:1" ht="12.75" customHeight="1" x14ac:dyDescent="0.25">
      <c r="A353" s="122"/>
    </row>
    <row r="354" spans="1:1" ht="12.75" customHeight="1" x14ac:dyDescent="0.25">
      <c r="A354" s="122"/>
    </row>
    <row r="355" spans="1:1" ht="12.75" customHeight="1" x14ac:dyDescent="0.25">
      <c r="A355" s="122"/>
    </row>
    <row r="356" spans="1:1" ht="12.75" customHeight="1" x14ac:dyDescent="0.25">
      <c r="A356" s="122"/>
    </row>
    <row r="357" spans="1:1" ht="12.75" customHeight="1" x14ac:dyDescent="0.25">
      <c r="A357" s="122"/>
    </row>
    <row r="358" spans="1:1" ht="12.75" customHeight="1" x14ac:dyDescent="0.25">
      <c r="A358" s="122"/>
    </row>
    <row r="359" spans="1:1" ht="12.75" customHeight="1" x14ac:dyDescent="0.25">
      <c r="A359" s="122"/>
    </row>
    <row r="360" spans="1:1" ht="12.75" customHeight="1" x14ac:dyDescent="0.25">
      <c r="A360" s="122"/>
    </row>
    <row r="361" spans="1:1" ht="12.75" customHeight="1" x14ac:dyDescent="0.25">
      <c r="A361" s="122"/>
    </row>
    <row r="362" spans="1:1" ht="12.75" customHeight="1" x14ac:dyDescent="0.25">
      <c r="A362" s="122"/>
    </row>
    <row r="363" spans="1:1" ht="12.75" customHeight="1" x14ac:dyDescent="0.25">
      <c r="A363" s="122"/>
    </row>
    <row r="364" spans="1:1" ht="12.75" customHeight="1" x14ac:dyDescent="0.25">
      <c r="A364" s="122"/>
    </row>
    <row r="365" spans="1:1" ht="12.75" customHeight="1" x14ac:dyDescent="0.25">
      <c r="A365" s="122"/>
    </row>
    <row r="366" spans="1:1" ht="12.75" customHeight="1" x14ac:dyDescent="0.25">
      <c r="A366" s="122"/>
    </row>
    <row r="367" spans="1:1" ht="12.75" customHeight="1" x14ac:dyDescent="0.25">
      <c r="A367" s="122"/>
    </row>
    <row r="368" spans="1:1" ht="12.75" customHeight="1" x14ac:dyDescent="0.25">
      <c r="A368" s="122"/>
    </row>
    <row r="369" spans="1:1" ht="12.75" customHeight="1" x14ac:dyDescent="0.25">
      <c r="A369" s="122"/>
    </row>
    <row r="370" spans="1:1" ht="12.75" customHeight="1" x14ac:dyDescent="0.25">
      <c r="A370" s="122"/>
    </row>
    <row r="371" spans="1:1" ht="12.75" customHeight="1" x14ac:dyDescent="0.25">
      <c r="A371" s="122"/>
    </row>
    <row r="372" spans="1:1" ht="12.75" customHeight="1" x14ac:dyDescent="0.25">
      <c r="A372" s="122"/>
    </row>
    <row r="373" spans="1:1" ht="12.75" customHeight="1" x14ac:dyDescent="0.25">
      <c r="A373" s="122"/>
    </row>
    <row r="374" spans="1:1" ht="12.75" customHeight="1" x14ac:dyDescent="0.25">
      <c r="A374" s="122"/>
    </row>
    <row r="375" spans="1:1" ht="12.75" customHeight="1" x14ac:dyDescent="0.25">
      <c r="A375" s="122"/>
    </row>
    <row r="376" spans="1:1" ht="12.75" customHeight="1" x14ac:dyDescent="0.25">
      <c r="A376" s="122"/>
    </row>
    <row r="377" spans="1:1" ht="12.75" customHeight="1" x14ac:dyDescent="0.25">
      <c r="A377" s="122"/>
    </row>
    <row r="378" spans="1:1" ht="12.75" customHeight="1" x14ac:dyDescent="0.25">
      <c r="A378" s="122"/>
    </row>
    <row r="379" spans="1:1" ht="12.75" customHeight="1" x14ac:dyDescent="0.25">
      <c r="A379" s="122"/>
    </row>
    <row r="380" spans="1:1" ht="12.75" customHeight="1" x14ac:dyDescent="0.25">
      <c r="A380" s="122"/>
    </row>
    <row r="381" spans="1:1" ht="12.75" customHeight="1" x14ac:dyDescent="0.25">
      <c r="A381" s="122"/>
    </row>
    <row r="382" spans="1:1" ht="12.75" customHeight="1" x14ac:dyDescent="0.25">
      <c r="A382" s="122"/>
    </row>
    <row r="383" spans="1:1" ht="12.75" customHeight="1" x14ac:dyDescent="0.25">
      <c r="A383" s="122"/>
    </row>
    <row r="384" spans="1:1" ht="12.75" customHeight="1" x14ac:dyDescent="0.25">
      <c r="A384" s="122"/>
    </row>
    <row r="385" spans="1:1" ht="12.75" customHeight="1" x14ac:dyDescent="0.25">
      <c r="A385" s="122"/>
    </row>
    <row r="386" spans="1:1" ht="12.75" customHeight="1" x14ac:dyDescent="0.25">
      <c r="A386" s="122"/>
    </row>
    <row r="387" spans="1:1" ht="12.75" customHeight="1" x14ac:dyDescent="0.25">
      <c r="A387" s="122"/>
    </row>
    <row r="388" spans="1:1" ht="12.75" customHeight="1" x14ac:dyDescent="0.25">
      <c r="A388" s="122"/>
    </row>
    <row r="389" spans="1:1" ht="12.75" customHeight="1" x14ac:dyDescent="0.25">
      <c r="A389" s="122"/>
    </row>
    <row r="390" spans="1:1" ht="12.75" customHeight="1" x14ac:dyDescent="0.25">
      <c r="A390" s="122"/>
    </row>
    <row r="391" spans="1:1" ht="12.75" customHeight="1" x14ac:dyDescent="0.25">
      <c r="A391" s="122"/>
    </row>
    <row r="392" spans="1:1" ht="12.75" customHeight="1" x14ac:dyDescent="0.25">
      <c r="A392" s="122"/>
    </row>
    <row r="393" spans="1:1" ht="12.75" customHeight="1" x14ac:dyDescent="0.25">
      <c r="A393" s="122"/>
    </row>
    <row r="394" spans="1:1" ht="12.75" customHeight="1" x14ac:dyDescent="0.25">
      <c r="A394" s="122"/>
    </row>
    <row r="395" spans="1:1" ht="12.75" customHeight="1" x14ac:dyDescent="0.25">
      <c r="A395" s="122"/>
    </row>
    <row r="396" spans="1:1" ht="12.75" customHeight="1" x14ac:dyDescent="0.25">
      <c r="A396" s="122"/>
    </row>
    <row r="397" spans="1:1" ht="12.75" customHeight="1" x14ac:dyDescent="0.25">
      <c r="A397" s="122"/>
    </row>
    <row r="398" spans="1:1" ht="12.75" customHeight="1" x14ac:dyDescent="0.25">
      <c r="A398" s="122"/>
    </row>
    <row r="399" spans="1:1" ht="12.75" customHeight="1" x14ac:dyDescent="0.25">
      <c r="A399" s="122"/>
    </row>
    <row r="400" spans="1:1" ht="12.75" customHeight="1" x14ac:dyDescent="0.25">
      <c r="A400" s="122"/>
    </row>
    <row r="401" spans="1:1" ht="12.75" customHeight="1" x14ac:dyDescent="0.25">
      <c r="A401" s="122"/>
    </row>
    <row r="402" spans="1:1" ht="12.75" customHeight="1" x14ac:dyDescent="0.25">
      <c r="A402" s="122"/>
    </row>
    <row r="403" spans="1:1" ht="12.75" customHeight="1" x14ac:dyDescent="0.25">
      <c r="A403" s="122"/>
    </row>
    <row r="404" spans="1:1" ht="12.75" customHeight="1" x14ac:dyDescent="0.25">
      <c r="A404" s="122"/>
    </row>
    <row r="405" spans="1:1" ht="12.75" customHeight="1" x14ac:dyDescent="0.25">
      <c r="A405" s="122"/>
    </row>
    <row r="406" spans="1:1" ht="12.75" customHeight="1" x14ac:dyDescent="0.25">
      <c r="A406" s="122"/>
    </row>
    <row r="407" spans="1:1" ht="12.75" customHeight="1" x14ac:dyDescent="0.25">
      <c r="A407" s="122"/>
    </row>
    <row r="408" spans="1:1" ht="12.75" customHeight="1" x14ac:dyDescent="0.25">
      <c r="A408" s="122"/>
    </row>
    <row r="409" spans="1:1" ht="12.75" customHeight="1" x14ac:dyDescent="0.25">
      <c r="A409" s="122"/>
    </row>
    <row r="410" spans="1:1" ht="12.75" customHeight="1" x14ac:dyDescent="0.25">
      <c r="A410" s="122"/>
    </row>
    <row r="411" spans="1:1" ht="12.75" customHeight="1" x14ac:dyDescent="0.25">
      <c r="A411" s="122"/>
    </row>
    <row r="412" spans="1:1" ht="12.75" customHeight="1" x14ac:dyDescent="0.25">
      <c r="A412" s="122"/>
    </row>
    <row r="413" spans="1:1" ht="12.75" customHeight="1" x14ac:dyDescent="0.25">
      <c r="A413" s="122"/>
    </row>
    <row r="414" spans="1:1" ht="12.75" customHeight="1" x14ac:dyDescent="0.25">
      <c r="A414" s="122"/>
    </row>
    <row r="415" spans="1:1" ht="12.75" customHeight="1" x14ac:dyDescent="0.25">
      <c r="A415" s="122"/>
    </row>
    <row r="416" spans="1:1" ht="12.75" customHeight="1" x14ac:dyDescent="0.25">
      <c r="A416" s="122"/>
    </row>
    <row r="417" spans="1:1" ht="12.75" customHeight="1" x14ac:dyDescent="0.25">
      <c r="A417" s="122"/>
    </row>
    <row r="418" spans="1:1" ht="12.75" customHeight="1" x14ac:dyDescent="0.25">
      <c r="A418" s="122"/>
    </row>
    <row r="419" spans="1:1" ht="12.75" customHeight="1" x14ac:dyDescent="0.25">
      <c r="A419" s="122"/>
    </row>
    <row r="420" spans="1:1" ht="12.75" customHeight="1" x14ac:dyDescent="0.25">
      <c r="A420" s="122"/>
    </row>
    <row r="421" spans="1:1" ht="12.75" customHeight="1" x14ac:dyDescent="0.25">
      <c r="A421" s="122"/>
    </row>
    <row r="422" spans="1:1" ht="12.75" customHeight="1" x14ac:dyDescent="0.25">
      <c r="A422" s="122"/>
    </row>
    <row r="423" spans="1:1" ht="12.75" customHeight="1" x14ac:dyDescent="0.25">
      <c r="A423" s="122"/>
    </row>
    <row r="424" spans="1:1" ht="12.75" customHeight="1" x14ac:dyDescent="0.25">
      <c r="A424" s="122"/>
    </row>
    <row r="425" spans="1:1" ht="12.75" customHeight="1" x14ac:dyDescent="0.25">
      <c r="A425" s="122"/>
    </row>
    <row r="426" spans="1:1" ht="12.75" customHeight="1" x14ac:dyDescent="0.25">
      <c r="A426" s="122"/>
    </row>
    <row r="427" spans="1:1" ht="12.75" customHeight="1" x14ac:dyDescent="0.25">
      <c r="A427" s="122"/>
    </row>
    <row r="428" spans="1:1" ht="12.75" customHeight="1" x14ac:dyDescent="0.25">
      <c r="A428" s="122"/>
    </row>
    <row r="429" spans="1:1" ht="12.75" customHeight="1" x14ac:dyDescent="0.25">
      <c r="A429" s="122"/>
    </row>
    <row r="430" spans="1:1" ht="12.75" customHeight="1" x14ac:dyDescent="0.25">
      <c r="A430" s="122"/>
    </row>
    <row r="431" spans="1:1" ht="12.75" customHeight="1" x14ac:dyDescent="0.25">
      <c r="A431" s="122"/>
    </row>
    <row r="432" spans="1:1" ht="12.75" customHeight="1" x14ac:dyDescent="0.25">
      <c r="A432" s="122"/>
    </row>
    <row r="433" spans="1:1" ht="12.75" customHeight="1" x14ac:dyDescent="0.25">
      <c r="A433" s="122"/>
    </row>
    <row r="434" spans="1:1" ht="12.75" customHeight="1" x14ac:dyDescent="0.25">
      <c r="A434" s="122"/>
    </row>
    <row r="435" spans="1:1" ht="12.75" customHeight="1" x14ac:dyDescent="0.25">
      <c r="A435" s="122"/>
    </row>
    <row r="436" spans="1:1" ht="12.75" customHeight="1" x14ac:dyDescent="0.25">
      <c r="A436" s="122"/>
    </row>
    <row r="437" spans="1:1" ht="12.75" customHeight="1" x14ac:dyDescent="0.25">
      <c r="A437" s="122"/>
    </row>
    <row r="438" spans="1:1" ht="12.75" customHeight="1" x14ac:dyDescent="0.25">
      <c r="A438" s="122"/>
    </row>
    <row r="439" spans="1:1" ht="12.75" customHeight="1" x14ac:dyDescent="0.25">
      <c r="A439" s="122"/>
    </row>
    <row r="440" spans="1:1" ht="12.75" customHeight="1" x14ac:dyDescent="0.25">
      <c r="A440" s="122"/>
    </row>
    <row r="441" spans="1:1" ht="12.75" customHeight="1" x14ac:dyDescent="0.25">
      <c r="A441" s="122"/>
    </row>
    <row r="442" spans="1:1" ht="12.75" customHeight="1" x14ac:dyDescent="0.25">
      <c r="A442" s="122"/>
    </row>
    <row r="443" spans="1:1" ht="12.75" customHeight="1" x14ac:dyDescent="0.25">
      <c r="A443" s="122"/>
    </row>
    <row r="444" spans="1:1" ht="12.75" customHeight="1" x14ac:dyDescent="0.25">
      <c r="A444" s="122"/>
    </row>
    <row r="445" spans="1:1" ht="12.75" customHeight="1" x14ac:dyDescent="0.25">
      <c r="A445" s="122"/>
    </row>
    <row r="446" spans="1:1" ht="12.75" customHeight="1" x14ac:dyDescent="0.25">
      <c r="A446" s="122"/>
    </row>
    <row r="447" spans="1:1" ht="12.75" customHeight="1" x14ac:dyDescent="0.25">
      <c r="A447" s="122"/>
    </row>
    <row r="448" spans="1:1" ht="12.75" customHeight="1" x14ac:dyDescent="0.25">
      <c r="A448" s="122"/>
    </row>
    <row r="449" spans="1:1" ht="12.75" customHeight="1" x14ac:dyDescent="0.25">
      <c r="A449" s="122"/>
    </row>
    <row r="450" spans="1:1" ht="12.75" customHeight="1" x14ac:dyDescent="0.25">
      <c r="A450" s="122"/>
    </row>
    <row r="451" spans="1:1" ht="12.75" customHeight="1" x14ac:dyDescent="0.25">
      <c r="A451" s="122"/>
    </row>
    <row r="452" spans="1:1" ht="12.75" customHeight="1" x14ac:dyDescent="0.25">
      <c r="A452" s="122"/>
    </row>
    <row r="453" spans="1:1" ht="12.75" customHeight="1" x14ac:dyDescent="0.25">
      <c r="A453" s="122"/>
    </row>
    <row r="454" spans="1:1" ht="12.75" customHeight="1" x14ac:dyDescent="0.25">
      <c r="A454" s="122"/>
    </row>
    <row r="455" spans="1:1" ht="12.75" customHeight="1" x14ac:dyDescent="0.25">
      <c r="A455" s="122"/>
    </row>
    <row r="456" spans="1:1" ht="12.75" customHeight="1" x14ac:dyDescent="0.25">
      <c r="A456" s="122"/>
    </row>
    <row r="457" spans="1:1" ht="12.75" customHeight="1" x14ac:dyDescent="0.25">
      <c r="A457" s="122"/>
    </row>
    <row r="458" spans="1:1" ht="12.75" customHeight="1" x14ac:dyDescent="0.25">
      <c r="A458" s="122"/>
    </row>
    <row r="459" spans="1:1" ht="12.75" customHeight="1" x14ac:dyDescent="0.25">
      <c r="A459" s="122"/>
    </row>
    <row r="460" spans="1:1" ht="12.75" customHeight="1" x14ac:dyDescent="0.25">
      <c r="A460" s="122"/>
    </row>
    <row r="461" spans="1:1" ht="12.75" customHeight="1" x14ac:dyDescent="0.25">
      <c r="A461" s="122"/>
    </row>
    <row r="462" spans="1:1" ht="12.75" customHeight="1" x14ac:dyDescent="0.25">
      <c r="A462" s="122"/>
    </row>
    <row r="463" spans="1:1" ht="12.75" customHeight="1" x14ac:dyDescent="0.25">
      <c r="A463" s="122"/>
    </row>
    <row r="464" spans="1:1" ht="12.75" customHeight="1" x14ac:dyDescent="0.25">
      <c r="A464" s="122"/>
    </row>
    <row r="465" spans="1:1" ht="12.75" customHeight="1" x14ac:dyDescent="0.25">
      <c r="A465" s="122"/>
    </row>
    <row r="466" spans="1:1" ht="12.75" customHeight="1" x14ac:dyDescent="0.25">
      <c r="A466" s="122"/>
    </row>
    <row r="467" spans="1:1" ht="12.75" customHeight="1" x14ac:dyDescent="0.25">
      <c r="A467" s="122"/>
    </row>
    <row r="468" spans="1:1" ht="12.75" customHeight="1" x14ac:dyDescent="0.25">
      <c r="A468" s="122"/>
    </row>
    <row r="469" spans="1:1" ht="12.75" customHeight="1" x14ac:dyDescent="0.25">
      <c r="A469" s="122"/>
    </row>
    <row r="470" spans="1:1" ht="12.75" customHeight="1" x14ac:dyDescent="0.25">
      <c r="A470" s="122"/>
    </row>
    <row r="471" spans="1:1" ht="12.75" customHeight="1" x14ac:dyDescent="0.25">
      <c r="A471" s="122"/>
    </row>
    <row r="472" spans="1:1" ht="12.75" customHeight="1" x14ac:dyDescent="0.25">
      <c r="A472" s="122"/>
    </row>
    <row r="473" spans="1:1" ht="12.75" customHeight="1" x14ac:dyDescent="0.25">
      <c r="A473" s="122"/>
    </row>
    <row r="474" spans="1:1" ht="12.75" customHeight="1" x14ac:dyDescent="0.25">
      <c r="A474" s="122"/>
    </row>
    <row r="475" spans="1:1" ht="12.75" customHeight="1" x14ac:dyDescent="0.25">
      <c r="A475" s="122"/>
    </row>
    <row r="476" spans="1:1" ht="12.75" customHeight="1" x14ac:dyDescent="0.25">
      <c r="A476" s="122"/>
    </row>
    <row r="477" spans="1:1" ht="12.75" customHeight="1" x14ac:dyDescent="0.25">
      <c r="A477" s="122"/>
    </row>
    <row r="478" spans="1:1" ht="12.75" customHeight="1" x14ac:dyDescent="0.25">
      <c r="A478" s="122"/>
    </row>
    <row r="479" spans="1:1" ht="12.75" customHeight="1" x14ac:dyDescent="0.25">
      <c r="A479" s="122"/>
    </row>
    <row r="480" spans="1:1" ht="12.75" customHeight="1" x14ac:dyDescent="0.25">
      <c r="A480" s="122"/>
    </row>
    <row r="481" spans="1:1" ht="12.75" customHeight="1" x14ac:dyDescent="0.25">
      <c r="A481" s="122"/>
    </row>
    <row r="482" spans="1:1" ht="12.75" customHeight="1" x14ac:dyDescent="0.25">
      <c r="A482" s="122"/>
    </row>
    <row r="483" spans="1:1" ht="12.75" customHeight="1" x14ac:dyDescent="0.25">
      <c r="A483" s="122"/>
    </row>
    <row r="484" spans="1:1" ht="12.75" customHeight="1" x14ac:dyDescent="0.25">
      <c r="A484" s="122"/>
    </row>
    <row r="485" spans="1:1" ht="12.75" customHeight="1" x14ac:dyDescent="0.25">
      <c r="A485" s="122"/>
    </row>
    <row r="486" spans="1:1" ht="12.75" customHeight="1" x14ac:dyDescent="0.25">
      <c r="A486" s="122"/>
    </row>
    <row r="487" spans="1:1" ht="12.75" customHeight="1" x14ac:dyDescent="0.25">
      <c r="A487" s="122"/>
    </row>
    <row r="488" spans="1:1" ht="12.75" customHeight="1" x14ac:dyDescent="0.25">
      <c r="A488" s="122"/>
    </row>
    <row r="489" spans="1:1" ht="12.75" customHeight="1" x14ac:dyDescent="0.25">
      <c r="A489" s="122"/>
    </row>
    <row r="490" spans="1:1" ht="12.75" customHeight="1" x14ac:dyDescent="0.25">
      <c r="A490" s="122"/>
    </row>
    <row r="491" spans="1:1" ht="12.75" customHeight="1" x14ac:dyDescent="0.25">
      <c r="A491" s="122"/>
    </row>
    <row r="492" spans="1:1" ht="12.75" customHeight="1" x14ac:dyDescent="0.25">
      <c r="A492" s="122"/>
    </row>
    <row r="493" spans="1:1" ht="12.75" customHeight="1" x14ac:dyDescent="0.25">
      <c r="A493" s="122"/>
    </row>
    <row r="494" spans="1:1" ht="12.75" customHeight="1" x14ac:dyDescent="0.25">
      <c r="A494" s="122"/>
    </row>
    <row r="495" spans="1:1" ht="12.75" customHeight="1" x14ac:dyDescent="0.25">
      <c r="A495" s="122"/>
    </row>
    <row r="496" spans="1:1" ht="12.75" customHeight="1" x14ac:dyDescent="0.25">
      <c r="A496" s="122"/>
    </row>
    <row r="497" spans="1:1" ht="12.75" customHeight="1" x14ac:dyDescent="0.25">
      <c r="A497" s="122"/>
    </row>
    <row r="498" spans="1:1" ht="12.75" customHeight="1" x14ac:dyDescent="0.25">
      <c r="A498" s="122"/>
    </row>
    <row r="499" spans="1:1" ht="12.75" customHeight="1" x14ac:dyDescent="0.25">
      <c r="A499" s="122"/>
    </row>
    <row r="500" spans="1:1" ht="12.75" customHeight="1" x14ac:dyDescent="0.25">
      <c r="A500" s="122"/>
    </row>
    <row r="501" spans="1:1" ht="12.75" customHeight="1" x14ac:dyDescent="0.25">
      <c r="A501" s="122"/>
    </row>
    <row r="502" spans="1:1" ht="12.75" customHeight="1" x14ac:dyDescent="0.25">
      <c r="A502" s="122"/>
    </row>
    <row r="503" spans="1:1" ht="12.75" customHeight="1" x14ac:dyDescent="0.25">
      <c r="A503" s="122"/>
    </row>
    <row r="504" spans="1:1" ht="12.75" customHeight="1" x14ac:dyDescent="0.25">
      <c r="A504" s="122"/>
    </row>
    <row r="505" spans="1:1" ht="12.75" customHeight="1" x14ac:dyDescent="0.25">
      <c r="A505" s="122"/>
    </row>
    <row r="506" spans="1:1" ht="12.75" customHeight="1" x14ac:dyDescent="0.25">
      <c r="A506" s="122"/>
    </row>
    <row r="507" spans="1:1" ht="12.75" customHeight="1" x14ac:dyDescent="0.25">
      <c r="A507" s="122"/>
    </row>
    <row r="508" spans="1:1" ht="12.75" customHeight="1" x14ac:dyDescent="0.25">
      <c r="A508" s="122"/>
    </row>
    <row r="509" spans="1:1" ht="12.75" customHeight="1" x14ac:dyDescent="0.25">
      <c r="A509" s="122"/>
    </row>
    <row r="510" spans="1:1" ht="12.75" customHeight="1" x14ac:dyDescent="0.25">
      <c r="A510" s="122"/>
    </row>
    <row r="511" spans="1:1" ht="12.75" customHeight="1" x14ac:dyDescent="0.25">
      <c r="A511" s="122"/>
    </row>
    <row r="512" spans="1:1" ht="12.75" customHeight="1" x14ac:dyDescent="0.25">
      <c r="A512" s="122"/>
    </row>
    <row r="513" spans="1:1" ht="12.75" customHeight="1" x14ac:dyDescent="0.25">
      <c r="A513" s="122"/>
    </row>
    <row r="514" spans="1:1" ht="12.75" customHeight="1" x14ac:dyDescent="0.25">
      <c r="A514" s="122"/>
    </row>
    <row r="515" spans="1:1" ht="12.75" customHeight="1" x14ac:dyDescent="0.25">
      <c r="A515" s="122"/>
    </row>
    <row r="516" spans="1:1" ht="12.75" customHeight="1" x14ac:dyDescent="0.25">
      <c r="A516" s="122"/>
    </row>
    <row r="517" spans="1:1" ht="12.75" customHeight="1" x14ac:dyDescent="0.25">
      <c r="A517" s="122"/>
    </row>
    <row r="518" spans="1:1" ht="12.75" customHeight="1" x14ac:dyDescent="0.25">
      <c r="A518" s="122"/>
    </row>
    <row r="519" spans="1:1" ht="12.75" customHeight="1" x14ac:dyDescent="0.25">
      <c r="A519" s="122"/>
    </row>
    <row r="520" spans="1:1" ht="12.75" customHeight="1" x14ac:dyDescent="0.25">
      <c r="A520" s="122"/>
    </row>
    <row r="521" spans="1:1" ht="12.75" customHeight="1" x14ac:dyDescent="0.25">
      <c r="A521" s="122"/>
    </row>
    <row r="522" spans="1:1" ht="12.75" customHeight="1" x14ac:dyDescent="0.25">
      <c r="A522" s="122"/>
    </row>
    <row r="523" spans="1:1" ht="12.75" customHeight="1" x14ac:dyDescent="0.25">
      <c r="A523" s="122"/>
    </row>
    <row r="524" spans="1:1" ht="12.75" customHeight="1" x14ac:dyDescent="0.25">
      <c r="A524" s="122"/>
    </row>
    <row r="525" spans="1:1" ht="12.75" customHeight="1" x14ac:dyDescent="0.25">
      <c r="A525" s="122"/>
    </row>
    <row r="526" spans="1:1" ht="12.75" customHeight="1" x14ac:dyDescent="0.25">
      <c r="A526" s="122"/>
    </row>
    <row r="527" spans="1:1" ht="12.75" customHeight="1" x14ac:dyDescent="0.25">
      <c r="A527" s="122"/>
    </row>
    <row r="528" spans="1:1" ht="12.75" customHeight="1" x14ac:dyDescent="0.25">
      <c r="A528" s="122"/>
    </row>
    <row r="529" spans="1:1" ht="12.75" customHeight="1" x14ac:dyDescent="0.25">
      <c r="A529" s="122"/>
    </row>
    <row r="530" spans="1:1" ht="12.75" customHeight="1" x14ac:dyDescent="0.25">
      <c r="A530" s="122"/>
    </row>
    <row r="531" spans="1:1" ht="12.75" customHeight="1" x14ac:dyDescent="0.25">
      <c r="A531" s="122"/>
    </row>
    <row r="532" spans="1:1" ht="12.75" customHeight="1" x14ac:dyDescent="0.25">
      <c r="A532" s="122"/>
    </row>
    <row r="533" spans="1:1" ht="12.75" customHeight="1" x14ac:dyDescent="0.25">
      <c r="A533" s="122"/>
    </row>
    <row r="534" spans="1:1" ht="12.75" customHeight="1" x14ac:dyDescent="0.25">
      <c r="A534" s="122"/>
    </row>
    <row r="535" spans="1:1" ht="12.75" customHeight="1" x14ac:dyDescent="0.25">
      <c r="A535" s="122"/>
    </row>
    <row r="536" spans="1:1" ht="12.75" customHeight="1" x14ac:dyDescent="0.25">
      <c r="A536" s="122"/>
    </row>
    <row r="537" spans="1:1" ht="12.75" customHeight="1" x14ac:dyDescent="0.25">
      <c r="A537" s="122"/>
    </row>
    <row r="538" spans="1:1" ht="12.75" customHeight="1" x14ac:dyDescent="0.25">
      <c r="A538" s="122"/>
    </row>
    <row r="539" spans="1:1" ht="12.75" customHeight="1" x14ac:dyDescent="0.25">
      <c r="A539" s="122"/>
    </row>
    <row r="540" spans="1:1" ht="12.75" customHeight="1" x14ac:dyDescent="0.25">
      <c r="A540" s="122"/>
    </row>
    <row r="541" spans="1:1" ht="12.75" customHeight="1" x14ac:dyDescent="0.25">
      <c r="A541" s="122"/>
    </row>
    <row r="542" spans="1:1" ht="12.75" customHeight="1" x14ac:dyDescent="0.25">
      <c r="A542" s="122"/>
    </row>
    <row r="543" spans="1:1" ht="12.75" customHeight="1" x14ac:dyDescent="0.25">
      <c r="A543" s="122"/>
    </row>
    <row r="544" spans="1:1" ht="12.75" customHeight="1" x14ac:dyDescent="0.25">
      <c r="A544" s="122"/>
    </row>
    <row r="545" spans="1:1" ht="12.75" customHeight="1" x14ac:dyDescent="0.25">
      <c r="A545" s="122"/>
    </row>
    <row r="546" spans="1:1" ht="12.75" customHeight="1" x14ac:dyDescent="0.25">
      <c r="A546" s="122"/>
    </row>
    <row r="547" spans="1:1" ht="12.75" customHeight="1" x14ac:dyDescent="0.25">
      <c r="A547" s="122"/>
    </row>
    <row r="548" spans="1:1" ht="12.75" customHeight="1" x14ac:dyDescent="0.25">
      <c r="A548" s="122"/>
    </row>
    <row r="549" spans="1:1" ht="12.75" customHeight="1" x14ac:dyDescent="0.25">
      <c r="A549" s="122"/>
    </row>
    <row r="550" spans="1:1" ht="12.75" customHeight="1" x14ac:dyDescent="0.25">
      <c r="A550" s="122"/>
    </row>
    <row r="551" spans="1:1" ht="12.75" customHeight="1" x14ac:dyDescent="0.25">
      <c r="A551" s="122"/>
    </row>
    <row r="552" spans="1:1" ht="12.75" customHeight="1" x14ac:dyDescent="0.25">
      <c r="A552" s="122"/>
    </row>
    <row r="553" spans="1:1" ht="12.75" customHeight="1" x14ac:dyDescent="0.25">
      <c r="A553" s="122"/>
    </row>
    <row r="554" spans="1:1" ht="12.75" customHeight="1" x14ac:dyDescent="0.25">
      <c r="A554" s="122"/>
    </row>
    <row r="555" spans="1:1" ht="12.75" customHeight="1" x14ac:dyDescent="0.25">
      <c r="A555" s="122"/>
    </row>
    <row r="556" spans="1:1" ht="12.75" customHeight="1" x14ac:dyDescent="0.25">
      <c r="A556" s="122"/>
    </row>
    <row r="557" spans="1:1" ht="12.75" customHeight="1" x14ac:dyDescent="0.25">
      <c r="A557" s="122"/>
    </row>
    <row r="558" spans="1:1" ht="12.75" customHeight="1" x14ac:dyDescent="0.25">
      <c r="A558" s="122"/>
    </row>
    <row r="559" spans="1:1" ht="12.75" customHeight="1" x14ac:dyDescent="0.25">
      <c r="A559" s="122"/>
    </row>
    <row r="560" spans="1:1" ht="12.75" customHeight="1" x14ac:dyDescent="0.25">
      <c r="A560" s="122"/>
    </row>
    <row r="561" spans="1:1" ht="12.75" customHeight="1" x14ac:dyDescent="0.25">
      <c r="A561" s="122"/>
    </row>
    <row r="562" spans="1:1" ht="12.75" customHeight="1" x14ac:dyDescent="0.25">
      <c r="A562" s="122"/>
    </row>
    <row r="563" spans="1:1" ht="12.75" customHeight="1" x14ac:dyDescent="0.25">
      <c r="A563" s="122"/>
    </row>
    <row r="564" spans="1:1" ht="12.75" customHeight="1" x14ac:dyDescent="0.25">
      <c r="A564" s="122"/>
    </row>
    <row r="565" spans="1:1" ht="12.75" customHeight="1" x14ac:dyDescent="0.25">
      <c r="A565" s="122"/>
    </row>
    <row r="566" spans="1:1" ht="12.75" customHeight="1" x14ac:dyDescent="0.25">
      <c r="A566" s="122"/>
    </row>
    <row r="567" spans="1:1" ht="12.75" customHeight="1" x14ac:dyDescent="0.25">
      <c r="A567" s="122"/>
    </row>
    <row r="568" spans="1:1" ht="12.75" customHeight="1" x14ac:dyDescent="0.25">
      <c r="A568" s="122"/>
    </row>
    <row r="569" spans="1:1" ht="12.75" customHeight="1" x14ac:dyDescent="0.25">
      <c r="A569" s="122"/>
    </row>
    <row r="570" spans="1:1" ht="12.75" customHeight="1" x14ac:dyDescent="0.25">
      <c r="A570" s="122"/>
    </row>
    <row r="571" spans="1:1" ht="12.75" customHeight="1" x14ac:dyDescent="0.25">
      <c r="A571" s="122"/>
    </row>
    <row r="572" spans="1:1" ht="12.75" customHeight="1" x14ac:dyDescent="0.25">
      <c r="A572" s="122"/>
    </row>
    <row r="573" spans="1:1" ht="12.75" customHeight="1" x14ac:dyDescent="0.25">
      <c r="A573" s="122"/>
    </row>
    <row r="574" spans="1:1" ht="12.75" customHeight="1" x14ac:dyDescent="0.25">
      <c r="A574" s="122"/>
    </row>
    <row r="575" spans="1:1" ht="12.75" customHeight="1" x14ac:dyDescent="0.25">
      <c r="A575" s="122"/>
    </row>
    <row r="576" spans="1:1" ht="12.75" customHeight="1" x14ac:dyDescent="0.25">
      <c r="A576" s="122"/>
    </row>
    <row r="577" spans="1:1" ht="12.75" customHeight="1" x14ac:dyDescent="0.25">
      <c r="A577" s="122"/>
    </row>
    <row r="578" spans="1:1" ht="12.75" customHeight="1" x14ac:dyDescent="0.25">
      <c r="A578" s="122"/>
    </row>
    <row r="579" spans="1:1" ht="12.75" customHeight="1" x14ac:dyDescent="0.25">
      <c r="A579" s="122"/>
    </row>
    <row r="580" spans="1:1" ht="12.75" customHeight="1" x14ac:dyDescent="0.25">
      <c r="A580" s="122"/>
    </row>
    <row r="581" spans="1:1" ht="12.75" customHeight="1" x14ac:dyDescent="0.25">
      <c r="A581" s="122"/>
    </row>
    <row r="582" spans="1:1" ht="12.75" customHeight="1" x14ac:dyDescent="0.25">
      <c r="A582" s="122"/>
    </row>
    <row r="583" spans="1:1" ht="12.75" customHeight="1" x14ac:dyDescent="0.25">
      <c r="A583" s="122"/>
    </row>
    <row r="584" spans="1:1" ht="12.75" customHeight="1" x14ac:dyDescent="0.25">
      <c r="A584" s="122"/>
    </row>
    <row r="585" spans="1:1" ht="12.75" customHeight="1" x14ac:dyDescent="0.25">
      <c r="A585" s="122"/>
    </row>
    <row r="586" spans="1:1" ht="12.75" customHeight="1" x14ac:dyDescent="0.25">
      <c r="A586" s="122"/>
    </row>
    <row r="587" spans="1:1" ht="12.75" customHeight="1" x14ac:dyDescent="0.25">
      <c r="A587" s="122"/>
    </row>
    <row r="588" spans="1:1" ht="12.75" customHeight="1" x14ac:dyDescent="0.25">
      <c r="A588" s="122"/>
    </row>
    <row r="589" spans="1:1" ht="12.75" customHeight="1" x14ac:dyDescent="0.25">
      <c r="A589" s="122"/>
    </row>
    <row r="590" spans="1:1" ht="12.75" customHeight="1" x14ac:dyDescent="0.25">
      <c r="A590" s="122"/>
    </row>
    <row r="591" spans="1:1" ht="12.75" customHeight="1" x14ac:dyDescent="0.25">
      <c r="A591" s="122"/>
    </row>
    <row r="592" spans="1:1" ht="12.75" customHeight="1" x14ac:dyDescent="0.25">
      <c r="A592" s="122"/>
    </row>
    <row r="593" spans="1:1" ht="12.75" customHeight="1" x14ac:dyDescent="0.25">
      <c r="A593" s="122"/>
    </row>
    <row r="594" spans="1:1" ht="12.75" customHeight="1" x14ac:dyDescent="0.25">
      <c r="A594" s="122"/>
    </row>
    <row r="595" spans="1:1" ht="12.75" customHeight="1" x14ac:dyDescent="0.25">
      <c r="A595" s="122"/>
    </row>
    <row r="596" spans="1:1" ht="12.75" customHeight="1" x14ac:dyDescent="0.25">
      <c r="A596" s="122"/>
    </row>
    <row r="597" spans="1:1" ht="12.75" customHeight="1" x14ac:dyDescent="0.25">
      <c r="A597" s="122"/>
    </row>
    <row r="598" spans="1:1" ht="12.75" customHeight="1" x14ac:dyDescent="0.25">
      <c r="A598" s="122"/>
    </row>
    <row r="599" spans="1:1" ht="12.75" customHeight="1" x14ac:dyDescent="0.25">
      <c r="A599" s="122"/>
    </row>
    <row r="600" spans="1:1" ht="12.75" customHeight="1" x14ac:dyDescent="0.25">
      <c r="A600" s="122"/>
    </row>
    <row r="601" spans="1:1" ht="12.75" customHeight="1" x14ac:dyDescent="0.25">
      <c r="A601" s="122"/>
    </row>
    <row r="602" spans="1:1" ht="12.75" customHeight="1" x14ac:dyDescent="0.25">
      <c r="A602" s="122"/>
    </row>
    <row r="603" spans="1:1" ht="12.75" customHeight="1" x14ac:dyDescent="0.25">
      <c r="A603" s="122"/>
    </row>
    <row r="604" spans="1:1" ht="12.75" customHeight="1" x14ac:dyDescent="0.25">
      <c r="A604" s="122"/>
    </row>
    <row r="605" spans="1:1" ht="12.75" customHeight="1" x14ac:dyDescent="0.25">
      <c r="A605" s="122"/>
    </row>
    <row r="606" spans="1:1" ht="12.75" customHeight="1" x14ac:dyDescent="0.25">
      <c r="A606" s="122"/>
    </row>
    <row r="607" spans="1:1" ht="12.75" customHeight="1" x14ac:dyDescent="0.25">
      <c r="A607" s="122"/>
    </row>
    <row r="608" spans="1:1" ht="12.75" customHeight="1" x14ac:dyDescent="0.25">
      <c r="A608" s="122"/>
    </row>
    <row r="609" spans="1:1" ht="12.75" customHeight="1" x14ac:dyDescent="0.25">
      <c r="A609" s="122"/>
    </row>
    <row r="610" spans="1:1" ht="12.75" customHeight="1" x14ac:dyDescent="0.25">
      <c r="A610" s="122"/>
    </row>
    <row r="611" spans="1:1" ht="12.75" customHeight="1" x14ac:dyDescent="0.25">
      <c r="A611" s="122"/>
    </row>
    <row r="612" spans="1:1" ht="12.75" customHeight="1" x14ac:dyDescent="0.25">
      <c r="A612" s="122"/>
    </row>
    <row r="613" spans="1:1" ht="12.75" customHeight="1" x14ac:dyDescent="0.25">
      <c r="A613" s="122"/>
    </row>
    <row r="614" spans="1:1" ht="12.75" customHeight="1" x14ac:dyDescent="0.25">
      <c r="A614" s="122"/>
    </row>
    <row r="615" spans="1:1" ht="12.75" customHeight="1" x14ac:dyDescent="0.25">
      <c r="A615" s="122"/>
    </row>
    <row r="616" spans="1:1" ht="12.75" customHeight="1" x14ac:dyDescent="0.25">
      <c r="A616" s="122"/>
    </row>
    <row r="617" spans="1:1" ht="12.75" customHeight="1" x14ac:dyDescent="0.25">
      <c r="A617" s="122"/>
    </row>
    <row r="618" spans="1:1" ht="12.75" customHeight="1" x14ac:dyDescent="0.25">
      <c r="A618" s="122"/>
    </row>
    <row r="619" spans="1:1" ht="12.75" customHeight="1" x14ac:dyDescent="0.25">
      <c r="A619" s="122"/>
    </row>
    <row r="620" spans="1:1" ht="12.75" customHeight="1" x14ac:dyDescent="0.25">
      <c r="A620" s="122"/>
    </row>
    <row r="621" spans="1:1" ht="12.75" customHeight="1" x14ac:dyDescent="0.25">
      <c r="A621" s="122"/>
    </row>
    <row r="622" spans="1:1" ht="12.75" customHeight="1" x14ac:dyDescent="0.25">
      <c r="A622" s="122"/>
    </row>
    <row r="623" spans="1:1" ht="12.75" customHeight="1" x14ac:dyDescent="0.25">
      <c r="A623" s="122"/>
    </row>
    <row r="624" spans="1:1" ht="12.75" customHeight="1" x14ac:dyDescent="0.25">
      <c r="A624" s="122"/>
    </row>
    <row r="625" spans="1:1" ht="12.75" customHeight="1" x14ac:dyDescent="0.25">
      <c r="A625" s="122"/>
    </row>
    <row r="626" spans="1:1" ht="12.75" customHeight="1" x14ac:dyDescent="0.25">
      <c r="A626" s="122"/>
    </row>
    <row r="627" spans="1:1" ht="12.75" customHeight="1" x14ac:dyDescent="0.25">
      <c r="A627" s="122"/>
    </row>
    <row r="628" spans="1:1" ht="12.75" customHeight="1" x14ac:dyDescent="0.25">
      <c r="A628" s="122"/>
    </row>
    <row r="629" spans="1:1" ht="12.75" customHeight="1" x14ac:dyDescent="0.25">
      <c r="A629" s="122"/>
    </row>
    <row r="630" spans="1:1" ht="12.75" customHeight="1" x14ac:dyDescent="0.25">
      <c r="A630" s="122"/>
    </row>
    <row r="631" spans="1:1" ht="12.75" customHeight="1" x14ac:dyDescent="0.25">
      <c r="A631" s="122"/>
    </row>
    <row r="632" spans="1:1" ht="12.75" customHeight="1" x14ac:dyDescent="0.25">
      <c r="A632" s="122"/>
    </row>
    <row r="633" spans="1:1" ht="12.75" customHeight="1" x14ac:dyDescent="0.25">
      <c r="A633" s="122"/>
    </row>
    <row r="634" spans="1:1" ht="12.75" customHeight="1" x14ac:dyDescent="0.25">
      <c r="A634" s="122"/>
    </row>
    <row r="635" spans="1:1" ht="12.75" customHeight="1" x14ac:dyDescent="0.25">
      <c r="A635" s="122"/>
    </row>
    <row r="636" spans="1:1" ht="12.75" customHeight="1" x14ac:dyDescent="0.25">
      <c r="A636" s="122"/>
    </row>
    <row r="637" spans="1:1" ht="12.75" customHeight="1" x14ac:dyDescent="0.25">
      <c r="A637" s="122"/>
    </row>
    <row r="638" spans="1:1" ht="12.75" customHeight="1" x14ac:dyDescent="0.25">
      <c r="A638" s="122"/>
    </row>
    <row r="639" spans="1:1" ht="12.75" customHeight="1" x14ac:dyDescent="0.25">
      <c r="A639" s="122"/>
    </row>
    <row r="640" spans="1:1" ht="12.75" customHeight="1" x14ac:dyDescent="0.25">
      <c r="A640" s="122"/>
    </row>
    <row r="641" spans="1:1" ht="12.75" customHeight="1" x14ac:dyDescent="0.25">
      <c r="A641" s="122"/>
    </row>
    <row r="642" spans="1:1" ht="12.75" customHeight="1" x14ac:dyDescent="0.25">
      <c r="A642" s="122"/>
    </row>
    <row r="643" spans="1:1" ht="12.75" customHeight="1" x14ac:dyDescent="0.25">
      <c r="A643" s="122"/>
    </row>
    <row r="644" spans="1:1" ht="12.75" customHeight="1" x14ac:dyDescent="0.25">
      <c r="A644" s="122"/>
    </row>
    <row r="645" spans="1:1" ht="12.75" customHeight="1" x14ac:dyDescent="0.25">
      <c r="A645" s="122"/>
    </row>
    <row r="646" spans="1:1" ht="12.75" customHeight="1" x14ac:dyDescent="0.25">
      <c r="A646" s="122"/>
    </row>
    <row r="647" spans="1:1" ht="12.75" customHeight="1" x14ac:dyDescent="0.25">
      <c r="A647" s="122"/>
    </row>
    <row r="648" spans="1:1" ht="12.75" customHeight="1" x14ac:dyDescent="0.25">
      <c r="A648" s="122"/>
    </row>
    <row r="649" spans="1:1" ht="12.75" customHeight="1" x14ac:dyDescent="0.25">
      <c r="A649" s="122"/>
    </row>
    <row r="650" spans="1:1" ht="12.75" customHeight="1" x14ac:dyDescent="0.25">
      <c r="A650" s="122"/>
    </row>
    <row r="651" spans="1:1" ht="12.75" customHeight="1" x14ac:dyDescent="0.25">
      <c r="A651" s="122"/>
    </row>
    <row r="652" spans="1:1" ht="12.75" customHeight="1" x14ac:dyDescent="0.25">
      <c r="A652" s="122"/>
    </row>
    <row r="653" spans="1:1" ht="12.75" customHeight="1" x14ac:dyDescent="0.25">
      <c r="A653" s="122"/>
    </row>
    <row r="654" spans="1:1" ht="12.75" customHeight="1" x14ac:dyDescent="0.25">
      <c r="A654" s="122"/>
    </row>
    <row r="655" spans="1:1" ht="12.75" customHeight="1" x14ac:dyDescent="0.25">
      <c r="A655" s="122"/>
    </row>
    <row r="656" spans="1:1" ht="12.75" customHeight="1" x14ac:dyDescent="0.25">
      <c r="A656" s="122"/>
    </row>
    <row r="657" spans="1:1" ht="12.75" customHeight="1" x14ac:dyDescent="0.25">
      <c r="A657" s="122"/>
    </row>
    <row r="658" spans="1:1" ht="12.75" customHeight="1" x14ac:dyDescent="0.25">
      <c r="A658" s="122"/>
    </row>
    <row r="659" spans="1:1" ht="12.75" customHeight="1" x14ac:dyDescent="0.25">
      <c r="A659" s="122"/>
    </row>
    <row r="660" spans="1:1" ht="12.75" customHeight="1" x14ac:dyDescent="0.25">
      <c r="A660" s="122"/>
    </row>
    <row r="661" spans="1:1" ht="12.75" customHeight="1" x14ac:dyDescent="0.25">
      <c r="A661" s="122"/>
    </row>
    <row r="662" spans="1:1" ht="12.75" customHeight="1" x14ac:dyDescent="0.25">
      <c r="A662" s="122"/>
    </row>
    <row r="663" spans="1:1" ht="12.75" customHeight="1" x14ac:dyDescent="0.25">
      <c r="A663" s="122"/>
    </row>
    <row r="664" spans="1:1" ht="12.75" customHeight="1" x14ac:dyDescent="0.25">
      <c r="A664" s="122"/>
    </row>
    <row r="665" spans="1:1" ht="12.75" customHeight="1" x14ac:dyDescent="0.25">
      <c r="A665" s="122"/>
    </row>
    <row r="666" spans="1:1" ht="12.75" customHeight="1" x14ac:dyDescent="0.25">
      <c r="A666" s="122"/>
    </row>
    <row r="667" spans="1:1" ht="12.75" customHeight="1" x14ac:dyDescent="0.25">
      <c r="A667" s="122"/>
    </row>
    <row r="668" spans="1:1" ht="12.75" customHeight="1" x14ac:dyDescent="0.25">
      <c r="A668" s="122"/>
    </row>
    <row r="669" spans="1:1" ht="12.75" customHeight="1" x14ac:dyDescent="0.25">
      <c r="A669" s="122"/>
    </row>
    <row r="670" spans="1:1" ht="12.75" customHeight="1" x14ac:dyDescent="0.25">
      <c r="A670" s="122"/>
    </row>
    <row r="671" spans="1:1" ht="12.75" customHeight="1" x14ac:dyDescent="0.25">
      <c r="A671" s="122"/>
    </row>
    <row r="672" spans="1:1" ht="12.75" customHeight="1" x14ac:dyDescent="0.25">
      <c r="A672" s="122"/>
    </row>
    <row r="673" spans="1:1" ht="12.75" customHeight="1" x14ac:dyDescent="0.25">
      <c r="A673" s="122"/>
    </row>
    <row r="674" spans="1:1" ht="12.75" customHeight="1" x14ac:dyDescent="0.25">
      <c r="A674" s="122"/>
    </row>
    <row r="675" spans="1:1" ht="12.75" customHeight="1" x14ac:dyDescent="0.25">
      <c r="A675" s="122"/>
    </row>
    <row r="676" spans="1:1" ht="12.75" customHeight="1" x14ac:dyDescent="0.25">
      <c r="A676" s="122"/>
    </row>
    <row r="677" spans="1:1" ht="12.75" customHeight="1" x14ac:dyDescent="0.25">
      <c r="A677" s="122"/>
    </row>
    <row r="678" spans="1:1" ht="12.75" customHeight="1" x14ac:dyDescent="0.25">
      <c r="A678" s="122"/>
    </row>
    <row r="679" spans="1:1" ht="12.75" customHeight="1" x14ac:dyDescent="0.25">
      <c r="A679" s="122"/>
    </row>
    <row r="680" spans="1:1" ht="12.75" customHeight="1" x14ac:dyDescent="0.25">
      <c r="A680" s="122"/>
    </row>
    <row r="681" spans="1:1" ht="12.75" customHeight="1" x14ac:dyDescent="0.25">
      <c r="A681" s="122"/>
    </row>
    <row r="682" spans="1:1" ht="12.75" customHeight="1" x14ac:dyDescent="0.25">
      <c r="A682" s="122"/>
    </row>
    <row r="683" spans="1:1" ht="12.75" customHeight="1" x14ac:dyDescent="0.25">
      <c r="A683" s="122"/>
    </row>
    <row r="684" spans="1:1" ht="12.75" customHeight="1" x14ac:dyDescent="0.25">
      <c r="A684" s="122"/>
    </row>
    <row r="685" spans="1:1" ht="12.75" customHeight="1" x14ac:dyDescent="0.25">
      <c r="A685" s="122"/>
    </row>
    <row r="686" spans="1:1" ht="12.75" customHeight="1" x14ac:dyDescent="0.25">
      <c r="A686" s="122"/>
    </row>
    <row r="687" spans="1:1" ht="12.75" customHeight="1" x14ac:dyDescent="0.25">
      <c r="A687" s="122"/>
    </row>
    <row r="688" spans="1:1" ht="12.75" customHeight="1" x14ac:dyDescent="0.25">
      <c r="A688" s="122"/>
    </row>
    <row r="689" spans="1:1" ht="12.75" customHeight="1" x14ac:dyDescent="0.25">
      <c r="A689" s="122"/>
    </row>
    <row r="690" spans="1:1" ht="12.75" customHeight="1" x14ac:dyDescent="0.25">
      <c r="A690" s="122"/>
    </row>
    <row r="691" spans="1:1" ht="12.75" customHeight="1" x14ac:dyDescent="0.25">
      <c r="A691" s="122"/>
    </row>
    <row r="692" spans="1:1" ht="12.75" customHeight="1" x14ac:dyDescent="0.25">
      <c r="A692" s="122"/>
    </row>
    <row r="693" spans="1:1" ht="12.75" customHeight="1" x14ac:dyDescent="0.25">
      <c r="A693" s="122"/>
    </row>
    <row r="694" spans="1:1" ht="12.75" customHeight="1" x14ac:dyDescent="0.25">
      <c r="A694" s="122"/>
    </row>
    <row r="695" spans="1:1" ht="12.75" customHeight="1" x14ac:dyDescent="0.25">
      <c r="A695" s="122"/>
    </row>
    <row r="696" spans="1:1" ht="12.75" customHeight="1" x14ac:dyDescent="0.25">
      <c r="A696" s="122"/>
    </row>
    <row r="697" spans="1:1" ht="12.75" customHeight="1" x14ac:dyDescent="0.25">
      <c r="A697" s="122"/>
    </row>
    <row r="698" spans="1:1" ht="12.75" customHeight="1" x14ac:dyDescent="0.25">
      <c r="A698" s="122"/>
    </row>
    <row r="699" spans="1:1" ht="12.75" customHeight="1" x14ac:dyDescent="0.25">
      <c r="A699" s="122"/>
    </row>
    <row r="700" spans="1:1" ht="12.75" customHeight="1" x14ac:dyDescent="0.25">
      <c r="A700" s="122"/>
    </row>
    <row r="701" spans="1:1" ht="12.75" customHeight="1" x14ac:dyDescent="0.25">
      <c r="A701" s="122"/>
    </row>
    <row r="702" spans="1:1" ht="12.75" customHeight="1" x14ac:dyDescent="0.25">
      <c r="A702" s="122"/>
    </row>
    <row r="703" spans="1:1" ht="12.75" customHeight="1" x14ac:dyDescent="0.25">
      <c r="A703" s="122"/>
    </row>
    <row r="704" spans="1:1" ht="12.75" customHeight="1" x14ac:dyDescent="0.25">
      <c r="A704" s="122"/>
    </row>
    <row r="705" spans="1:1" ht="12.75" customHeight="1" x14ac:dyDescent="0.25">
      <c r="A705" s="122"/>
    </row>
    <row r="706" spans="1:1" ht="12.75" customHeight="1" x14ac:dyDescent="0.25">
      <c r="A706" s="122"/>
    </row>
    <row r="707" spans="1:1" ht="12.75" customHeight="1" x14ac:dyDescent="0.25">
      <c r="A707" s="122"/>
    </row>
    <row r="708" spans="1:1" ht="12.75" customHeight="1" x14ac:dyDescent="0.25">
      <c r="A708" s="122"/>
    </row>
    <row r="709" spans="1:1" ht="12.75" customHeight="1" x14ac:dyDescent="0.25">
      <c r="A709" s="122"/>
    </row>
    <row r="710" spans="1:1" ht="12.75" customHeight="1" x14ac:dyDescent="0.25">
      <c r="A710" s="122"/>
    </row>
    <row r="711" spans="1:1" ht="12.75" customHeight="1" x14ac:dyDescent="0.25">
      <c r="A711" s="122"/>
    </row>
    <row r="712" spans="1:1" ht="12.75" customHeight="1" x14ac:dyDescent="0.25">
      <c r="A712" s="122"/>
    </row>
    <row r="713" spans="1:1" ht="12.75" customHeight="1" x14ac:dyDescent="0.25">
      <c r="A713" s="122"/>
    </row>
    <row r="714" spans="1:1" ht="12.75" customHeight="1" x14ac:dyDescent="0.25">
      <c r="A714" s="122"/>
    </row>
    <row r="715" spans="1:1" ht="12.75" customHeight="1" x14ac:dyDescent="0.25">
      <c r="A715" s="122"/>
    </row>
    <row r="716" spans="1:1" ht="12.75" customHeight="1" x14ac:dyDescent="0.25">
      <c r="A716" s="122"/>
    </row>
    <row r="717" spans="1:1" ht="12.75" customHeight="1" x14ac:dyDescent="0.25">
      <c r="A717" s="122"/>
    </row>
    <row r="718" spans="1:1" ht="12.75" customHeight="1" x14ac:dyDescent="0.25">
      <c r="A718" s="122"/>
    </row>
    <row r="719" spans="1:1" ht="12.75" customHeight="1" x14ac:dyDescent="0.25">
      <c r="A719" s="122"/>
    </row>
    <row r="720" spans="1:1" ht="12.75" customHeight="1" x14ac:dyDescent="0.25">
      <c r="A720" s="122"/>
    </row>
    <row r="721" spans="1:1" ht="12.75" customHeight="1" x14ac:dyDescent="0.25">
      <c r="A721" s="122"/>
    </row>
    <row r="722" spans="1:1" ht="12.75" customHeight="1" x14ac:dyDescent="0.25">
      <c r="A722" s="122"/>
    </row>
    <row r="723" spans="1:1" ht="12.75" customHeight="1" x14ac:dyDescent="0.25">
      <c r="A723" s="122"/>
    </row>
    <row r="724" spans="1:1" ht="12.75" customHeight="1" x14ac:dyDescent="0.25">
      <c r="A724" s="122"/>
    </row>
    <row r="725" spans="1:1" ht="12.75" customHeight="1" x14ac:dyDescent="0.25">
      <c r="A725" s="122"/>
    </row>
    <row r="726" spans="1:1" ht="12.75" customHeight="1" x14ac:dyDescent="0.25">
      <c r="A726" s="122"/>
    </row>
    <row r="727" spans="1:1" ht="12.75" customHeight="1" x14ac:dyDescent="0.25">
      <c r="A727" s="122"/>
    </row>
    <row r="728" spans="1:1" ht="12.75" customHeight="1" x14ac:dyDescent="0.25">
      <c r="A728" s="122"/>
    </row>
    <row r="729" spans="1:1" ht="12.75" customHeight="1" x14ac:dyDescent="0.25">
      <c r="A729" s="122"/>
    </row>
    <row r="730" spans="1:1" ht="12.75" customHeight="1" x14ac:dyDescent="0.25">
      <c r="A730" s="122"/>
    </row>
    <row r="731" spans="1:1" ht="12.75" customHeight="1" x14ac:dyDescent="0.25">
      <c r="A731" s="122"/>
    </row>
    <row r="732" spans="1:1" ht="12.75" customHeight="1" x14ac:dyDescent="0.25">
      <c r="A732" s="122"/>
    </row>
    <row r="733" spans="1:1" ht="12.75" customHeight="1" x14ac:dyDescent="0.25">
      <c r="A733" s="122"/>
    </row>
    <row r="734" spans="1:1" ht="12.75" customHeight="1" x14ac:dyDescent="0.25">
      <c r="A734" s="122"/>
    </row>
    <row r="735" spans="1:1" ht="12.75" customHeight="1" x14ac:dyDescent="0.25">
      <c r="A735" s="122"/>
    </row>
    <row r="736" spans="1:1" ht="12.75" customHeight="1" x14ac:dyDescent="0.25">
      <c r="A736" s="122"/>
    </row>
    <row r="737" spans="1:1" ht="12.75" customHeight="1" x14ac:dyDescent="0.25">
      <c r="A737" s="122"/>
    </row>
    <row r="738" spans="1:1" ht="12.75" customHeight="1" x14ac:dyDescent="0.25">
      <c r="A738" s="122"/>
    </row>
    <row r="739" spans="1:1" ht="12.75" customHeight="1" x14ac:dyDescent="0.25">
      <c r="A739" s="122"/>
    </row>
    <row r="740" spans="1:1" ht="12.75" customHeight="1" x14ac:dyDescent="0.25">
      <c r="A740" s="122"/>
    </row>
    <row r="741" spans="1:1" ht="12.75" customHeight="1" x14ac:dyDescent="0.25">
      <c r="A741" s="122"/>
    </row>
    <row r="742" spans="1:1" ht="12.75" customHeight="1" x14ac:dyDescent="0.25">
      <c r="A742" s="122"/>
    </row>
    <row r="743" spans="1:1" ht="12.75" customHeight="1" x14ac:dyDescent="0.25">
      <c r="A743" s="122"/>
    </row>
    <row r="744" spans="1:1" ht="12.75" customHeight="1" x14ac:dyDescent="0.25">
      <c r="A744" s="122"/>
    </row>
    <row r="745" spans="1:1" ht="12.75" customHeight="1" x14ac:dyDescent="0.25">
      <c r="A745" s="122"/>
    </row>
    <row r="746" spans="1:1" ht="12.75" customHeight="1" x14ac:dyDescent="0.25">
      <c r="A746" s="122"/>
    </row>
    <row r="747" spans="1:1" ht="12.75" customHeight="1" x14ac:dyDescent="0.25">
      <c r="A747" s="122"/>
    </row>
    <row r="748" spans="1:1" ht="12.75" customHeight="1" x14ac:dyDescent="0.25">
      <c r="A748" s="122"/>
    </row>
    <row r="749" spans="1:1" ht="12.75" customHeight="1" x14ac:dyDescent="0.25">
      <c r="A749" s="122"/>
    </row>
    <row r="750" spans="1:1" ht="12.75" customHeight="1" x14ac:dyDescent="0.25">
      <c r="A750" s="122"/>
    </row>
    <row r="751" spans="1:1" ht="12.75" customHeight="1" x14ac:dyDescent="0.25">
      <c r="A751" s="122"/>
    </row>
    <row r="752" spans="1:1" ht="12.75" customHeight="1" x14ac:dyDescent="0.25">
      <c r="A752" s="122"/>
    </row>
    <row r="753" spans="1:1" ht="12.75" customHeight="1" x14ac:dyDescent="0.25">
      <c r="A753" s="122"/>
    </row>
    <row r="754" spans="1:1" ht="12.75" customHeight="1" x14ac:dyDescent="0.25">
      <c r="A754" s="122"/>
    </row>
    <row r="755" spans="1:1" ht="12.75" customHeight="1" x14ac:dyDescent="0.25">
      <c r="A755" s="122"/>
    </row>
    <row r="756" spans="1:1" ht="12.75" customHeight="1" x14ac:dyDescent="0.25">
      <c r="A756" s="122"/>
    </row>
    <row r="757" spans="1:1" ht="12.75" customHeight="1" x14ac:dyDescent="0.25">
      <c r="A757" s="122"/>
    </row>
    <row r="758" spans="1:1" ht="12.75" customHeight="1" x14ac:dyDescent="0.25">
      <c r="A758" s="122"/>
    </row>
    <row r="759" spans="1:1" ht="12.75" customHeight="1" x14ac:dyDescent="0.25">
      <c r="A759" s="122"/>
    </row>
    <row r="760" spans="1:1" ht="12.75" customHeight="1" x14ac:dyDescent="0.25">
      <c r="A760" s="122"/>
    </row>
    <row r="761" spans="1:1" ht="12.75" customHeight="1" x14ac:dyDescent="0.25">
      <c r="A761" s="122"/>
    </row>
    <row r="762" spans="1:1" ht="12.75" customHeight="1" x14ac:dyDescent="0.25">
      <c r="A762" s="122"/>
    </row>
    <row r="763" spans="1:1" ht="12.75" customHeight="1" x14ac:dyDescent="0.25">
      <c r="A763" s="122"/>
    </row>
    <row r="764" spans="1:1" ht="12.75" customHeight="1" x14ac:dyDescent="0.25">
      <c r="A764" s="122"/>
    </row>
    <row r="765" spans="1:1" ht="12.75" customHeight="1" x14ac:dyDescent="0.25">
      <c r="A765" s="122"/>
    </row>
    <row r="766" spans="1:1" ht="12.75" customHeight="1" x14ac:dyDescent="0.25">
      <c r="A766" s="122"/>
    </row>
    <row r="767" spans="1:1" ht="12.75" customHeight="1" x14ac:dyDescent="0.25">
      <c r="A767" s="122"/>
    </row>
    <row r="768" spans="1:1" ht="12.75" customHeight="1" x14ac:dyDescent="0.25">
      <c r="A768" s="122"/>
    </row>
    <row r="769" spans="1:1" ht="12.75" customHeight="1" x14ac:dyDescent="0.25">
      <c r="A769" s="122"/>
    </row>
    <row r="770" spans="1:1" ht="12.75" customHeight="1" x14ac:dyDescent="0.25">
      <c r="A770" s="122"/>
    </row>
    <row r="771" spans="1:1" ht="12.75" customHeight="1" x14ac:dyDescent="0.25">
      <c r="A771" s="122"/>
    </row>
    <row r="772" spans="1:1" ht="12.75" customHeight="1" x14ac:dyDescent="0.25">
      <c r="A772" s="122"/>
    </row>
    <row r="773" spans="1:1" ht="12.75" customHeight="1" x14ac:dyDescent="0.25">
      <c r="A773" s="122"/>
    </row>
    <row r="774" spans="1:1" ht="12.75" customHeight="1" x14ac:dyDescent="0.25">
      <c r="A774" s="122"/>
    </row>
    <row r="775" spans="1:1" ht="12.75" customHeight="1" x14ac:dyDescent="0.25">
      <c r="A775" s="122"/>
    </row>
    <row r="776" spans="1:1" ht="12.75" customHeight="1" x14ac:dyDescent="0.25">
      <c r="A776" s="122"/>
    </row>
    <row r="777" spans="1:1" ht="12.75" customHeight="1" x14ac:dyDescent="0.25">
      <c r="A777" s="122"/>
    </row>
    <row r="778" spans="1:1" ht="12.75" customHeight="1" x14ac:dyDescent="0.25">
      <c r="A778" s="122"/>
    </row>
    <row r="779" spans="1:1" ht="12.75" customHeight="1" x14ac:dyDescent="0.25">
      <c r="A779" s="122"/>
    </row>
    <row r="780" spans="1:1" ht="12.75" customHeight="1" x14ac:dyDescent="0.25">
      <c r="A780" s="122"/>
    </row>
    <row r="781" spans="1:1" ht="12.75" customHeight="1" x14ac:dyDescent="0.25">
      <c r="A781" s="122"/>
    </row>
    <row r="782" spans="1:1" ht="12.75" customHeight="1" x14ac:dyDescent="0.25">
      <c r="A782" s="122"/>
    </row>
    <row r="783" spans="1:1" ht="12.75" customHeight="1" x14ac:dyDescent="0.25">
      <c r="A783" s="122"/>
    </row>
    <row r="784" spans="1:1" ht="12.75" customHeight="1" x14ac:dyDescent="0.25">
      <c r="A784" s="122"/>
    </row>
    <row r="785" spans="1:1" ht="12.75" customHeight="1" x14ac:dyDescent="0.25">
      <c r="A785" s="122"/>
    </row>
    <row r="786" spans="1:1" ht="12.75" customHeight="1" x14ac:dyDescent="0.25">
      <c r="A786" s="122"/>
    </row>
    <row r="787" spans="1:1" ht="12.75" customHeight="1" x14ac:dyDescent="0.25">
      <c r="A787" s="122"/>
    </row>
    <row r="788" spans="1:1" ht="12.75" customHeight="1" x14ac:dyDescent="0.25">
      <c r="A788" s="122"/>
    </row>
    <row r="789" spans="1:1" ht="12.75" customHeight="1" x14ac:dyDescent="0.25">
      <c r="A789" s="122"/>
    </row>
    <row r="790" spans="1:1" ht="12.75" customHeight="1" x14ac:dyDescent="0.25">
      <c r="A790" s="122"/>
    </row>
    <row r="791" spans="1:1" ht="12.75" customHeight="1" x14ac:dyDescent="0.25">
      <c r="A791" s="122"/>
    </row>
    <row r="792" spans="1:1" ht="12.75" customHeight="1" x14ac:dyDescent="0.25">
      <c r="A792" s="122"/>
    </row>
    <row r="793" spans="1:1" ht="12.75" customHeight="1" x14ac:dyDescent="0.25">
      <c r="A793" s="122"/>
    </row>
    <row r="794" spans="1:1" ht="12.75" customHeight="1" x14ac:dyDescent="0.25">
      <c r="A794" s="122"/>
    </row>
    <row r="795" spans="1:1" ht="12.75" customHeight="1" x14ac:dyDescent="0.25">
      <c r="A795" s="122"/>
    </row>
    <row r="796" spans="1:1" ht="12.75" customHeight="1" x14ac:dyDescent="0.25">
      <c r="A796" s="122"/>
    </row>
    <row r="797" spans="1:1" ht="12.75" customHeight="1" x14ac:dyDescent="0.25">
      <c r="A797" s="122"/>
    </row>
    <row r="798" spans="1:1" ht="12.75" customHeight="1" x14ac:dyDescent="0.25">
      <c r="A798" s="122"/>
    </row>
    <row r="799" spans="1:1" ht="12.75" customHeight="1" x14ac:dyDescent="0.25">
      <c r="A799" s="122"/>
    </row>
    <row r="800" spans="1:1" ht="12.75" customHeight="1" x14ac:dyDescent="0.25">
      <c r="A800" s="122"/>
    </row>
    <row r="801" spans="1:1" ht="12.75" customHeight="1" x14ac:dyDescent="0.25">
      <c r="A801" s="122"/>
    </row>
    <row r="802" spans="1:1" ht="12.75" customHeight="1" x14ac:dyDescent="0.25">
      <c r="A802" s="122"/>
    </row>
    <row r="803" spans="1:1" ht="12.75" customHeight="1" x14ac:dyDescent="0.25">
      <c r="A803" s="122"/>
    </row>
    <row r="804" spans="1:1" ht="12.75" customHeight="1" x14ac:dyDescent="0.25">
      <c r="A804" s="122"/>
    </row>
    <row r="805" spans="1:1" ht="12.75" customHeight="1" x14ac:dyDescent="0.25">
      <c r="A805" s="122"/>
    </row>
    <row r="806" spans="1:1" ht="12.75" customHeight="1" x14ac:dyDescent="0.25">
      <c r="A806" s="122"/>
    </row>
    <row r="807" spans="1:1" ht="12.75" customHeight="1" x14ac:dyDescent="0.25">
      <c r="A807" s="122"/>
    </row>
    <row r="808" spans="1:1" ht="12.75" customHeight="1" x14ac:dyDescent="0.25">
      <c r="A808" s="122"/>
    </row>
    <row r="809" spans="1:1" ht="12.75" customHeight="1" x14ac:dyDescent="0.25">
      <c r="A809" s="122"/>
    </row>
    <row r="810" spans="1:1" ht="12.75" customHeight="1" x14ac:dyDescent="0.25">
      <c r="A810" s="122"/>
    </row>
    <row r="811" spans="1:1" ht="12.75" customHeight="1" x14ac:dyDescent="0.25">
      <c r="A811" s="122"/>
    </row>
    <row r="812" spans="1:1" ht="12.75" customHeight="1" x14ac:dyDescent="0.25">
      <c r="A812" s="122"/>
    </row>
    <row r="813" spans="1:1" ht="12.75" customHeight="1" x14ac:dyDescent="0.25">
      <c r="A813" s="122"/>
    </row>
    <row r="814" spans="1:1" ht="12.75" customHeight="1" x14ac:dyDescent="0.25">
      <c r="A814" s="122"/>
    </row>
    <row r="815" spans="1:1" ht="12.75" customHeight="1" x14ac:dyDescent="0.25">
      <c r="A815" s="122"/>
    </row>
    <row r="816" spans="1:1" ht="12.75" customHeight="1" x14ac:dyDescent="0.25">
      <c r="A816" s="122"/>
    </row>
    <row r="817" spans="1:1" ht="12.75" customHeight="1" x14ac:dyDescent="0.25">
      <c r="A817" s="122"/>
    </row>
    <row r="818" spans="1:1" ht="12.75" customHeight="1" x14ac:dyDescent="0.25">
      <c r="A818" s="122"/>
    </row>
    <row r="819" spans="1:1" ht="12.75" customHeight="1" x14ac:dyDescent="0.25">
      <c r="A819" s="122"/>
    </row>
    <row r="820" spans="1:1" ht="12.75" customHeight="1" x14ac:dyDescent="0.25">
      <c r="A820" s="122"/>
    </row>
    <row r="821" spans="1:1" ht="12.75" customHeight="1" x14ac:dyDescent="0.25">
      <c r="A821" s="122"/>
    </row>
    <row r="822" spans="1:1" ht="12.75" customHeight="1" x14ac:dyDescent="0.25">
      <c r="A822" s="122"/>
    </row>
    <row r="823" spans="1:1" ht="12.75" customHeight="1" x14ac:dyDescent="0.25">
      <c r="A823" s="122"/>
    </row>
    <row r="824" spans="1:1" ht="12.75" customHeight="1" x14ac:dyDescent="0.25">
      <c r="A824" s="122"/>
    </row>
    <row r="825" spans="1:1" ht="12.75" customHeight="1" x14ac:dyDescent="0.25">
      <c r="A825" s="122"/>
    </row>
    <row r="826" spans="1:1" ht="12.75" customHeight="1" x14ac:dyDescent="0.25">
      <c r="A826" s="122"/>
    </row>
    <row r="827" spans="1:1" ht="12.75" customHeight="1" x14ac:dyDescent="0.25">
      <c r="A827" s="122"/>
    </row>
    <row r="828" spans="1:1" ht="12.75" customHeight="1" x14ac:dyDescent="0.25">
      <c r="A828" s="122"/>
    </row>
    <row r="829" spans="1:1" ht="12.75" customHeight="1" x14ac:dyDescent="0.25">
      <c r="A829" s="122"/>
    </row>
    <row r="830" spans="1:1" ht="12.75" customHeight="1" x14ac:dyDescent="0.25">
      <c r="A830" s="122"/>
    </row>
    <row r="831" spans="1:1" ht="12.75" customHeight="1" x14ac:dyDescent="0.25">
      <c r="A831" s="122"/>
    </row>
    <row r="832" spans="1:1" ht="12.75" customHeight="1" x14ac:dyDescent="0.25">
      <c r="A832" s="122"/>
    </row>
    <row r="833" spans="1:1" ht="12.75" customHeight="1" x14ac:dyDescent="0.25">
      <c r="A833" s="122"/>
    </row>
    <row r="834" spans="1:1" ht="12.75" customHeight="1" x14ac:dyDescent="0.25">
      <c r="A834" s="122"/>
    </row>
    <row r="835" spans="1:1" ht="12.75" customHeight="1" x14ac:dyDescent="0.25">
      <c r="A835" s="122"/>
    </row>
    <row r="836" spans="1:1" ht="12.75" customHeight="1" x14ac:dyDescent="0.25">
      <c r="A836" s="122"/>
    </row>
    <row r="837" spans="1:1" ht="12.75" customHeight="1" x14ac:dyDescent="0.25">
      <c r="A837" s="122"/>
    </row>
    <row r="838" spans="1:1" ht="12.75" customHeight="1" x14ac:dyDescent="0.25">
      <c r="A838" s="122"/>
    </row>
    <row r="839" spans="1:1" ht="12.75" customHeight="1" x14ac:dyDescent="0.25">
      <c r="A839" s="122"/>
    </row>
    <row r="840" spans="1:1" ht="12.75" customHeight="1" x14ac:dyDescent="0.25">
      <c r="A840" s="122"/>
    </row>
    <row r="841" spans="1:1" ht="12.75" customHeight="1" x14ac:dyDescent="0.25">
      <c r="A841" s="122"/>
    </row>
    <row r="842" spans="1:1" ht="12.75" customHeight="1" x14ac:dyDescent="0.25">
      <c r="A842" s="122"/>
    </row>
    <row r="843" spans="1:1" ht="12.75" customHeight="1" x14ac:dyDescent="0.25">
      <c r="A843" s="122"/>
    </row>
    <row r="844" spans="1:1" ht="12.75" customHeight="1" x14ac:dyDescent="0.25">
      <c r="A844" s="122"/>
    </row>
    <row r="845" spans="1:1" ht="12.75" customHeight="1" x14ac:dyDescent="0.25">
      <c r="A845" s="122"/>
    </row>
    <row r="846" spans="1:1" ht="12.75" customHeight="1" x14ac:dyDescent="0.25">
      <c r="A846" s="122"/>
    </row>
    <row r="847" spans="1:1" ht="12.75" customHeight="1" x14ac:dyDescent="0.25">
      <c r="A847" s="122"/>
    </row>
    <row r="848" spans="1:1" ht="12.75" customHeight="1" x14ac:dyDescent="0.25">
      <c r="A848" s="122"/>
    </row>
    <row r="849" spans="1:1" ht="12.75" customHeight="1" x14ac:dyDescent="0.25">
      <c r="A849" s="122"/>
    </row>
    <row r="850" spans="1:1" ht="12.75" customHeight="1" x14ac:dyDescent="0.25">
      <c r="A850" s="122"/>
    </row>
    <row r="851" spans="1:1" ht="12.75" customHeight="1" x14ac:dyDescent="0.25">
      <c r="A851" s="122"/>
    </row>
    <row r="852" spans="1:1" ht="12.75" customHeight="1" x14ac:dyDescent="0.25">
      <c r="A852" s="122"/>
    </row>
    <row r="853" spans="1:1" ht="12.75" customHeight="1" x14ac:dyDescent="0.25">
      <c r="A853" s="122"/>
    </row>
    <row r="854" spans="1:1" ht="12.75" customHeight="1" x14ac:dyDescent="0.25">
      <c r="A854" s="122"/>
    </row>
    <row r="855" spans="1:1" ht="12.75" customHeight="1" x14ac:dyDescent="0.25">
      <c r="A855" s="122"/>
    </row>
    <row r="856" spans="1:1" ht="12.75" customHeight="1" x14ac:dyDescent="0.25">
      <c r="A856" s="122"/>
    </row>
    <row r="857" spans="1:1" ht="12.75" customHeight="1" x14ac:dyDescent="0.25">
      <c r="A857" s="122"/>
    </row>
    <row r="858" spans="1:1" ht="12.75" customHeight="1" x14ac:dyDescent="0.25">
      <c r="A858" s="122"/>
    </row>
    <row r="859" spans="1:1" ht="12.75" customHeight="1" x14ac:dyDescent="0.25">
      <c r="A859" s="122"/>
    </row>
    <row r="860" spans="1:1" ht="12.75" customHeight="1" x14ac:dyDescent="0.25">
      <c r="A860" s="122"/>
    </row>
    <row r="861" spans="1:1" ht="12.75" customHeight="1" x14ac:dyDescent="0.25">
      <c r="A861" s="122"/>
    </row>
    <row r="862" spans="1:1" ht="12.75" customHeight="1" x14ac:dyDescent="0.25">
      <c r="A862" s="122"/>
    </row>
    <row r="863" spans="1:1" ht="12.75" customHeight="1" x14ac:dyDescent="0.25">
      <c r="A863" s="122"/>
    </row>
    <row r="864" spans="1:1" ht="12.75" customHeight="1" x14ac:dyDescent="0.25">
      <c r="A864" s="122"/>
    </row>
    <row r="865" spans="1:1" ht="12.75" customHeight="1" x14ac:dyDescent="0.25">
      <c r="A865" s="122"/>
    </row>
    <row r="866" spans="1:1" ht="12.75" customHeight="1" x14ac:dyDescent="0.25">
      <c r="A866" s="122"/>
    </row>
    <row r="867" spans="1:1" ht="12.75" customHeight="1" x14ac:dyDescent="0.25">
      <c r="A867" s="122"/>
    </row>
    <row r="868" spans="1:1" ht="12.75" customHeight="1" x14ac:dyDescent="0.25">
      <c r="A868" s="122"/>
    </row>
    <row r="869" spans="1:1" ht="12.75" customHeight="1" x14ac:dyDescent="0.25">
      <c r="A869" s="122"/>
    </row>
    <row r="870" spans="1:1" ht="12.75" customHeight="1" x14ac:dyDescent="0.25">
      <c r="A870" s="122"/>
    </row>
    <row r="871" spans="1:1" ht="12.75" customHeight="1" x14ac:dyDescent="0.25">
      <c r="A871" s="122"/>
    </row>
    <row r="872" spans="1:1" ht="12.75" customHeight="1" x14ac:dyDescent="0.25">
      <c r="A872" s="122"/>
    </row>
    <row r="873" spans="1:1" ht="12.75" customHeight="1" x14ac:dyDescent="0.25">
      <c r="A873" s="122"/>
    </row>
    <row r="874" spans="1:1" ht="12.75" customHeight="1" x14ac:dyDescent="0.25">
      <c r="A874" s="122"/>
    </row>
    <row r="875" spans="1:1" ht="12.75" customHeight="1" x14ac:dyDescent="0.25">
      <c r="A875" s="122"/>
    </row>
    <row r="876" spans="1:1" ht="12.75" customHeight="1" x14ac:dyDescent="0.25">
      <c r="A876" s="122"/>
    </row>
    <row r="877" spans="1:1" ht="12.75" customHeight="1" x14ac:dyDescent="0.25">
      <c r="A877" s="122"/>
    </row>
    <row r="878" spans="1:1" ht="12.75" customHeight="1" x14ac:dyDescent="0.25">
      <c r="A878" s="122"/>
    </row>
    <row r="879" spans="1:1" ht="12.75" customHeight="1" x14ac:dyDescent="0.25">
      <c r="A879" s="122"/>
    </row>
    <row r="880" spans="1:1" ht="12.75" customHeight="1" x14ac:dyDescent="0.25">
      <c r="A880" s="122"/>
    </row>
    <row r="881" spans="1:1" ht="12.75" customHeight="1" x14ac:dyDescent="0.25">
      <c r="A881" s="122"/>
    </row>
    <row r="882" spans="1:1" ht="12.75" customHeight="1" x14ac:dyDescent="0.25">
      <c r="A882" s="122"/>
    </row>
    <row r="883" spans="1:1" ht="12.75" customHeight="1" x14ac:dyDescent="0.25">
      <c r="A883" s="122"/>
    </row>
    <row r="884" spans="1:1" ht="12.75" customHeight="1" x14ac:dyDescent="0.25">
      <c r="A884" s="122"/>
    </row>
    <row r="885" spans="1:1" ht="12.75" customHeight="1" x14ac:dyDescent="0.25">
      <c r="A885" s="122"/>
    </row>
    <row r="886" spans="1:1" ht="12.75" customHeight="1" x14ac:dyDescent="0.25">
      <c r="A886" s="122"/>
    </row>
    <row r="887" spans="1:1" ht="12.75" customHeight="1" x14ac:dyDescent="0.25">
      <c r="A887" s="122"/>
    </row>
    <row r="888" spans="1:1" ht="12.75" customHeight="1" x14ac:dyDescent="0.25">
      <c r="A888" s="122"/>
    </row>
    <row r="889" spans="1:1" ht="12.75" customHeight="1" x14ac:dyDescent="0.25">
      <c r="A889" s="122"/>
    </row>
    <row r="890" spans="1:1" ht="12.75" customHeight="1" x14ac:dyDescent="0.25">
      <c r="A890" s="122"/>
    </row>
    <row r="891" spans="1:1" ht="12.75" customHeight="1" x14ac:dyDescent="0.25">
      <c r="A891" s="122"/>
    </row>
    <row r="892" spans="1:1" ht="12.75" customHeight="1" x14ac:dyDescent="0.25">
      <c r="A892" s="122"/>
    </row>
    <row r="893" spans="1:1" ht="12.75" customHeight="1" x14ac:dyDescent="0.25">
      <c r="A893" s="122"/>
    </row>
    <row r="894" spans="1:1" ht="12.75" customHeight="1" x14ac:dyDescent="0.25">
      <c r="A894" s="122"/>
    </row>
    <row r="895" spans="1:1" ht="12.75" customHeight="1" x14ac:dyDescent="0.25">
      <c r="A895" s="122"/>
    </row>
    <row r="896" spans="1:1" ht="12.75" customHeight="1" x14ac:dyDescent="0.25">
      <c r="A896" s="122"/>
    </row>
    <row r="897" spans="1:1" ht="12.75" customHeight="1" x14ac:dyDescent="0.25">
      <c r="A897" s="122"/>
    </row>
    <row r="898" spans="1:1" ht="12.75" customHeight="1" x14ac:dyDescent="0.25">
      <c r="A898" s="122"/>
    </row>
    <row r="899" spans="1:1" ht="12.75" customHeight="1" x14ac:dyDescent="0.25">
      <c r="A899" s="122"/>
    </row>
    <row r="900" spans="1:1" ht="12.75" customHeight="1" x14ac:dyDescent="0.25">
      <c r="A900" s="122"/>
    </row>
    <row r="901" spans="1:1" ht="12.75" customHeight="1" x14ac:dyDescent="0.25">
      <c r="A901" s="122"/>
    </row>
    <row r="902" spans="1:1" ht="12.75" customHeight="1" x14ac:dyDescent="0.25">
      <c r="A902" s="122"/>
    </row>
    <row r="903" spans="1:1" ht="12.75" customHeight="1" x14ac:dyDescent="0.25">
      <c r="A903" s="122"/>
    </row>
    <row r="904" spans="1:1" ht="12.75" customHeight="1" x14ac:dyDescent="0.25">
      <c r="A904" s="122"/>
    </row>
    <row r="905" spans="1:1" ht="12.75" customHeight="1" x14ac:dyDescent="0.25">
      <c r="A905" s="122"/>
    </row>
    <row r="906" spans="1:1" ht="12.75" customHeight="1" x14ac:dyDescent="0.25">
      <c r="A906" s="122"/>
    </row>
    <row r="907" spans="1:1" ht="12.75" customHeight="1" x14ac:dyDescent="0.25">
      <c r="A907" s="122"/>
    </row>
    <row r="908" spans="1:1" ht="12.75" customHeight="1" x14ac:dyDescent="0.25">
      <c r="A908" s="122"/>
    </row>
    <row r="909" spans="1:1" ht="12.75" customHeight="1" x14ac:dyDescent="0.25">
      <c r="A909" s="122"/>
    </row>
    <row r="910" spans="1:1" ht="12.75" customHeight="1" x14ac:dyDescent="0.25">
      <c r="A910" s="122"/>
    </row>
    <row r="911" spans="1:1" ht="12.75" customHeight="1" x14ac:dyDescent="0.25">
      <c r="A911" s="122"/>
    </row>
    <row r="912" spans="1:1" ht="12.75" customHeight="1" x14ac:dyDescent="0.25">
      <c r="A912" s="122"/>
    </row>
    <row r="913" spans="1:1" ht="12.75" customHeight="1" x14ac:dyDescent="0.25">
      <c r="A913" s="122"/>
    </row>
    <row r="914" spans="1:1" ht="12.75" customHeight="1" x14ac:dyDescent="0.25">
      <c r="A914" s="122"/>
    </row>
    <row r="915" spans="1:1" ht="12.75" customHeight="1" x14ac:dyDescent="0.25">
      <c r="A915" s="122"/>
    </row>
    <row r="916" spans="1:1" ht="12.75" customHeight="1" x14ac:dyDescent="0.25">
      <c r="A916" s="122"/>
    </row>
    <row r="917" spans="1:1" ht="12.75" customHeight="1" x14ac:dyDescent="0.25">
      <c r="A917" s="122"/>
    </row>
    <row r="918" spans="1:1" ht="12.75" customHeight="1" x14ac:dyDescent="0.25">
      <c r="A918" s="122"/>
    </row>
    <row r="919" spans="1:1" ht="12.75" customHeight="1" x14ac:dyDescent="0.25">
      <c r="A919" s="122"/>
    </row>
    <row r="920" spans="1:1" ht="12.75" customHeight="1" x14ac:dyDescent="0.25">
      <c r="A920" s="122"/>
    </row>
    <row r="921" spans="1:1" ht="12.75" customHeight="1" x14ac:dyDescent="0.25">
      <c r="A921" s="122"/>
    </row>
    <row r="922" spans="1:1" ht="12.75" customHeight="1" x14ac:dyDescent="0.25">
      <c r="A922" s="122"/>
    </row>
    <row r="923" spans="1:1" ht="12.75" customHeight="1" x14ac:dyDescent="0.25">
      <c r="A923" s="122"/>
    </row>
    <row r="924" spans="1:1" ht="12.75" customHeight="1" x14ac:dyDescent="0.25">
      <c r="A924" s="122"/>
    </row>
    <row r="925" spans="1:1" ht="12.75" customHeight="1" x14ac:dyDescent="0.25">
      <c r="A925" s="122"/>
    </row>
    <row r="926" spans="1:1" ht="12.75" customHeight="1" x14ac:dyDescent="0.25">
      <c r="A926" s="122"/>
    </row>
    <row r="927" spans="1:1" ht="12.75" customHeight="1" x14ac:dyDescent="0.25">
      <c r="A927" s="122"/>
    </row>
    <row r="928" spans="1:1" ht="12.75" customHeight="1" x14ac:dyDescent="0.25">
      <c r="A928" s="122"/>
    </row>
    <row r="929" spans="1:1" ht="12.75" customHeight="1" x14ac:dyDescent="0.25">
      <c r="A929" s="122"/>
    </row>
    <row r="930" spans="1:1" ht="12.75" customHeight="1" x14ac:dyDescent="0.25">
      <c r="A930" s="122"/>
    </row>
    <row r="931" spans="1:1" ht="12.75" customHeight="1" x14ac:dyDescent="0.25">
      <c r="A931" s="122"/>
    </row>
    <row r="932" spans="1:1" ht="12.75" customHeight="1" x14ac:dyDescent="0.25">
      <c r="A932" s="122"/>
    </row>
    <row r="933" spans="1:1" ht="12.75" customHeight="1" x14ac:dyDescent="0.25">
      <c r="A933" s="122"/>
    </row>
    <row r="934" spans="1:1" ht="12.75" customHeight="1" x14ac:dyDescent="0.25">
      <c r="A934" s="122"/>
    </row>
    <row r="935" spans="1:1" ht="12.75" customHeight="1" x14ac:dyDescent="0.25">
      <c r="A935" s="122"/>
    </row>
    <row r="936" spans="1:1" ht="12.75" customHeight="1" x14ac:dyDescent="0.25">
      <c r="A936" s="122"/>
    </row>
    <row r="937" spans="1:1" ht="12.75" customHeight="1" x14ac:dyDescent="0.25">
      <c r="A937" s="122"/>
    </row>
    <row r="938" spans="1:1" ht="12.75" customHeight="1" x14ac:dyDescent="0.25">
      <c r="A938" s="122"/>
    </row>
    <row r="939" spans="1:1" ht="12.75" customHeight="1" x14ac:dyDescent="0.25">
      <c r="A939" s="122"/>
    </row>
    <row r="940" spans="1:1" ht="12.75" customHeight="1" x14ac:dyDescent="0.25">
      <c r="A940" s="122"/>
    </row>
    <row r="941" spans="1:1" ht="12.75" customHeight="1" x14ac:dyDescent="0.25">
      <c r="A941" s="122"/>
    </row>
    <row r="942" spans="1:1" ht="12.75" customHeight="1" x14ac:dyDescent="0.25">
      <c r="A942" s="122"/>
    </row>
    <row r="943" spans="1:1" ht="12.75" customHeight="1" x14ac:dyDescent="0.25">
      <c r="A943" s="122"/>
    </row>
    <row r="944" spans="1:1" ht="12.75" customHeight="1" x14ac:dyDescent="0.25">
      <c r="A944" s="122"/>
    </row>
    <row r="945" spans="1:1" ht="12.75" customHeight="1" x14ac:dyDescent="0.25">
      <c r="A945" s="122"/>
    </row>
    <row r="946" spans="1:1" ht="12.75" customHeight="1" x14ac:dyDescent="0.25">
      <c r="A946" s="122"/>
    </row>
    <row r="947" spans="1:1" ht="12.75" customHeight="1" x14ac:dyDescent="0.25">
      <c r="A947" s="122"/>
    </row>
    <row r="948" spans="1:1" ht="12.75" customHeight="1" x14ac:dyDescent="0.25">
      <c r="A948" s="122"/>
    </row>
    <row r="949" spans="1:1" ht="12.75" customHeight="1" x14ac:dyDescent="0.25">
      <c r="A949" s="122"/>
    </row>
    <row r="950" spans="1:1" ht="12.75" customHeight="1" x14ac:dyDescent="0.25">
      <c r="A950" s="122"/>
    </row>
    <row r="951" spans="1:1" ht="12.75" customHeight="1" x14ac:dyDescent="0.25">
      <c r="A951" s="122"/>
    </row>
    <row r="952" spans="1:1" ht="12.75" customHeight="1" x14ac:dyDescent="0.25">
      <c r="A952" s="122"/>
    </row>
    <row r="953" spans="1:1" ht="12.75" customHeight="1" x14ac:dyDescent="0.25">
      <c r="A953" s="122"/>
    </row>
    <row r="954" spans="1:1" ht="12.75" customHeight="1" x14ac:dyDescent="0.25">
      <c r="A954" s="122"/>
    </row>
    <row r="955" spans="1:1" ht="12.75" customHeight="1" x14ac:dyDescent="0.25">
      <c r="A955" s="122"/>
    </row>
    <row r="956" spans="1:1" ht="12.75" customHeight="1" x14ac:dyDescent="0.25">
      <c r="A956" s="122"/>
    </row>
    <row r="957" spans="1:1" ht="12.75" customHeight="1" x14ac:dyDescent="0.25">
      <c r="A957" s="122"/>
    </row>
    <row r="958" spans="1:1" ht="12.75" customHeight="1" x14ac:dyDescent="0.25">
      <c r="A958" s="122"/>
    </row>
    <row r="959" spans="1:1" ht="12.75" customHeight="1" x14ac:dyDescent="0.25">
      <c r="A959" s="122"/>
    </row>
    <row r="960" spans="1:1" ht="12.75" customHeight="1" x14ac:dyDescent="0.25">
      <c r="A960" s="122"/>
    </row>
    <row r="961" spans="1:1" ht="12.75" customHeight="1" x14ac:dyDescent="0.25">
      <c r="A961" s="122"/>
    </row>
    <row r="962" spans="1:1" ht="12.75" customHeight="1" x14ac:dyDescent="0.25">
      <c r="A962" s="122"/>
    </row>
    <row r="963" spans="1:1" ht="12.75" customHeight="1" x14ac:dyDescent="0.25">
      <c r="A963" s="122"/>
    </row>
    <row r="964" spans="1:1" ht="12.75" customHeight="1" x14ac:dyDescent="0.25">
      <c r="A964" s="122"/>
    </row>
    <row r="965" spans="1:1" ht="12.75" customHeight="1" x14ac:dyDescent="0.25">
      <c r="A965" s="122"/>
    </row>
    <row r="966" spans="1:1" ht="12.75" customHeight="1" x14ac:dyDescent="0.25">
      <c r="A966" s="122"/>
    </row>
    <row r="967" spans="1:1" ht="12.75" customHeight="1" x14ac:dyDescent="0.25">
      <c r="A967" s="122"/>
    </row>
    <row r="968" spans="1:1" ht="12.75" customHeight="1" x14ac:dyDescent="0.25">
      <c r="A968" s="122"/>
    </row>
    <row r="969" spans="1:1" ht="12.75" customHeight="1" x14ac:dyDescent="0.25">
      <c r="A969" s="122"/>
    </row>
    <row r="970" spans="1:1" ht="12.75" customHeight="1" x14ac:dyDescent="0.25">
      <c r="A970" s="122"/>
    </row>
    <row r="971" spans="1:1" ht="12.75" customHeight="1" x14ac:dyDescent="0.25">
      <c r="A971" s="122"/>
    </row>
  </sheetData>
  <mergeCells count="11">
    <mergeCell ref="H25:I25"/>
    <mergeCell ref="B4:F4"/>
    <mergeCell ref="H10:J10"/>
    <mergeCell ref="B19:F19"/>
    <mergeCell ref="B25:C25"/>
    <mergeCell ref="H19:L19"/>
    <mergeCell ref="H6:I6"/>
    <mergeCell ref="H7:I7"/>
    <mergeCell ref="H8:I8"/>
    <mergeCell ref="H9:I9"/>
    <mergeCell ref="H4:L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EB3-B17E-4308-BEFA-D0C2DFC12BBA}">
  <dimension ref="B2:M139"/>
  <sheetViews>
    <sheetView zoomScaleNormal="100" workbookViewId="0">
      <selection activeCell="C6" sqref="C6"/>
    </sheetView>
  </sheetViews>
  <sheetFormatPr baseColWidth="10" defaultRowHeight="12.75" x14ac:dyDescent="0.2"/>
  <cols>
    <col min="1" max="1" width="2.28515625" style="162" customWidth="1"/>
    <col min="2" max="2" width="11.42578125" style="162"/>
    <col min="3" max="6" width="12.85546875" style="162" customWidth="1"/>
    <col min="7" max="7" width="11.42578125" style="162"/>
    <col min="8" max="10" width="11.7109375" style="165" bestFit="1" customWidth="1"/>
    <col min="11" max="11" width="11.5703125" style="165" bestFit="1" customWidth="1"/>
    <col min="12" max="16384" width="11.42578125" style="162"/>
  </cols>
  <sheetData>
    <row r="2" spans="2:11" ht="15" x14ac:dyDescent="0.25">
      <c r="B2" s="162" t="s">
        <v>257</v>
      </c>
      <c r="C2" s="163">
        <f>+(1+D2)^(0.0833333333333333) -1</f>
        <v>1.055664232244502E-2</v>
      </c>
      <c r="D2" s="309">
        <f>+Resumen!F10</f>
        <v>0.1343</v>
      </c>
      <c r="E2" s="162" t="s">
        <v>256</v>
      </c>
      <c r="F2" s="164">
        <v>2.9000000000000001E-2</v>
      </c>
    </row>
    <row r="3" spans="2:11" ht="15" x14ac:dyDescent="0.25">
      <c r="B3" s="162" t="s">
        <v>255</v>
      </c>
      <c r="C3" s="163">
        <f>+((1+C2)/(1+F4)) -1</f>
        <v>8.1520706168443091E-3</v>
      </c>
      <c r="F3" s="164"/>
    </row>
    <row r="4" spans="2:11" ht="15" x14ac:dyDescent="0.25">
      <c r="B4" s="162" t="s">
        <v>249</v>
      </c>
      <c r="C4" s="162">
        <v>10</v>
      </c>
      <c r="D4" s="162" t="s">
        <v>254</v>
      </c>
      <c r="E4" s="162" t="s">
        <v>253</v>
      </c>
      <c r="F4" s="166">
        <f>+(1+F2)^(1/12) -1</f>
        <v>2.3851279739270925E-3</v>
      </c>
    </row>
    <row r="5" spans="2:11" x14ac:dyDescent="0.2">
      <c r="B5" s="162" t="s">
        <v>252</v>
      </c>
      <c r="C5" s="167">
        <f>+'Inversión inicial'!I10</f>
        <v>350000</v>
      </c>
    </row>
    <row r="6" spans="2:11" x14ac:dyDescent="0.2">
      <c r="B6" s="162" t="s">
        <v>251</v>
      </c>
      <c r="C6" s="162">
        <f>+C5*C3/(1-(1+C3)^(-120))</f>
        <v>4583.2213561297212</v>
      </c>
    </row>
    <row r="8" spans="2:11" x14ac:dyDescent="0.2">
      <c r="H8" s="390" t="s">
        <v>258</v>
      </c>
      <c r="I8" s="390"/>
      <c r="J8" s="390"/>
      <c r="K8" s="390"/>
    </row>
    <row r="9" spans="2:11" x14ac:dyDescent="0.2">
      <c r="B9" s="168" t="s">
        <v>249</v>
      </c>
      <c r="C9" s="168" t="s">
        <v>250</v>
      </c>
      <c r="D9" s="168" t="s">
        <v>247</v>
      </c>
      <c r="E9" s="168" t="s">
        <v>246</v>
      </c>
      <c r="F9" s="168" t="s">
        <v>173</v>
      </c>
      <c r="G9" s="167"/>
      <c r="H9" s="169" t="s">
        <v>250</v>
      </c>
      <c r="I9" s="169" t="s">
        <v>247</v>
      </c>
      <c r="J9" s="169" t="s">
        <v>246</v>
      </c>
      <c r="K9" s="169" t="s">
        <v>173</v>
      </c>
    </row>
    <row r="10" spans="2:11" x14ac:dyDescent="0.2">
      <c r="B10" s="296">
        <v>0</v>
      </c>
      <c r="C10" s="170"/>
      <c r="D10" s="170"/>
      <c r="E10" s="170"/>
      <c r="F10" s="171">
        <f>+C5</f>
        <v>350000</v>
      </c>
      <c r="G10" s="167"/>
      <c r="H10" s="171"/>
      <c r="I10" s="171"/>
      <c r="J10" s="171"/>
      <c r="K10" s="171">
        <f>+F10</f>
        <v>350000</v>
      </c>
    </row>
    <row r="11" spans="2:11" hidden="1" x14ac:dyDescent="0.2">
      <c r="B11" s="296">
        <v>1</v>
      </c>
      <c r="C11" s="172">
        <f>+$C$6</f>
        <v>4583.2213561297212</v>
      </c>
      <c r="D11" s="172">
        <f>+C11-E11</f>
        <v>1729.9966402342129</v>
      </c>
      <c r="E11" s="172">
        <f>+$C$3*F10</f>
        <v>2853.2247158955083</v>
      </c>
      <c r="F11" s="172">
        <f>+F10-D11</f>
        <v>348270.0033597658</v>
      </c>
      <c r="G11" s="167"/>
      <c r="H11" s="171"/>
      <c r="I11" s="171"/>
      <c r="J11" s="171"/>
      <c r="K11" s="171"/>
    </row>
    <row r="12" spans="2:11" hidden="1" x14ac:dyDescent="0.2">
      <c r="B12" s="296">
        <v>2</v>
      </c>
      <c r="C12" s="172">
        <f t="shared" ref="C12:C75" si="0">+$C$6</f>
        <v>4583.2213561297212</v>
      </c>
      <c r="D12" s="172">
        <f t="shared" ref="D12:D75" si="1">+C12-E12</f>
        <v>1744.0996950123058</v>
      </c>
      <c r="E12" s="172">
        <f t="shared" ref="E12:E75" si="2">+$C$3*F11</f>
        <v>2839.1216611174154</v>
      </c>
      <c r="F12" s="172">
        <f t="shared" ref="F12:F75" si="3">+F11-D12</f>
        <v>346525.90366475348</v>
      </c>
      <c r="G12" s="167"/>
      <c r="H12" s="171"/>
      <c r="I12" s="171"/>
      <c r="J12" s="171"/>
      <c r="K12" s="171"/>
    </row>
    <row r="13" spans="2:11" hidden="1" x14ac:dyDescent="0.2">
      <c r="B13" s="296">
        <v>3</v>
      </c>
      <c r="C13" s="172">
        <f t="shared" si="0"/>
        <v>4583.2213561297212</v>
      </c>
      <c r="D13" s="172">
        <f t="shared" si="1"/>
        <v>1758.3177188888626</v>
      </c>
      <c r="E13" s="172">
        <f t="shared" si="2"/>
        <v>2824.9036372408586</v>
      </c>
      <c r="F13" s="172">
        <f t="shared" si="3"/>
        <v>344767.58594586462</v>
      </c>
      <c r="G13" s="167"/>
      <c r="H13" s="171"/>
      <c r="I13" s="171"/>
      <c r="J13" s="171"/>
      <c r="K13" s="171"/>
    </row>
    <row r="14" spans="2:11" hidden="1" x14ac:dyDescent="0.2">
      <c r="B14" s="296">
        <v>4</v>
      </c>
      <c r="C14" s="172">
        <f t="shared" si="0"/>
        <v>4583.2213561297212</v>
      </c>
      <c r="D14" s="172">
        <f t="shared" si="1"/>
        <v>1772.6516491000934</v>
      </c>
      <c r="E14" s="172">
        <f t="shared" si="2"/>
        <v>2810.5697070296278</v>
      </c>
      <c r="F14" s="172">
        <f t="shared" si="3"/>
        <v>342994.93429676455</v>
      </c>
      <c r="G14" s="167"/>
      <c r="H14" s="171"/>
      <c r="I14" s="171"/>
      <c r="J14" s="171"/>
      <c r="K14" s="171"/>
    </row>
    <row r="15" spans="2:11" hidden="1" x14ac:dyDescent="0.2">
      <c r="B15" s="296">
        <v>5</v>
      </c>
      <c r="C15" s="172">
        <f t="shared" si="0"/>
        <v>4583.2213561297212</v>
      </c>
      <c r="D15" s="172">
        <f t="shared" si="1"/>
        <v>1787.1024305226224</v>
      </c>
      <c r="E15" s="172">
        <f t="shared" si="2"/>
        <v>2796.1189256070988</v>
      </c>
      <c r="F15" s="172">
        <f t="shared" si="3"/>
        <v>341207.83186624193</v>
      </c>
      <c r="G15" s="167"/>
      <c r="H15" s="171"/>
      <c r="I15" s="171"/>
      <c r="J15" s="171"/>
      <c r="K15" s="171"/>
    </row>
    <row r="16" spans="2:11" hidden="1" x14ac:dyDescent="0.2">
      <c r="B16" s="296">
        <v>6</v>
      </c>
      <c r="C16" s="172">
        <f t="shared" si="0"/>
        <v>4583.2213561297212</v>
      </c>
      <c r="D16" s="172">
        <f t="shared" si="1"/>
        <v>1801.671015735777</v>
      </c>
      <c r="E16" s="172">
        <f t="shared" si="2"/>
        <v>2781.5503403939442</v>
      </c>
      <c r="F16" s="172">
        <f t="shared" si="3"/>
        <v>339406.16085050616</v>
      </c>
      <c r="G16" s="167"/>
      <c r="H16" s="171"/>
      <c r="I16" s="171"/>
      <c r="J16" s="171"/>
      <c r="K16" s="171"/>
    </row>
    <row r="17" spans="2:11" hidden="1" x14ac:dyDescent="0.2">
      <c r="B17" s="296">
        <v>7</v>
      </c>
      <c r="C17" s="172">
        <f t="shared" si="0"/>
        <v>4583.2213561297212</v>
      </c>
      <c r="D17" s="172">
        <f t="shared" si="1"/>
        <v>1816.3583650843766</v>
      </c>
      <c r="E17" s="172">
        <f t="shared" si="2"/>
        <v>2766.8629910453446</v>
      </c>
      <c r="F17" s="172">
        <f t="shared" si="3"/>
        <v>337589.80248542177</v>
      </c>
      <c r="G17" s="167"/>
      <c r="H17" s="171"/>
      <c r="I17" s="171"/>
      <c r="J17" s="171"/>
      <c r="K17" s="171"/>
    </row>
    <row r="18" spans="2:11" hidden="1" x14ac:dyDescent="0.2">
      <c r="B18" s="296">
        <v>8</v>
      </c>
      <c r="C18" s="172">
        <f t="shared" si="0"/>
        <v>4583.2213561297212</v>
      </c>
      <c r="D18" s="172">
        <f t="shared" si="1"/>
        <v>1831.1654467420403</v>
      </c>
      <c r="E18" s="172">
        <f t="shared" si="2"/>
        <v>2752.0559093876809</v>
      </c>
      <c r="F18" s="172">
        <f t="shared" si="3"/>
        <v>335758.63703867974</v>
      </c>
      <c r="G18" s="167"/>
      <c r="H18" s="171"/>
      <c r="I18" s="171"/>
      <c r="J18" s="171"/>
      <c r="K18" s="171"/>
    </row>
    <row r="19" spans="2:11" hidden="1" x14ac:dyDescent="0.2">
      <c r="B19" s="296">
        <v>9</v>
      </c>
      <c r="C19" s="172">
        <f t="shared" si="0"/>
        <v>4583.2213561297212</v>
      </c>
      <c r="D19" s="172">
        <f t="shared" si="1"/>
        <v>1846.093236775007</v>
      </c>
      <c r="E19" s="172">
        <f t="shared" si="2"/>
        <v>2737.1281193547143</v>
      </c>
      <c r="F19" s="172">
        <f t="shared" si="3"/>
        <v>333912.54380190471</v>
      </c>
      <c r="G19" s="167"/>
      <c r="H19" s="171"/>
      <c r="I19" s="171"/>
      <c r="J19" s="171"/>
      <c r="K19" s="171"/>
    </row>
    <row r="20" spans="2:11" hidden="1" x14ac:dyDescent="0.2">
      <c r="B20" s="296">
        <v>10</v>
      </c>
      <c r="C20" s="172">
        <f t="shared" si="0"/>
        <v>4583.2213561297212</v>
      </c>
      <c r="D20" s="172">
        <f t="shared" si="1"/>
        <v>1861.1427192064757</v>
      </c>
      <c r="E20" s="172">
        <f t="shared" si="2"/>
        <v>2722.0786369232455</v>
      </c>
      <c r="F20" s="172">
        <f t="shared" si="3"/>
        <v>332051.40108269826</v>
      </c>
      <c r="G20" s="167"/>
      <c r="H20" s="171"/>
      <c r="I20" s="171"/>
      <c r="J20" s="171"/>
      <c r="K20" s="171"/>
    </row>
    <row r="21" spans="2:11" hidden="1" x14ac:dyDescent="0.2">
      <c r="B21" s="296">
        <v>11</v>
      </c>
      <c r="C21" s="172">
        <f t="shared" si="0"/>
        <v>4583.2213561297212</v>
      </c>
      <c r="D21" s="172">
        <f t="shared" si="1"/>
        <v>1876.3148860814722</v>
      </c>
      <c r="E21" s="172">
        <f t="shared" si="2"/>
        <v>2706.906470048249</v>
      </c>
      <c r="F21" s="172">
        <f t="shared" si="3"/>
        <v>330175.08619661676</v>
      </c>
      <c r="G21" s="167"/>
      <c r="H21" s="171"/>
      <c r="I21" s="171"/>
      <c r="J21" s="171"/>
      <c r="K21" s="171"/>
    </row>
    <row r="22" spans="2:11" x14ac:dyDescent="0.2">
      <c r="B22" s="296">
        <v>12</v>
      </c>
      <c r="C22" s="173">
        <f t="shared" si="0"/>
        <v>4583.2213561297212</v>
      </c>
      <c r="D22" s="173">
        <f t="shared" si="1"/>
        <v>1891.6107375322449</v>
      </c>
      <c r="E22" s="173">
        <f>+$C$3*F21</f>
        <v>2691.6106185974763</v>
      </c>
      <c r="F22" s="173">
        <f t="shared" si="3"/>
        <v>328283.4754590845</v>
      </c>
      <c r="G22" s="167"/>
      <c r="H22" s="171">
        <f>SUM(C11:C22)</f>
        <v>54998.656273556669</v>
      </c>
      <c r="I22" s="171">
        <f>SUM(D11:D22)</f>
        <v>21716.524540915492</v>
      </c>
      <c r="J22" s="171">
        <f>SUM(E11:E22)</f>
        <v>33282.131732641166</v>
      </c>
      <c r="K22" s="171">
        <f>+F22</f>
        <v>328283.4754590845</v>
      </c>
    </row>
    <row r="23" spans="2:11" hidden="1" x14ac:dyDescent="0.2">
      <c r="B23" s="296">
        <v>13</v>
      </c>
      <c r="C23" s="172">
        <f t="shared" si="0"/>
        <v>4583.2213561297212</v>
      </c>
      <c r="D23" s="172">
        <f t="shared" si="1"/>
        <v>1907.0312818441885</v>
      </c>
      <c r="E23" s="172">
        <f t="shared" si="2"/>
        <v>2676.1900742855328</v>
      </c>
      <c r="F23" s="172">
        <f t="shared" si="3"/>
        <v>326376.44417724031</v>
      </c>
      <c r="G23" s="167"/>
      <c r="H23" s="171"/>
      <c r="I23" s="171"/>
      <c r="J23" s="171"/>
      <c r="K23" s="171"/>
    </row>
    <row r="24" spans="2:11" hidden="1" x14ac:dyDescent="0.2">
      <c r="B24" s="296">
        <v>14</v>
      </c>
      <c r="C24" s="172">
        <f t="shared" si="0"/>
        <v>4583.2213561297212</v>
      </c>
      <c r="D24" s="172">
        <f t="shared" si="1"/>
        <v>1922.5775355223136</v>
      </c>
      <c r="E24" s="172">
        <f t="shared" si="2"/>
        <v>2660.6438206074076</v>
      </c>
      <c r="F24" s="172">
        <f t="shared" si="3"/>
        <v>324453.86664171802</v>
      </c>
      <c r="G24" s="167"/>
      <c r="H24" s="171"/>
      <c r="I24" s="171"/>
      <c r="J24" s="171"/>
      <c r="K24" s="171"/>
    </row>
    <row r="25" spans="2:11" hidden="1" x14ac:dyDescent="0.2">
      <c r="B25" s="296">
        <v>15</v>
      </c>
      <c r="C25" s="172">
        <f t="shared" si="0"/>
        <v>4583.2213561297212</v>
      </c>
      <c r="D25" s="172">
        <f t="shared" si="1"/>
        <v>1938.2505233582497</v>
      </c>
      <c r="E25" s="172">
        <f t="shared" si="2"/>
        <v>2644.9708327714716</v>
      </c>
      <c r="F25" s="172">
        <f t="shared" si="3"/>
        <v>322515.61611835979</v>
      </c>
      <c r="G25" s="167"/>
      <c r="H25" s="171"/>
      <c r="I25" s="171"/>
      <c r="J25" s="171"/>
      <c r="K25" s="171"/>
    </row>
    <row r="26" spans="2:11" hidden="1" x14ac:dyDescent="0.2">
      <c r="B26" s="296">
        <v>16</v>
      </c>
      <c r="C26" s="172">
        <f t="shared" si="0"/>
        <v>4583.2213561297212</v>
      </c>
      <c r="D26" s="172">
        <f t="shared" si="1"/>
        <v>1954.0512784978014</v>
      </c>
      <c r="E26" s="172">
        <f t="shared" si="2"/>
        <v>2629.1700776319199</v>
      </c>
      <c r="F26" s="172">
        <f t="shared" si="3"/>
        <v>320561.564839862</v>
      </c>
      <c r="G26" s="167"/>
      <c r="H26" s="171"/>
      <c r="I26" s="171"/>
      <c r="J26" s="171"/>
      <c r="K26" s="171"/>
    </row>
    <row r="27" spans="2:11" hidden="1" x14ac:dyDescent="0.2">
      <c r="B27" s="296">
        <v>17</v>
      </c>
      <c r="C27" s="172">
        <f t="shared" si="0"/>
        <v>4583.2213561297212</v>
      </c>
      <c r="D27" s="172">
        <f t="shared" si="1"/>
        <v>1969.9808425090505</v>
      </c>
      <c r="E27" s="172">
        <f t="shared" si="2"/>
        <v>2613.2405136206708</v>
      </c>
      <c r="F27" s="172">
        <f t="shared" si="3"/>
        <v>318591.58399735292</v>
      </c>
      <c r="G27" s="167"/>
      <c r="H27" s="171"/>
      <c r="I27" s="171"/>
      <c r="J27" s="171"/>
      <c r="K27" s="171"/>
    </row>
    <row r="28" spans="2:11" hidden="1" x14ac:dyDescent="0.2">
      <c r="B28" s="296">
        <v>18</v>
      </c>
      <c r="C28" s="172">
        <f t="shared" si="0"/>
        <v>4583.2213561297212</v>
      </c>
      <c r="D28" s="172">
        <f t="shared" si="1"/>
        <v>1986.0402654510149</v>
      </c>
      <c r="E28" s="172">
        <f t="shared" si="2"/>
        <v>2597.1810906787064</v>
      </c>
      <c r="F28" s="172">
        <f t="shared" si="3"/>
        <v>316605.54373190191</v>
      </c>
      <c r="G28" s="167"/>
      <c r="H28" s="171"/>
      <c r="I28" s="171"/>
      <c r="J28" s="171"/>
      <c r="K28" s="171"/>
    </row>
    <row r="29" spans="2:11" hidden="1" x14ac:dyDescent="0.2">
      <c r="B29" s="296">
        <v>19</v>
      </c>
      <c r="C29" s="172">
        <f t="shared" si="0"/>
        <v>4583.2213561297212</v>
      </c>
      <c r="D29" s="172">
        <f t="shared" si="1"/>
        <v>2002.2306059428679</v>
      </c>
      <c r="E29" s="172">
        <f t="shared" si="2"/>
        <v>2580.9907501868533</v>
      </c>
      <c r="F29" s="172">
        <f t="shared" si="3"/>
        <v>314603.31312595902</v>
      </c>
      <c r="G29" s="167"/>
      <c r="H29" s="171"/>
      <c r="I29" s="171"/>
      <c r="J29" s="171"/>
      <c r="K29" s="171"/>
    </row>
    <row r="30" spans="2:11" hidden="1" x14ac:dyDescent="0.2">
      <c r="B30" s="296">
        <v>20</v>
      </c>
      <c r="C30" s="172">
        <f t="shared" si="0"/>
        <v>4583.2213561297212</v>
      </c>
      <c r="D30" s="172">
        <f t="shared" si="1"/>
        <v>2018.5529312337212</v>
      </c>
      <c r="E30" s="172">
        <f t="shared" si="2"/>
        <v>2564.668424896</v>
      </c>
      <c r="F30" s="172">
        <f t="shared" si="3"/>
        <v>312584.7601947253</v>
      </c>
      <c r="G30" s="167"/>
      <c r="H30" s="171"/>
      <c r="I30" s="171"/>
      <c r="J30" s="171"/>
      <c r="K30" s="171"/>
    </row>
    <row r="31" spans="2:11" hidden="1" x14ac:dyDescent="0.2">
      <c r="B31" s="296">
        <v>21</v>
      </c>
      <c r="C31" s="172">
        <f t="shared" si="0"/>
        <v>4583.2213561297212</v>
      </c>
      <c r="D31" s="172">
        <f t="shared" si="1"/>
        <v>2035.0083172729765</v>
      </c>
      <c r="E31" s="172">
        <f t="shared" si="2"/>
        <v>2548.2130388567448</v>
      </c>
      <c r="F31" s="172">
        <f t="shared" si="3"/>
        <v>310549.75187745231</v>
      </c>
      <c r="G31" s="167"/>
      <c r="H31" s="171"/>
      <c r="I31" s="171"/>
      <c r="J31" s="171"/>
      <c r="K31" s="171"/>
    </row>
    <row r="32" spans="2:11" hidden="1" x14ac:dyDescent="0.2">
      <c r="B32" s="296">
        <v>22</v>
      </c>
      <c r="C32" s="172">
        <f t="shared" si="0"/>
        <v>4583.2213561297212</v>
      </c>
      <c r="D32" s="172">
        <f t="shared" si="1"/>
        <v>2051.5978487812513</v>
      </c>
      <c r="E32" s="172">
        <f t="shared" si="2"/>
        <v>2531.62350734847</v>
      </c>
      <c r="F32" s="172">
        <f t="shared" si="3"/>
        <v>308498.15402867104</v>
      </c>
      <c r="G32" s="167"/>
      <c r="H32" s="171"/>
      <c r="I32" s="171"/>
      <c r="J32" s="171"/>
      <c r="K32" s="171"/>
    </row>
    <row r="33" spans="2:11" hidden="1" x14ac:dyDescent="0.2">
      <c r="B33" s="296">
        <v>23</v>
      </c>
      <c r="C33" s="172">
        <f t="shared" si="0"/>
        <v>4583.2213561297212</v>
      </c>
      <c r="D33" s="172">
        <f t="shared" si="1"/>
        <v>2068.3226193218825</v>
      </c>
      <c r="E33" s="172">
        <f t="shared" si="2"/>
        <v>2514.8987368078388</v>
      </c>
      <c r="F33" s="172">
        <f t="shared" si="3"/>
        <v>306429.83140934916</v>
      </c>
      <c r="G33" s="167"/>
      <c r="H33" s="171"/>
      <c r="I33" s="171"/>
      <c r="J33" s="171"/>
      <c r="K33" s="171"/>
    </row>
    <row r="34" spans="2:11" x14ac:dyDescent="0.2">
      <c r="B34" s="296">
        <v>24</v>
      </c>
      <c r="C34" s="172">
        <f t="shared" si="0"/>
        <v>4583.2213561297212</v>
      </c>
      <c r="D34" s="172">
        <f t="shared" si="1"/>
        <v>2085.1837313730107</v>
      </c>
      <c r="E34" s="172">
        <f t="shared" si="2"/>
        <v>2498.0376247567106</v>
      </c>
      <c r="F34" s="172">
        <f t="shared" si="3"/>
        <v>304344.64767797617</v>
      </c>
      <c r="G34" s="167"/>
      <c r="H34" s="171">
        <f>SUM(C23:C34)</f>
        <v>54998.656273556669</v>
      </c>
      <c r="I34" s="171">
        <f>SUM(D23:D34)</f>
        <v>23938.827781108328</v>
      </c>
      <c r="J34" s="171">
        <f>SUM(E23:E34)</f>
        <v>31059.828492448331</v>
      </c>
      <c r="K34" s="171">
        <f>+F34</f>
        <v>304344.64767797617</v>
      </c>
    </row>
    <row r="35" spans="2:11" hidden="1" x14ac:dyDescent="0.2">
      <c r="B35" s="296">
        <v>25</v>
      </c>
      <c r="C35" s="172">
        <f t="shared" si="0"/>
        <v>4583.2213561297212</v>
      </c>
      <c r="D35" s="172">
        <f t="shared" si="1"/>
        <v>2102.1822964002581</v>
      </c>
      <c r="E35" s="172">
        <f t="shared" si="2"/>
        <v>2481.0390597294631</v>
      </c>
      <c r="F35" s="172">
        <f t="shared" si="3"/>
        <v>302242.46538157592</v>
      </c>
      <c r="G35" s="167"/>
      <c r="H35" s="171"/>
      <c r="I35" s="171"/>
      <c r="J35" s="171"/>
      <c r="K35" s="171"/>
    </row>
    <row r="36" spans="2:11" hidden="1" x14ac:dyDescent="0.2">
      <c r="B36" s="296">
        <v>26</v>
      </c>
      <c r="C36" s="172">
        <f t="shared" si="0"/>
        <v>4583.2213561297212</v>
      </c>
      <c r="D36" s="172">
        <f t="shared" si="1"/>
        <v>2119.3194349299929</v>
      </c>
      <c r="E36" s="172">
        <f t="shared" si="2"/>
        <v>2463.9019211997283</v>
      </c>
      <c r="F36" s="172">
        <f t="shared" si="3"/>
        <v>300123.14594664593</v>
      </c>
      <c r="G36" s="167"/>
      <c r="H36" s="171"/>
      <c r="I36" s="171"/>
      <c r="J36" s="171"/>
      <c r="K36" s="171"/>
    </row>
    <row r="37" spans="2:11" hidden="1" x14ac:dyDescent="0.2">
      <c r="B37" s="296">
        <v>27</v>
      </c>
      <c r="C37" s="172">
        <f t="shared" si="0"/>
        <v>4583.2213561297212</v>
      </c>
      <c r="D37" s="172">
        <f t="shared" si="1"/>
        <v>2136.5962766231928</v>
      </c>
      <c r="E37" s="172">
        <f t="shared" si="2"/>
        <v>2446.6250795065284</v>
      </c>
      <c r="F37" s="172">
        <f t="shared" si="3"/>
        <v>297986.54967002274</v>
      </c>
      <c r="G37" s="167"/>
      <c r="H37" s="171"/>
      <c r="I37" s="171"/>
      <c r="J37" s="171"/>
      <c r="K37" s="171"/>
    </row>
    <row r="38" spans="2:11" hidden="1" x14ac:dyDescent="0.2">
      <c r="B38" s="296">
        <v>28</v>
      </c>
      <c r="C38" s="172">
        <f t="shared" si="0"/>
        <v>4583.2213561297212</v>
      </c>
      <c r="D38" s="172">
        <f t="shared" si="1"/>
        <v>2154.0139603499115</v>
      </c>
      <c r="E38" s="172">
        <f t="shared" si="2"/>
        <v>2429.2073957798098</v>
      </c>
      <c r="F38" s="172">
        <f t="shared" si="3"/>
        <v>295832.53570967284</v>
      </c>
      <c r="G38" s="167"/>
      <c r="H38" s="171"/>
      <c r="I38" s="171"/>
      <c r="J38" s="171"/>
      <c r="K38" s="171"/>
    </row>
    <row r="39" spans="2:11" hidden="1" x14ac:dyDescent="0.2">
      <c r="B39" s="296">
        <v>29</v>
      </c>
      <c r="C39" s="172">
        <f t="shared" si="0"/>
        <v>4583.2213561297212</v>
      </c>
      <c r="D39" s="172">
        <f t="shared" si="1"/>
        <v>2171.5736342643527</v>
      </c>
      <c r="E39" s="172">
        <f t="shared" si="2"/>
        <v>2411.6477218653686</v>
      </c>
      <c r="F39" s="172">
        <f t="shared" si="3"/>
        <v>293660.96207540849</v>
      </c>
      <c r="G39" s="167"/>
      <c r="H39" s="171"/>
      <c r="I39" s="171"/>
      <c r="J39" s="171"/>
      <c r="K39" s="171"/>
    </row>
    <row r="40" spans="2:11" hidden="1" x14ac:dyDescent="0.2">
      <c r="B40" s="296">
        <v>30</v>
      </c>
      <c r="C40" s="172">
        <f t="shared" si="0"/>
        <v>4583.2213561297212</v>
      </c>
      <c r="D40" s="172">
        <f t="shared" si="1"/>
        <v>2189.2764558805525</v>
      </c>
      <c r="E40" s="172">
        <f t="shared" si="2"/>
        <v>2393.9449002491688</v>
      </c>
      <c r="F40" s="172">
        <f t="shared" si="3"/>
        <v>291471.68561952794</v>
      </c>
      <c r="G40" s="167"/>
      <c r="H40" s="171"/>
      <c r="I40" s="171"/>
      <c r="J40" s="171"/>
      <c r="K40" s="171"/>
    </row>
    <row r="41" spans="2:11" hidden="1" x14ac:dyDescent="0.2">
      <c r="B41" s="296">
        <v>31</v>
      </c>
      <c r="C41" s="172">
        <f t="shared" si="0"/>
        <v>4583.2213561297212</v>
      </c>
      <c r="D41" s="172">
        <f t="shared" si="1"/>
        <v>2207.1235921486855</v>
      </c>
      <c r="E41" s="172">
        <f t="shared" si="2"/>
        <v>2376.0977639810358</v>
      </c>
      <c r="F41" s="172">
        <f t="shared" si="3"/>
        <v>289264.56202737923</v>
      </c>
      <c r="G41" s="167"/>
      <c r="H41" s="171"/>
      <c r="I41" s="171"/>
      <c r="J41" s="171"/>
      <c r="K41" s="171"/>
    </row>
    <row r="42" spans="2:11" hidden="1" x14ac:dyDescent="0.2">
      <c r="B42" s="296">
        <v>32</v>
      </c>
      <c r="C42" s="172">
        <f t="shared" si="0"/>
        <v>4583.2213561297212</v>
      </c>
      <c r="D42" s="172">
        <f t="shared" si="1"/>
        <v>2225.1162195319848</v>
      </c>
      <c r="E42" s="172">
        <f t="shared" si="2"/>
        <v>2358.1051365977364</v>
      </c>
      <c r="F42" s="172">
        <f t="shared" si="3"/>
        <v>287039.44580784725</v>
      </c>
      <c r="G42" s="167"/>
      <c r="H42" s="171"/>
      <c r="I42" s="171"/>
      <c r="J42" s="171"/>
      <c r="K42" s="171"/>
    </row>
    <row r="43" spans="2:11" hidden="1" x14ac:dyDescent="0.2">
      <c r="B43" s="296">
        <v>33</v>
      </c>
      <c r="C43" s="172">
        <f t="shared" si="0"/>
        <v>4583.2213561297212</v>
      </c>
      <c r="D43" s="172">
        <f t="shared" si="1"/>
        <v>2243.2555240842953</v>
      </c>
      <c r="E43" s="172">
        <f t="shared" si="2"/>
        <v>2339.9658320454259</v>
      </c>
      <c r="F43" s="172">
        <f t="shared" si="3"/>
        <v>284796.19028376293</v>
      </c>
      <c r="G43" s="167"/>
      <c r="H43" s="171"/>
      <c r="I43" s="171"/>
      <c r="J43" s="171"/>
      <c r="K43" s="171"/>
    </row>
    <row r="44" spans="2:11" hidden="1" x14ac:dyDescent="0.2">
      <c r="B44" s="296">
        <v>34</v>
      </c>
      <c r="C44" s="172">
        <f t="shared" si="0"/>
        <v>4583.2213561297212</v>
      </c>
      <c r="D44" s="172">
        <f t="shared" si="1"/>
        <v>2261.5427015282567</v>
      </c>
      <c r="E44" s="172">
        <f t="shared" si="2"/>
        <v>2321.6786546014646</v>
      </c>
      <c r="F44" s="172">
        <f t="shared" si="3"/>
        <v>282534.6475822347</v>
      </c>
      <c r="G44" s="167"/>
      <c r="H44" s="171"/>
      <c r="I44" s="171"/>
      <c r="J44" s="171"/>
      <c r="K44" s="171"/>
    </row>
    <row r="45" spans="2:11" hidden="1" x14ac:dyDescent="0.2">
      <c r="B45" s="296">
        <v>35</v>
      </c>
      <c r="C45" s="172">
        <f t="shared" si="0"/>
        <v>4583.2213561297212</v>
      </c>
      <c r="D45" s="172">
        <f t="shared" si="1"/>
        <v>2279.9789573341236</v>
      </c>
      <c r="E45" s="172">
        <f t="shared" si="2"/>
        <v>2303.2423987955976</v>
      </c>
      <c r="F45" s="172">
        <f t="shared" si="3"/>
        <v>280254.66862490057</v>
      </c>
      <c r="G45" s="167"/>
      <c r="H45" s="171"/>
      <c r="I45" s="171"/>
      <c r="J45" s="171"/>
      <c r="K45" s="171"/>
    </row>
    <row r="46" spans="2:11" x14ac:dyDescent="0.2">
      <c r="B46" s="296">
        <v>36</v>
      </c>
      <c r="C46" s="172">
        <f t="shared" si="0"/>
        <v>4583.2213561297212</v>
      </c>
      <c r="D46" s="172">
        <f t="shared" si="1"/>
        <v>2298.5655067992307</v>
      </c>
      <c r="E46" s="172">
        <f t="shared" si="2"/>
        <v>2284.6558493304906</v>
      </c>
      <c r="F46" s="172">
        <f t="shared" si="3"/>
        <v>277956.10311810137</v>
      </c>
      <c r="G46" s="167"/>
      <c r="H46" s="171">
        <f>SUM(C35:C46)</f>
        <v>54998.656273556669</v>
      </c>
      <c r="I46" s="171">
        <f>SUM(D35:D46)</f>
        <v>26388.544559874834</v>
      </c>
      <c r="J46" s="171">
        <f>SUM(E35:E46)</f>
        <v>28610.111713681821</v>
      </c>
      <c r="K46" s="171">
        <f>+F46</f>
        <v>277956.10311810137</v>
      </c>
    </row>
    <row r="47" spans="2:11" hidden="1" x14ac:dyDescent="0.2">
      <c r="B47" s="296">
        <v>37</v>
      </c>
      <c r="C47" s="172">
        <f t="shared" si="0"/>
        <v>4583.2213561297212</v>
      </c>
      <c r="D47" s="172">
        <f t="shared" si="1"/>
        <v>2317.3035751281004</v>
      </c>
      <c r="E47" s="172">
        <f t="shared" si="2"/>
        <v>2265.9177810016208</v>
      </c>
      <c r="F47" s="172">
        <f t="shared" si="3"/>
        <v>275638.79954297328</v>
      </c>
      <c r="G47" s="167"/>
      <c r="H47" s="171"/>
      <c r="I47" s="171"/>
      <c r="J47" s="171"/>
      <c r="K47" s="171"/>
    </row>
    <row r="48" spans="2:11" hidden="1" x14ac:dyDescent="0.2">
      <c r="B48" s="296">
        <v>38</v>
      </c>
      <c r="C48" s="172">
        <f t="shared" si="0"/>
        <v>4583.2213561297212</v>
      </c>
      <c r="D48" s="172">
        <f t="shared" si="1"/>
        <v>2336.1943975132103</v>
      </c>
      <c r="E48" s="172">
        <f t="shared" si="2"/>
        <v>2247.0269586165109</v>
      </c>
      <c r="F48" s="172">
        <f t="shared" si="3"/>
        <v>273302.60514546005</v>
      </c>
      <c r="G48" s="167"/>
      <c r="H48" s="171"/>
      <c r="I48" s="171"/>
      <c r="J48" s="171"/>
      <c r="K48" s="171"/>
    </row>
    <row r="49" spans="2:11" hidden="1" x14ac:dyDescent="0.2">
      <c r="B49" s="296">
        <v>39</v>
      </c>
      <c r="C49" s="172">
        <f t="shared" si="0"/>
        <v>4583.2213561297212</v>
      </c>
      <c r="D49" s="172">
        <f t="shared" si="1"/>
        <v>2355.2392192164139</v>
      </c>
      <c r="E49" s="172">
        <f t="shared" si="2"/>
        <v>2227.9821369133074</v>
      </c>
      <c r="F49" s="172">
        <f t="shared" si="3"/>
        <v>270947.36592624366</v>
      </c>
      <c r="G49" s="167"/>
      <c r="H49" s="171"/>
      <c r="I49" s="171"/>
      <c r="J49" s="171"/>
      <c r="K49" s="171"/>
    </row>
    <row r="50" spans="2:11" hidden="1" x14ac:dyDescent="0.2">
      <c r="B50" s="296">
        <v>40</v>
      </c>
      <c r="C50" s="172">
        <f t="shared" si="0"/>
        <v>4583.2213561297212</v>
      </c>
      <c r="D50" s="172">
        <f t="shared" si="1"/>
        <v>2374.4392956510274</v>
      </c>
      <c r="E50" s="172">
        <f t="shared" si="2"/>
        <v>2208.7820604786939</v>
      </c>
      <c r="F50" s="172">
        <f t="shared" si="3"/>
        <v>268572.92663059261</v>
      </c>
      <c r="G50" s="167"/>
      <c r="H50" s="171"/>
      <c r="I50" s="171"/>
      <c r="J50" s="171"/>
      <c r="K50" s="171"/>
    </row>
    <row r="51" spans="2:11" hidden="1" x14ac:dyDescent="0.2">
      <c r="B51" s="296">
        <v>41</v>
      </c>
      <c r="C51" s="172">
        <f t="shared" si="0"/>
        <v>4583.2213561297212</v>
      </c>
      <c r="D51" s="172">
        <f t="shared" si="1"/>
        <v>2393.7958924645845</v>
      </c>
      <c r="E51" s="172">
        <f t="shared" si="2"/>
        <v>2189.4254636651367</v>
      </c>
      <c r="F51" s="172">
        <f t="shared" si="3"/>
        <v>266179.13073812803</v>
      </c>
      <c r="G51" s="167"/>
      <c r="H51" s="171"/>
      <c r="I51" s="171"/>
      <c r="J51" s="171"/>
      <c r="K51" s="171"/>
    </row>
    <row r="52" spans="2:11" hidden="1" x14ac:dyDescent="0.2">
      <c r="B52" s="296">
        <v>42</v>
      </c>
      <c r="C52" s="172">
        <f t="shared" si="0"/>
        <v>4583.2213561297212</v>
      </c>
      <c r="D52" s="172">
        <f t="shared" si="1"/>
        <v>2413.3102856222677</v>
      </c>
      <c r="E52" s="172">
        <f t="shared" si="2"/>
        <v>2169.9110705074536</v>
      </c>
      <c r="F52" s="172">
        <f t="shared" si="3"/>
        <v>263765.82045250578</v>
      </c>
      <c r="G52" s="167"/>
      <c r="H52" s="171"/>
      <c r="I52" s="171"/>
      <c r="J52" s="171"/>
      <c r="K52" s="171"/>
    </row>
    <row r="53" spans="2:11" hidden="1" x14ac:dyDescent="0.2">
      <c r="B53" s="296">
        <v>43</v>
      </c>
      <c r="C53" s="172">
        <f t="shared" si="0"/>
        <v>4583.2213561297212</v>
      </c>
      <c r="D53" s="172">
        <f t="shared" si="1"/>
        <v>2432.983761491017</v>
      </c>
      <c r="E53" s="172">
        <f t="shared" si="2"/>
        <v>2150.2375946387042</v>
      </c>
      <c r="F53" s="172">
        <f t="shared" si="3"/>
        <v>261332.83669101476</v>
      </c>
      <c r="G53" s="167"/>
      <c r="H53" s="171"/>
      <c r="I53" s="171"/>
      <c r="J53" s="171"/>
      <c r="K53" s="171"/>
    </row>
    <row r="54" spans="2:11" hidden="1" x14ac:dyDescent="0.2">
      <c r="B54" s="296">
        <v>44</v>
      </c>
      <c r="C54" s="172">
        <f t="shared" si="0"/>
        <v>4583.2213561297212</v>
      </c>
      <c r="D54" s="172">
        <f t="shared" si="1"/>
        <v>2452.8176169243275</v>
      </c>
      <c r="E54" s="172">
        <f t="shared" si="2"/>
        <v>2130.4037392053938</v>
      </c>
      <c r="F54" s="172">
        <f t="shared" si="3"/>
        <v>258880.01907409044</v>
      </c>
      <c r="G54" s="167"/>
      <c r="H54" s="171"/>
      <c r="I54" s="171"/>
      <c r="J54" s="171"/>
      <c r="K54" s="171"/>
    </row>
    <row r="55" spans="2:11" hidden="1" x14ac:dyDescent="0.2">
      <c r="B55" s="296">
        <v>45</v>
      </c>
      <c r="C55" s="172">
        <f t="shared" si="0"/>
        <v>4583.2213561297212</v>
      </c>
      <c r="D55" s="172">
        <f t="shared" si="1"/>
        <v>2472.8131593477342</v>
      </c>
      <c r="E55" s="172">
        <f t="shared" si="2"/>
        <v>2110.408196781987</v>
      </c>
      <c r="F55" s="172">
        <f t="shared" si="3"/>
        <v>256407.20591474269</v>
      </c>
      <c r="G55" s="167"/>
      <c r="H55" s="171"/>
      <c r="I55" s="171"/>
      <c r="J55" s="171"/>
      <c r="K55" s="171"/>
    </row>
    <row r="56" spans="2:11" hidden="1" x14ac:dyDescent="0.2">
      <c r="B56" s="296">
        <v>46</v>
      </c>
      <c r="C56" s="172">
        <f t="shared" si="0"/>
        <v>4583.2213561297212</v>
      </c>
      <c r="D56" s="172">
        <f t="shared" si="1"/>
        <v>2492.9717068449991</v>
      </c>
      <c r="E56" s="172">
        <f t="shared" si="2"/>
        <v>2090.2496492847222</v>
      </c>
      <c r="F56" s="172">
        <f t="shared" si="3"/>
        <v>253914.23420789768</v>
      </c>
      <c r="G56" s="167"/>
      <c r="H56" s="171"/>
      <c r="I56" s="171"/>
      <c r="J56" s="171"/>
      <c r="K56" s="171"/>
    </row>
    <row r="57" spans="2:11" hidden="1" x14ac:dyDescent="0.2">
      <c r="B57" s="296">
        <v>47</v>
      </c>
      <c r="C57" s="172">
        <f t="shared" si="0"/>
        <v>4583.2213561297212</v>
      </c>
      <c r="D57" s="172">
        <f t="shared" si="1"/>
        <v>2513.2945882449944</v>
      </c>
      <c r="E57" s="172">
        <f t="shared" si="2"/>
        <v>2069.9267678847268</v>
      </c>
      <c r="F57" s="172">
        <f t="shared" si="3"/>
        <v>251400.93961965269</v>
      </c>
      <c r="G57" s="167"/>
      <c r="H57" s="171"/>
      <c r="I57" s="171"/>
      <c r="J57" s="171"/>
      <c r="K57" s="171"/>
    </row>
    <row r="58" spans="2:11" x14ac:dyDescent="0.2">
      <c r="B58" s="296">
        <v>48</v>
      </c>
      <c r="C58" s="172">
        <f t="shared" si="0"/>
        <v>4583.2213561297212</v>
      </c>
      <c r="D58" s="172">
        <f t="shared" si="1"/>
        <v>2533.7831432093003</v>
      </c>
      <c r="E58" s="172">
        <f t="shared" si="2"/>
        <v>2049.4382129204209</v>
      </c>
      <c r="F58" s="172">
        <f t="shared" si="3"/>
        <v>248867.1564764434</v>
      </c>
      <c r="G58" s="167"/>
      <c r="H58" s="171">
        <f>SUM(C47:C58)</f>
        <v>54998.656273556669</v>
      </c>
      <c r="I58" s="171">
        <f>SUM(D47:D58)</f>
        <v>29088.946641657974</v>
      </c>
      <c r="J58" s="171">
        <f>SUM(E47:E58)</f>
        <v>25909.709631898681</v>
      </c>
      <c r="K58" s="171">
        <f>+F58</f>
        <v>248867.1564764434</v>
      </c>
    </row>
    <row r="59" spans="2:11" hidden="1" x14ac:dyDescent="0.2">
      <c r="B59" s="296">
        <v>49</v>
      </c>
      <c r="C59" s="172">
        <f t="shared" si="0"/>
        <v>4583.2213561297212</v>
      </c>
      <c r="D59" s="172">
        <f t="shared" si="1"/>
        <v>2554.4387223205122</v>
      </c>
      <c r="E59" s="172">
        <f t="shared" si="2"/>
        <v>2028.7826338092091</v>
      </c>
      <c r="F59" s="172">
        <f t="shared" si="3"/>
        <v>246312.71775412289</v>
      </c>
      <c r="G59" s="167"/>
      <c r="H59" s="171"/>
      <c r="I59" s="171"/>
      <c r="J59" s="171"/>
      <c r="K59" s="171"/>
    </row>
    <row r="60" spans="2:11" hidden="1" x14ac:dyDescent="0.2">
      <c r="B60" s="296">
        <v>50</v>
      </c>
      <c r="C60" s="172">
        <f t="shared" si="0"/>
        <v>4583.2213561297212</v>
      </c>
      <c r="D60" s="172">
        <f t="shared" si="1"/>
        <v>2575.2626871712705</v>
      </c>
      <c r="E60" s="172">
        <f t="shared" si="2"/>
        <v>2007.9586689584507</v>
      </c>
      <c r="F60" s="172">
        <f t="shared" si="3"/>
        <v>243737.45506695163</v>
      </c>
      <c r="G60" s="167"/>
      <c r="H60" s="171"/>
      <c r="I60" s="171"/>
      <c r="J60" s="171"/>
      <c r="K60" s="171"/>
    </row>
    <row r="61" spans="2:11" hidden="1" x14ac:dyDescent="0.2">
      <c r="B61" s="296">
        <v>51</v>
      </c>
      <c r="C61" s="172">
        <f t="shared" si="0"/>
        <v>4583.2213561297212</v>
      </c>
      <c r="D61" s="172">
        <f t="shared" si="1"/>
        <v>2596.2564104540147</v>
      </c>
      <c r="E61" s="172">
        <f t="shared" si="2"/>
        <v>1986.9649456757065</v>
      </c>
      <c r="F61" s="172">
        <f t="shared" si="3"/>
        <v>241141.19865649761</v>
      </c>
      <c r="G61" s="167"/>
      <c r="H61" s="171"/>
      <c r="I61" s="171"/>
      <c r="J61" s="171"/>
      <c r="K61" s="171"/>
    </row>
    <row r="62" spans="2:11" hidden="1" x14ac:dyDescent="0.2">
      <c r="B62" s="296">
        <v>52</v>
      </c>
      <c r="C62" s="172">
        <f t="shared" si="0"/>
        <v>4583.2213561297212</v>
      </c>
      <c r="D62" s="172">
        <f t="shared" si="1"/>
        <v>2617.4212760514706</v>
      </c>
      <c r="E62" s="172">
        <f t="shared" si="2"/>
        <v>1965.8000800782506</v>
      </c>
      <c r="F62" s="172">
        <f t="shared" si="3"/>
        <v>238523.77738044615</v>
      </c>
      <c r="G62" s="167"/>
      <c r="H62" s="171"/>
      <c r="I62" s="171"/>
      <c r="J62" s="171"/>
      <c r="K62" s="171"/>
    </row>
    <row r="63" spans="2:11" hidden="1" x14ac:dyDescent="0.2">
      <c r="B63" s="296">
        <v>53</v>
      </c>
      <c r="C63" s="172">
        <f t="shared" si="0"/>
        <v>4583.2213561297212</v>
      </c>
      <c r="D63" s="172">
        <f t="shared" si="1"/>
        <v>2638.7586791278727</v>
      </c>
      <c r="E63" s="172">
        <f t="shared" si="2"/>
        <v>1944.4626770018483</v>
      </c>
      <c r="F63" s="172">
        <f t="shared" si="3"/>
        <v>235885.01870131827</v>
      </c>
      <c r="G63" s="167"/>
      <c r="H63" s="171"/>
      <c r="I63" s="171"/>
      <c r="J63" s="171"/>
      <c r="K63" s="171"/>
    </row>
    <row r="64" spans="2:11" hidden="1" x14ac:dyDescent="0.2">
      <c r="B64" s="296">
        <v>54</v>
      </c>
      <c r="C64" s="172">
        <f t="shared" si="0"/>
        <v>4583.2213561297212</v>
      </c>
      <c r="D64" s="172">
        <f t="shared" si="1"/>
        <v>2660.2700262209341</v>
      </c>
      <c r="E64" s="172">
        <f t="shared" si="2"/>
        <v>1922.9513299087871</v>
      </c>
      <c r="F64" s="172">
        <f t="shared" si="3"/>
        <v>233224.74867509733</v>
      </c>
      <c r="G64" s="167"/>
      <c r="H64" s="171"/>
      <c r="I64" s="171"/>
      <c r="J64" s="171"/>
      <c r="K64" s="171"/>
    </row>
    <row r="65" spans="2:11" hidden="1" x14ac:dyDescent="0.2">
      <c r="B65" s="296">
        <v>55</v>
      </c>
      <c r="C65" s="172">
        <f t="shared" si="0"/>
        <v>4583.2213561297212</v>
      </c>
      <c r="D65" s="172">
        <f t="shared" si="1"/>
        <v>2681.9567353345615</v>
      </c>
      <c r="E65" s="172">
        <f t="shared" si="2"/>
        <v>1901.2646207951598</v>
      </c>
      <c r="F65" s="172">
        <f t="shared" si="3"/>
        <v>230542.79193976277</v>
      </c>
      <c r="G65" s="167"/>
      <c r="H65" s="171"/>
      <c r="I65" s="171"/>
      <c r="J65" s="171"/>
      <c r="K65" s="171"/>
    </row>
    <row r="66" spans="2:11" hidden="1" x14ac:dyDescent="0.2">
      <c r="B66" s="296">
        <v>56</v>
      </c>
      <c r="C66" s="172">
        <f t="shared" si="0"/>
        <v>4583.2213561297212</v>
      </c>
      <c r="D66" s="172">
        <f t="shared" si="1"/>
        <v>2703.8202360323303</v>
      </c>
      <c r="E66" s="172">
        <f t="shared" si="2"/>
        <v>1879.4011200973912</v>
      </c>
      <c r="F66" s="172">
        <f t="shared" si="3"/>
        <v>227838.97170373044</v>
      </c>
      <c r="G66" s="167"/>
      <c r="H66" s="171"/>
      <c r="I66" s="171"/>
      <c r="J66" s="171"/>
      <c r="K66" s="171"/>
    </row>
    <row r="67" spans="2:11" hidden="1" x14ac:dyDescent="0.2">
      <c r="B67" s="296">
        <v>57</v>
      </c>
      <c r="C67" s="172">
        <f t="shared" si="0"/>
        <v>4583.2213561297212</v>
      </c>
      <c r="D67" s="172">
        <f t="shared" si="1"/>
        <v>2725.8619695317184</v>
      </c>
      <c r="E67" s="172">
        <f t="shared" si="2"/>
        <v>1857.3593865980029</v>
      </c>
      <c r="F67" s="172">
        <f t="shared" si="3"/>
        <v>225113.10973419872</v>
      </c>
      <c r="G67" s="167"/>
      <c r="H67" s="171"/>
      <c r="I67" s="171"/>
      <c r="J67" s="171"/>
      <c r="K67" s="171"/>
    </row>
    <row r="68" spans="2:11" hidden="1" x14ac:dyDescent="0.2">
      <c r="B68" s="296">
        <v>58</v>
      </c>
      <c r="C68" s="172">
        <f t="shared" si="0"/>
        <v>4583.2213561297212</v>
      </c>
      <c r="D68" s="172">
        <f t="shared" si="1"/>
        <v>2748.0833887991112</v>
      </c>
      <c r="E68" s="172">
        <f t="shared" si="2"/>
        <v>1835.1379673306101</v>
      </c>
      <c r="F68" s="172">
        <f t="shared" si="3"/>
        <v>222365.02634539962</v>
      </c>
      <c r="G68" s="167"/>
      <c r="H68" s="171"/>
      <c r="I68" s="171"/>
      <c r="J68" s="171"/>
      <c r="K68" s="171"/>
    </row>
    <row r="69" spans="2:11" hidden="1" x14ac:dyDescent="0.2">
      <c r="B69" s="296">
        <v>59</v>
      </c>
      <c r="C69" s="172">
        <f t="shared" si="0"/>
        <v>4583.2213561297212</v>
      </c>
      <c r="D69" s="172">
        <f t="shared" si="1"/>
        <v>2770.4859586455786</v>
      </c>
      <c r="E69" s="172">
        <f t="shared" si="2"/>
        <v>1812.7353974841428</v>
      </c>
      <c r="F69" s="172">
        <f t="shared" si="3"/>
        <v>219594.54038675403</v>
      </c>
      <c r="G69" s="167"/>
      <c r="H69" s="171"/>
      <c r="I69" s="171"/>
      <c r="J69" s="171"/>
      <c r="K69" s="171"/>
    </row>
    <row r="70" spans="2:11" x14ac:dyDescent="0.2">
      <c r="B70" s="296">
        <v>60</v>
      </c>
      <c r="C70" s="172">
        <f t="shared" si="0"/>
        <v>4583.2213561297212</v>
      </c>
      <c r="D70" s="172">
        <f t="shared" si="1"/>
        <v>2793.0711558234325</v>
      </c>
      <c r="E70" s="172">
        <f t="shared" si="2"/>
        <v>1790.1502003062885</v>
      </c>
      <c r="F70" s="172">
        <f t="shared" si="3"/>
        <v>216801.46923093061</v>
      </c>
      <c r="G70" s="167"/>
      <c r="H70" s="171">
        <f>SUM(C59:C70)</f>
        <v>54998.656273556669</v>
      </c>
      <c r="I70" s="171">
        <f>SUM(D59:D70)</f>
        <v>32065.687245512807</v>
      </c>
      <c r="J70" s="171">
        <f>SUM(E59:E70)</f>
        <v>22932.969028043848</v>
      </c>
      <c r="K70" s="171">
        <f>+F70</f>
        <v>216801.46923093061</v>
      </c>
    </row>
    <row r="71" spans="2:11" hidden="1" x14ac:dyDescent="0.2">
      <c r="B71" s="296">
        <v>61</v>
      </c>
      <c r="C71" s="172">
        <f t="shared" si="0"/>
        <v>4583.2213561297212</v>
      </c>
      <c r="D71" s="172">
        <f t="shared" si="1"/>
        <v>2815.8404691235764</v>
      </c>
      <c r="E71" s="172">
        <f t="shared" si="2"/>
        <v>1767.380887006145</v>
      </c>
      <c r="F71" s="172">
        <f t="shared" si="3"/>
        <v>213985.62876180705</v>
      </c>
      <c r="G71" s="167"/>
      <c r="H71" s="171"/>
      <c r="I71" s="171"/>
      <c r="J71" s="171"/>
      <c r="K71" s="171"/>
    </row>
    <row r="72" spans="2:11" hidden="1" x14ac:dyDescent="0.2">
      <c r="B72" s="296">
        <v>62</v>
      </c>
      <c r="C72" s="172">
        <f t="shared" si="0"/>
        <v>4583.2213561297212</v>
      </c>
      <c r="D72" s="172">
        <f t="shared" si="1"/>
        <v>2838.7953994736395</v>
      </c>
      <c r="E72" s="172">
        <f t="shared" si="2"/>
        <v>1744.4259566560818</v>
      </c>
      <c r="F72" s="172">
        <f t="shared" si="3"/>
        <v>211146.83336233342</v>
      </c>
      <c r="G72" s="167"/>
      <c r="H72" s="171"/>
      <c r="I72" s="171"/>
      <c r="J72" s="171"/>
      <c r="K72" s="171"/>
    </row>
    <row r="73" spans="2:11" hidden="1" x14ac:dyDescent="0.2">
      <c r="B73" s="296">
        <v>63</v>
      </c>
      <c r="C73" s="172">
        <f t="shared" si="0"/>
        <v>4583.2213561297212</v>
      </c>
      <c r="D73" s="172">
        <f t="shared" si="1"/>
        <v>2861.937460036921</v>
      </c>
      <c r="E73" s="172">
        <f t="shared" si="2"/>
        <v>1721.2838960928</v>
      </c>
      <c r="F73" s="172">
        <f t="shared" si="3"/>
        <v>208284.8959022965</v>
      </c>
      <c r="G73" s="167"/>
      <c r="H73" s="171"/>
      <c r="I73" s="171"/>
      <c r="J73" s="171"/>
      <c r="K73" s="171"/>
    </row>
    <row r="74" spans="2:11" hidden="1" x14ac:dyDescent="0.2">
      <c r="B74" s="296">
        <v>64</v>
      </c>
      <c r="C74" s="172">
        <f t="shared" si="0"/>
        <v>4583.2213561297212</v>
      </c>
      <c r="D74" s="172">
        <f t="shared" si="1"/>
        <v>2885.2681763121345</v>
      </c>
      <c r="E74" s="172">
        <f t="shared" si="2"/>
        <v>1697.9531798175869</v>
      </c>
      <c r="F74" s="172">
        <f t="shared" si="3"/>
        <v>205399.62772598438</v>
      </c>
      <c r="G74" s="167"/>
      <c r="H74" s="171"/>
      <c r="I74" s="171"/>
      <c r="J74" s="171"/>
      <c r="K74" s="171"/>
    </row>
    <row r="75" spans="2:11" hidden="1" x14ac:dyDescent="0.2">
      <c r="B75" s="296">
        <v>65</v>
      </c>
      <c r="C75" s="172">
        <f t="shared" si="0"/>
        <v>4583.2213561297212</v>
      </c>
      <c r="D75" s="172">
        <f t="shared" si="1"/>
        <v>2908.7890862339646</v>
      </c>
      <c r="E75" s="172">
        <f t="shared" si="2"/>
        <v>1674.4322698957569</v>
      </c>
      <c r="F75" s="172">
        <f t="shared" si="3"/>
        <v>202490.83863975041</v>
      </c>
      <c r="G75" s="167"/>
      <c r="H75" s="171"/>
      <c r="I75" s="171"/>
      <c r="J75" s="171"/>
      <c r="K75" s="171"/>
    </row>
    <row r="76" spans="2:11" hidden="1" x14ac:dyDescent="0.2">
      <c r="B76" s="296">
        <v>66</v>
      </c>
      <c r="C76" s="172">
        <f t="shared" ref="C76:C130" si="4">+$C$6</f>
        <v>4583.2213561297212</v>
      </c>
      <c r="D76" s="172">
        <f t="shared" ref="D76:D130" si="5">+C76-E76</f>
        <v>2932.5017402744497</v>
      </c>
      <c r="E76" s="172">
        <f t="shared" ref="E76:E130" si="6">+$C$3*F75</f>
        <v>1650.7196158552715</v>
      </c>
      <c r="F76" s="172">
        <f t="shared" ref="F76:F130" si="7">+F75-D76</f>
        <v>199558.33689947595</v>
      </c>
      <c r="G76" s="167"/>
      <c r="H76" s="171"/>
      <c r="I76" s="171"/>
      <c r="J76" s="171"/>
      <c r="K76" s="171"/>
    </row>
    <row r="77" spans="2:11" hidden="1" x14ac:dyDescent="0.2">
      <c r="B77" s="296">
        <v>67</v>
      </c>
      <c r="C77" s="172">
        <f t="shared" si="4"/>
        <v>4583.2213561297212</v>
      </c>
      <c r="D77" s="172">
        <f t="shared" si="5"/>
        <v>2956.4077015451858</v>
      </c>
      <c r="E77" s="172">
        <f t="shared" si="6"/>
        <v>1626.8136545845355</v>
      </c>
      <c r="F77" s="172">
        <f t="shared" si="7"/>
        <v>196601.92919793076</v>
      </c>
      <c r="G77" s="167"/>
      <c r="H77" s="171"/>
      <c r="I77" s="171"/>
      <c r="J77" s="171"/>
      <c r="K77" s="171"/>
    </row>
    <row r="78" spans="2:11" hidden="1" x14ac:dyDescent="0.2">
      <c r="B78" s="296">
        <v>68</v>
      </c>
      <c r="C78" s="172">
        <f t="shared" si="4"/>
        <v>4583.2213561297212</v>
      </c>
      <c r="D78" s="172">
        <f t="shared" si="5"/>
        <v>2980.5085459003649</v>
      </c>
      <c r="E78" s="172">
        <f t="shared" si="6"/>
        <v>1602.7128102293566</v>
      </c>
      <c r="F78" s="172">
        <f t="shared" si="7"/>
        <v>193621.42065203039</v>
      </c>
      <c r="G78" s="167"/>
      <c r="H78" s="171"/>
      <c r="I78" s="171"/>
      <c r="J78" s="171"/>
      <c r="K78" s="171"/>
    </row>
    <row r="79" spans="2:11" hidden="1" x14ac:dyDescent="0.2">
      <c r="B79" s="296">
        <v>69</v>
      </c>
      <c r="C79" s="172">
        <f t="shared" si="4"/>
        <v>4583.2213561297212</v>
      </c>
      <c r="D79" s="172">
        <f t="shared" si="5"/>
        <v>3004.8058620406528</v>
      </c>
      <c r="E79" s="172">
        <f t="shared" si="6"/>
        <v>1578.4154940890687</v>
      </c>
      <c r="F79" s="172">
        <f t="shared" si="7"/>
        <v>190616.61478998972</v>
      </c>
      <c r="G79" s="167"/>
      <c r="H79" s="171"/>
      <c r="I79" s="171"/>
      <c r="J79" s="171"/>
      <c r="K79" s="171"/>
    </row>
    <row r="80" spans="2:11" hidden="1" x14ac:dyDescent="0.2">
      <c r="B80" s="296">
        <v>70</v>
      </c>
      <c r="C80" s="172">
        <f t="shared" si="4"/>
        <v>4583.2213561297212</v>
      </c>
      <c r="D80" s="172">
        <f t="shared" si="5"/>
        <v>3029.301251617916</v>
      </c>
      <c r="E80" s="172">
        <f t="shared" si="6"/>
        <v>1553.9201045118054</v>
      </c>
      <c r="F80" s="172">
        <f t="shared" si="7"/>
        <v>187587.31353837179</v>
      </c>
      <c r="G80" s="167"/>
      <c r="H80" s="171"/>
      <c r="I80" s="171"/>
      <c r="J80" s="171"/>
      <c r="K80" s="171"/>
    </row>
    <row r="81" spans="2:11" hidden="1" x14ac:dyDescent="0.2">
      <c r="B81" s="296">
        <v>71</v>
      </c>
      <c r="C81" s="172">
        <f t="shared" si="4"/>
        <v>4583.2213561297212</v>
      </c>
      <c r="D81" s="172">
        <f t="shared" si="5"/>
        <v>3053.9963293408</v>
      </c>
      <c r="E81" s="172">
        <f t="shared" si="6"/>
        <v>1529.2250267889212</v>
      </c>
      <c r="F81" s="172">
        <f t="shared" si="7"/>
        <v>184533.317209031</v>
      </c>
      <c r="G81" s="167"/>
      <c r="H81" s="171"/>
      <c r="I81" s="171"/>
      <c r="J81" s="171"/>
      <c r="K81" s="171"/>
    </row>
    <row r="82" spans="2:11" x14ac:dyDescent="0.2">
      <c r="B82" s="296">
        <v>72</v>
      </c>
      <c r="C82" s="172">
        <f t="shared" si="4"/>
        <v>4583.2213561297212</v>
      </c>
      <c r="D82" s="172">
        <f t="shared" si="5"/>
        <v>3078.8927230811696</v>
      </c>
      <c r="E82" s="172">
        <f t="shared" si="6"/>
        <v>1504.3286330485519</v>
      </c>
      <c r="F82" s="172">
        <f t="shared" si="7"/>
        <v>181454.42448594983</v>
      </c>
      <c r="G82" s="167"/>
      <c r="H82" s="171">
        <f>SUM(C71:C82)</f>
        <v>54998.656273556669</v>
      </c>
      <c r="I82" s="171">
        <f>SUM(D71:D82)</f>
        <v>35347.044744980776</v>
      </c>
      <c r="J82" s="171">
        <f>SUM(E71:E82)</f>
        <v>19651.611528575882</v>
      </c>
      <c r="K82" s="171">
        <f>+F82</f>
        <v>181454.42448594983</v>
      </c>
    </row>
    <row r="83" spans="2:11" hidden="1" x14ac:dyDescent="0.2">
      <c r="B83" s="296">
        <v>73</v>
      </c>
      <c r="C83" s="172">
        <f t="shared" si="4"/>
        <v>4583.2213561297212</v>
      </c>
      <c r="D83" s="172">
        <f t="shared" si="5"/>
        <v>3103.9920739814152</v>
      </c>
      <c r="E83" s="172">
        <f t="shared" si="6"/>
        <v>1479.2292821483061</v>
      </c>
      <c r="F83" s="172">
        <f t="shared" si="7"/>
        <v>178350.43241196842</v>
      </c>
      <c r="G83" s="167"/>
      <c r="H83" s="171"/>
      <c r="I83" s="171"/>
      <c r="J83" s="171"/>
      <c r="K83" s="171"/>
    </row>
    <row r="84" spans="2:11" hidden="1" x14ac:dyDescent="0.2">
      <c r="B84" s="296">
        <v>74</v>
      </c>
      <c r="C84" s="172">
        <f t="shared" si="4"/>
        <v>4583.2213561297212</v>
      </c>
      <c r="D84" s="172">
        <f t="shared" si="5"/>
        <v>3129.2960365626368</v>
      </c>
      <c r="E84" s="172">
        <f t="shared" si="6"/>
        <v>1453.9253195670847</v>
      </c>
      <c r="F84" s="172">
        <f t="shared" si="7"/>
        <v>175221.13637540577</v>
      </c>
      <c r="G84" s="167"/>
      <c r="H84" s="171"/>
      <c r="I84" s="171"/>
      <c r="J84" s="171"/>
      <c r="K84" s="171"/>
    </row>
    <row r="85" spans="2:11" hidden="1" x14ac:dyDescent="0.2">
      <c r="B85" s="296">
        <v>75</v>
      </c>
      <c r="C85" s="172">
        <f t="shared" si="4"/>
        <v>4583.2213561297212</v>
      </c>
      <c r="D85" s="172">
        <f t="shared" si="5"/>
        <v>3154.8062788337065</v>
      </c>
      <c r="E85" s="172">
        <f t="shared" si="6"/>
        <v>1428.4150772960149</v>
      </c>
      <c r="F85" s="172">
        <f t="shared" si="7"/>
        <v>172066.33009657206</v>
      </c>
      <c r="G85" s="167"/>
      <c r="H85" s="171"/>
      <c r="I85" s="171"/>
      <c r="J85" s="171"/>
      <c r="K85" s="171"/>
    </row>
    <row r="86" spans="2:11" hidden="1" x14ac:dyDescent="0.2">
      <c r="B86" s="296">
        <v>76</v>
      </c>
      <c r="C86" s="172">
        <f t="shared" si="4"/>
        <v>4583.2213561297212</v>
      </c>
      <c r="D86" s="172">
        <f t="shared" si="5"/>
        <v>3180.5244824012225</v>
      </c>
      <c r="E86" s="172">
        <f t="shared" si="6"/>
        <v>1402.6968737284988</v>
      </c>
      <c r="F86" s="172">
        <f t="shared" si="7"/>
        <v>168885.80561417082</v>
      </c>
      <c r="G86" s="167"/>
      <c r="H86" s="171"/>
      <c r="I86" s="171"/>
      <c r="J86" s="171"/>
      <c r="K86" s="171"/>
    </row>
    <row r="87" spans="2:11" hidden="1" x14ac:dyDescent="0.2">
      <c r="B87" s="296">
        <v>77</v>
      </c>
      <c r="C87" s="172">
        <f t="shared" si="4"/>
        <v>4583.2213561297212</v>
      </c>
      <c r="D87" s="172">
        <f t="shared" si="5"/>
        <v>3206.4523425803595</v>
      </c>
      <c r="E87" s="172">
        <f t="shared" si="6"/>
        <v>1376.7690135493617</v>
      </c>
      <c r="F87" s="172">
        <f t="shared" si="7"/>
        <v>165679.35327159046</v>
      </c>
      <c r="G87" s="167"/>
      <c r="H87" s="171"/>
      <c r="I87" s="171"/>
      <c r="J87" s="171"/>
      <c r="K87" s="171"/>
    </row>
    <row r="88" spans="2:11" hidden="1" x14ac:dyDescent="0.2">
      <c r="B88" s="296">
        <v>78</v>
      </c>
      <c r="C88" s="172">
        <f t="shared" si="4"/>
        <v>4583.2213561297212</v>
      </c>
      <c r="D88" s="172">
        <f t="shared" si="5"/>
        <v>3232.5915685066207</v>
      </c>
      <c r="E88" s="172">
        <f t="shared" si="6"/>
        <v>1350.6297876231006</v>
      </c>
      <c r="F88" s="172">
        <f t="shared" si="7"/>
        <v>162446.76170308384</v>
      </c>
      <c r="G88" s="167"/>
      <c r="H88" s="171"/>
      <c r="I88" s="171"/>
      <c r="J88" s="171"/>
      <c r="K88" s="171"/>
    </row>
    <row r="89" spans="2:11" hidden="1" x14ac:dyDescent="0.2">
      <c r="B89" s="296">
        <v>79</v>
      </c>
      <c r="C89" s="172">
        <f t="shared" si="4"/>
        <v>4583.2213561297212</v>
      </c>
      <c r="D89" s="172">
        <f t="shared" si="5"/>
        <v>3258.9438832485021</v>
      </c>
      <c r="E89" s="172">
        <f t="shared" si="6"/>
        <v>1324.2774728812192</v>
      </c>
      <c r="F89" s="172">
        <f t="shared" si="7"/>
        <v>159187.81781983536</v>
      </c>
      <c r="G89" s="167"/>
      <c r="H89" s="171"/>
      <c r="I89" s="171"/>
      <c r="J89" s="171"/>
      <c r="K89" s="171"/>
    </row>
    <row r="90" spans="2:11" hidden="1" x14ac:dyDescent="0.2">
      <c r="B90" s="296">
        <v>80</v>
      </c>
      <c r="C90" s="172">
        <f t="shared" si="4"/>
        <v>4583.2213561297212</v>
      </c>
      <c r="D90" s="172">
        <f t="shared" si="5"/>
        <v>3285.5110239210762</v>
      </c>
      <c r="E90" s="172">
        <f t="shared" si="6"/>
        <v>1297.7103322086448</v>
      </c>
      <c r="F90" s="172">
        <f t="shared" si="7"/>
        <v>155902.30679591428</v>
      </c>
      <c r="G90" s="167"/>
      <c r="H90" s="171"/>
      <c r="I90" s="171"/>
      <c r="J90" s="171"/>
      <c r="K90" s="171"/>
    </row>
    <row r="91" spans="2:11" hidden="1" x14ac:dyDescent="0.2">
      <c r="B91" s="296">
        <v>81</v>
      </c>
      <c r="C91" s="172">
        <f t="shared" si="4"/>
        <v>4583.2213561297212</v>
      </c>
      <c r="D91" s="172">
        <f t="shared" si="5"/>
        <v>3312.2947418005015</v>
      </c>
      <c r="E91" s="172">
        <f t="shared" si="6"/>
        <v>1270.9266143292195</v>
      </c>
      <c r="F91" s="172">
        <f t="shared" si="7"/>
        <v>152590.01205411379</v>
      </c>
      <c r="G91" s="167"/>
      <c r="H91" s="171"/>
      <c r="I91" s="171"/>
      <c r="J91" s="171"/>
      <c r="K91" s="171"/>
    </row>
    <row r="92" spans="2:11" hidden="1" x14ac:dyDescent="0.2">
      <c r="B92" s="296">
        <v>82</v>
      </c>
      <c r="C92" s="172">
        <f t="shared" si="4"/>
        <v>4583.2213561297212</v>
      </c>
      <c r="D92" s="172">
        <f t="shared" si="5"/>
        <v>3339.2968024394613</v>
      </c>
      <c r="E92" s="172">
        <f t="shared" si="6"/>
        <v>1243.9245536902599</v>
      </c>
      <c r="F92" s="172">
        <f t="shared" si="7"/>
        <v>149250.71525167432</v>
      </c>
      <c r="G92" s="167"/>
      <c r="H92" s="171"/>
      <c r="I92" s="171"/>
      <c r="J92" s="171"/>
      <c r="K92" s="171"/>
    </row>
    <row r="93" spans="2:11" hidden="1" x14ac:dyDescent="0.2">
      <c r="B93" s="296">
        <v>83</v>
      </c>
      <c r="C93" s="172">
        <f t="shared" si="4"/>
        <v>4583.2213561297212</v>
      </c>
      <c r="D93" s="172">
        <f t="shared" si="5"/>
        <v>3366.5189857835503</v>
      </c>
      <c r="E93" s="172">
        <f t="shared" si="6"/>
        <v>1216.7023703461709</v>
      </c>
      <c r="F93" s="172">
        <f t="shared" si="7"/>
        <v>145884.19626589079</v>
      </c>
      <c r="G93" s="167"/>
      <c r="H93" s="171"/>
      <c r="I93" s="171"/>
      <c r="J93" s="171"/>
      <c r="K93" s="171"/>
    </row>
    <row r="94" spans="2:11" x14ac:dyDescent="0.2">
      <c r="B94" s="296">
        <v>84</v>
      </c>
      <c r="C94" s="172">
        <f t="shared" si="4"/>
        <v>4583.2213561297212</v>
      </c>
      <c r="D94" s="172">
        <f t="shared" si="5"/>
        <v>3393.9630862886047</v>
      </c>
      <c r="E94" s="172">
        <f t="shared" si="6"/>
        <v>1189.2582698411165</v>
      </c>
      <c r="F94" s="172">
        <f t="shared" si="7"/>
        <v>142490.23317960219</v>
      </c>
      <c r="G94" s="167"/>
      <c r="H94" s="171">
        <f>SUM(C83:C94)</f>
        <v>54998.656273556669</v>
      </c>
      <c r="I94" s="171">
        <f>SUM(D83:D94)</f>
        <v>38964.19130634766</v>
      </c>
      <c r="J94" s="171">
        <f>SUM(E83:E94)</f>
        <v>16034.464967208994</v>
      </c>
      <c r="K94" s="171">
        <f>+F94</f>
        <v>142490.23317960219</v>
      </c>
    </row>
    <row r="95" spans="2:11" hidden="1" x14ac:dyDescent="0.2">
      <c r="B95" s="296">
        <v>85</v>
      </c>
      <c r="C95" s="172">
        <f t="shared" si="4"/>
        <v>4583.2213561297212</v>
      </c>
      <c r="D95" s="172">
        <f t="shared" si="5"/>
        <v>3421.6309130389923</v>
      </c>
      <c r="E95" s="172">
        <f t="shared" si="6"/>
        <v>1161.590443090729</v>
      </c>
      <c r="F95" s="172">
        <f t="shared" si="7"/>
        <v>139068.60226656319</v>
      </c>
      <c r="G95" s="167"/>
      <c r="H95" s="171"/>
      <c r="I95" s="171"/>
      <c r="J95" s="171"/>
      <c r="K95" s="171"/>
    </row>
    <row r="96" spans="2:11" hidden="1" x14ac:dyDescent="0.2">
      <c r="B96" s="296">
        <v>86</v>
      </c>
      <c r="C96" s="172">
        <f t="shared" si="4"/>
        <v>4583.2213561297212</v>
      </c>
      <c r="D96" s="172">
        <f t="shared" si="5"/>
        <v>3449.5242898668639</v>
      </c>
      <c r="E96" s="172">
        <f t="shared" si="6"/>
        <v>1133.6970662628576</v>
      </c>
      <c r="F96" s="172">
        <f t="shared" si="7"/>
        <v>135619.07797669634</v>
      </c>
      <c r="G96" s="167"/>
      <c r="H96" s="171"/>
      <c r="I96" s="171"/>
      <c r="J96" s="171"/>
      <c r="K96" s="171"/>
    </row>
    <row r="97" spans="2:11" hidden="1" x14ac:dyDescent="0.2">
      <c r="B97" s="296">
        <v>87</v>
      </c>
      <c r="C97" s="172">
        <f t="shared" si="4"/>
        <v>4583.2213561297212</v>
      </c>
      <c r="D97" s="172">
        <f t="shared" si="5"/>
        <v>3477.6450554723779</v>
      </c>
      <c r="E97" s="172">
        <f t="shared" si="6"/>
        <v>1105.5763006573434</v>
      </c>
      <c r="F97" s="172">
        <f t="shared" si="7"/>
        <v>132141.43292122395</v>
      </c>
      <c r="G97" s="167"/>
      <c r="H97" s="171"/>
      <c r="I97" s="171"/>
      <c r="J97" s="171"/>
      <c r="K97" s="171"/>
    </row>
    <row r="98" spans="2:11" hidden="1" x14ac:dyDescent="0.2">
      <c r="B98" s="296">
        <v>88</v>
      </c>
      <c r="C98" s="172">
        <f t="shared" si="4"/>
        <v>4583.2213561297212</v>
      </c>
      <c r="D98" s="172">
        <f t="shared" si="5"/>
        <v>3505.9950635449081</v>
      </c>
      <c r="E98" s="172">
        <f t="shared" si="6"/>
        <v>1077.2262925848131</v>
      </c>
      <c r="F98" s="172">
        <f t="shared" si="7"/>
        <v>128635.43785767905</v>
      </c>
      <c r="G98" s="167"/>
      <c r="H98" s="171"/>
      <c r="I98" s="171"/>
      <c r="J98" s="171"/>
      <c r="K98" s="171"/>
    </row>
    <row r="99" spans="2:11" hidden="1" x14ac:dyDescent="0.2">
      <c r="B99" s="296">
        <v>89</v>
      </c>
      <c r="C99" s="172">
        <f t="shared" si="4"/>
        <v>4583.2213561297212</v>
      </c>
      <c r="D99" s="172">
        <f t="shared" si="5"/>
        <v>3534.5761828852337</v>
      </c>
      <c r="E99" s="172">
        <f t="shared" si="6"/>
        <v>1048.6451732444875</v>
      </c>
      <c r="F99" s="172">
        <f t="shared" si="7"/>
        <v>125100.86167479382</v>
      </c>
      <c r="G99" s="167"/>
      <c r="H99" s="171"/>
      <c r="I99" s="171"/>
      <c r="J99" s="171"/>
      <c r="K99" s="171"/>
    </row>
    <row r="100" spans="2:11" hidden="1" x14ac:dyDescent="0.2">
      <c r="B100" s="296">
        <v>90</v>
      </c>
      <c r="C100" s="172">
        <f t="shared" si="4"/>
        <v>4583.2213561297212</v>
      </c>
      <c r="D100" s="172">
        <f t="shared" si="5"/>
        <v>3563.3902975287301</v>
      </c>
      <c r="E100" s="172">
        <f t="shared" si="6"/>
        <v>1019.831058600991</v>
      </c>
      <c r="F100" s="172">
        <f t="shared" si="7"/>
        <v>121537.47137726509</v>
      </c>
      <c r="G100" s="167"/>
      <c r="H100" s="171"/>
      <c r="I100" s="171"/>
      <c r="J100" s="171"/>
      <c r="K100" s="171"/>
    </row>
    <row r="101" spans="2:11" hidden="1" x14ac:dyDescent="0.2">
      <c r="B101" s="296">
        <v>91</v>
      </c>
      <c r="C101" s="172">
        <f t="shared" si="4"/>
        <v>4583.2213561297212</v>
      </c>
      <c r="D101" s="172">
        <f t="shared" si="5"/>
        <v>3592.4393068695622</v>
      </c>
      <c r="E101" s="172">
        <f t="shared" si="6"/>
        <v>990.78204926015894</v>
      </c>
      <c r="F101" s="172">
        <f t="shared" si="7"/>
        <v>117945.03207039552</v>
      </c>
      <c r="G101" s="167"/>
      <c r="H101" s="171"/>
      <c r="I101" s="171"/>
      <c r="J101" s="171"/>
      <c r="K101" s="171"/>
    </row>
    <row r="102" spans="2:11" hidden="1" x14ac:dyDescent="0.2">
      <c r="B102" s="296">
        <v>92</v>
      </c>
      <c r="C102" s="172">
        <f t="shared" si="4"/>
        <v>4583.2213561297212</v>
      </c>
      <c r="D102" s="172">
        <f t="shared" si="5"/>
        <v>3621.7251257858902</v>
      </c>
      <c r="E102" s="172">
        <f t="shared" si="6"/>
        <v>961.49623034383103</v>
      </c>
      <c r="F102" s="172">
        <f t="shared" si="7"/>
        <v>114323.30694460963</v>
      </c>
      <c r="G102" s="167"/>
      <c r="H102" s="171"/>
      <c r="I102" s="171"/>
      <c r="J102" s="171"/>
      <c r="K102" s="171"/>
    </row>
    <row r="103" spans="2:11" hidden="1" x14ac:dyDescent="0.2">
      <c r="B103" s="296">
        <v>93</v>
      </c>
      <c r="C103" s="172">
        <f t="shared" si="4"/>
        <v>4583.2213561297212</v>
      </c>
      <c r="D103" s="172">
        <f t="shared" si="5"/>
        <v>3651.2496847660959</v>
      </c>
      <c r="E103" s="172">
        <f t="shared" si="6"/>
        <v>931.97167136362521</v>
      </c>
      <c r="F103" s="172">
        <f t="shared" si="7"/>
        <v>110672.05725984354</v>
      </c>
      <c r="G103" s="167"/>
      <c r="H103" s="171"/>
      <c r="I103" s="171"/>
      <c r="J103" s="171"/>
      <c r="K103" s="171"/>
    </row>
    <row r="104" spans="2:11" hidden="1" x14ac:dyDescent="0.2">
      <c r="B104" s="296">
        <v>94</v>
      </c>
      <c r="C104" s="172">
        <f t="shared" si="4"/>
        <v>4583.2213561297212</v>
      </c>
      <c r="D104" s="172">
        <f t="shared" si="5"/>
        <v>3681.0149300360399</v>
      </c>
      <c r="E104" s="172">
        <f t="shared" si="6"/>
        <v>902.20642609368144</v>
      </c>
      <c r="F104" s="172">
        <f t="shared" si="7"/>
        <v>106991.0423298075</v>
      </c>
      <c r="G104" s="167"/>
      <c r="H104" s="171"/>
      <c r="I104" s="171"/>
      <c r="J104" s="171"/>
      <c r="K104" s="171"/>
    </row>
    <row r="105" spans="2:11" hidden="1" x14ac:dyDescent="0.2">
      <c r="B105" s="296">
        <v>95</v>
      </c>
      <c r="C105" s="172">
        <f t="shared" si="4"/>
        <v>4583.2213561297212</v>
      </c>
      <c r="D105" s="172">
        <f t="shared" si="5"/>
        <v>3711.0228236873518</v>
      </c>
      <c r="E105" s="172">
        <f t="shared" si="6"/>
        <v>872.19853244236947</v>
      </c>
      <c r="F105" s="172">
        <f t="shared" si="7"/>
        <v>103280.01950612015</v>
      </c>
      <c r="G105" s="167"/>
      <c r="H105" s="171"/>
      <c r="I105" s="171"/>
      <c r="J105" s="171"/>
      <c r="K105" s="171"/>
    </row>
    <row r="106" spans="2:11" x14ac:dyDescent="0.2">
      <c r="B106" s="296">
        <v>96</v>
      </c>
      <c r="C106" s="172">
        <f t="shared" si="4"/>
        <v>4583.2213561297212</v>
      </c>
      <c r="D106" s="172">
        <f t="shared" si="5"/>
        <v>3741.2753438067721</v>
      </c>
      <c r="E106" s="172">
        <f t="shared" si="6"/>
        <v>841.94601232294917</v>
      </c>
      <c r="F106" s="172">
        <f t="shared" si="7"/>
        <v>99538.744162313378</v>
      </c>
      <c r="G106" s="167"/>
      <c r="H106" s="171">
        <f>SUM(C95:C106)</f>
        <v>54998.656273556669</v>
      </c>
      <c r="I106" s="171">
        <f>SUM(D95:D106)</f>
        <v>42951.489017288819</v>
      </c>
      <c r="J106" s="171">
        <f>SUM(E95:E106)</f>
        <v>12047.167256267836</v>
      </c>
      <c r="K106" s="171">
        <f>+F106</f>
        <v>99538.744162313378</v>
      </c>
    </row>
    <row r="107" spans="2:11" hidden="1" x14ac:dyDescent="0.2">
      <c r="B107" s="296">
        <v>97</v>
      </c>
      <c r="C107" s="172">
        <f t="shared" si="4"/>
        <v>4583.2213561297212</v>
      </c>
      <c r="D107" s="172">
        <f t="shared" si="5"/>
        <v>3771.7744846065434</v>
      </c>
      <c r="E107" s="172">
        <f t="shared" si="6"/>
        <v>811.44687152317795</v>
      </c>
      <c r="F107" s="172">
        <f t="shared" si="7"/>
        <v>95766.969677706831</v>
      </c>
      <c r="G107" s="167"/>
      <c r="H107" s="171"/>
      <c r="I107" s="171"/>
      <c r="J107" s="171"/>
      <c r="K107" s="171"/>
    </row>
    <row r="108" spans="2:11" hidden="1" x14ac:dyDescent="0.2">
      <c r="B108" s="296">
        <v>98</v>
      </c>
      <c r="C108" s="172">
        <f t="shared" si="4"/>
        <v>4583.2213561297212</v>
      </c>
      <c r="D108" s="172">
        <f t="shared" si="5"/>
        <v>3802.5222565558674</v>
      </c>
      <c r="E108" s="172">
        <f t="shared" si="6"/>
        <v>780.6990995738538</v>
      </c>
      <c r="F108" s="172">
        <f t="shared" si="7"/>
        <v>91964.447421150966</v>
      </c>
      <c r="G108" s="167"/>
      <c r="H108" s="171"/>
      <c r="I108" s="171"/>
      <c r="J108" s="171"/>
      <c r="K108" s="171"/>
    </row>
    <row r="109" spans="2:11" hidden="1" x14ac:dyDescent="0.2">
      <c r="B109" s="296">
        <v>99</v>
      </c>
      <c r="C109" s="172">
        <f t="shared" si="4"/>
        <v>4583.2213561297212</v>
      </c>
      <c r="D109" s="172">
        <f t="shared" si="5"/>
        <v>3833.5206865134332</v>
      </c>
      <c r="E109" s="172">
        <f t="shared" si="6"/>
        <v>749.70066961628822</v>
      </c>
      <c r="F109" s="172">
        <f t="shared" si="7"/>
        <v>88130.926734637527</v>
      </c>
      <c r="G109" s="167"/>
      <c r="H109" s="171"/>
      <c r="I109" s="171"/>
      <c r="J109" s="171"/>
      <c r="K109" s="171"/>
    </row>
    <row r="110" spans="2:11" hidden="1" x14ac:dyDescent="0.2">
      <c r="B110" s="296">
        <v>100</v>
      </c>
      <c r="C110" s="172">
        <f t="shared" si="4"/>
        <v>4583.2213561297212</v>
      </c>
      <c r="D110" s="172">
        <f t="shared" si="5"/>
        <v>3864.7718178610239</v>
      </c>
      <c r="E110" s="172">
        <f t="shared" si="6"/>
        <v>718.44953826869721</v>
      </c>
      <c r="F110" s="172">
        <f t="shared" si="7"/>
        <v>84266.154916776504</v>
      </c>
      <c r="G110" s="167"/>
      <c r="H110" s="171"/>
      <c r="I110" s="171"/>
      <c r="J110" s="171"/>
      <c r="K110" s="171"/>
    </row>
    <row r="111" spans="2:11" hidden="1" x14ac:dyDescent="0.2">
      <c r="B111" s="296">
        <v>101</v>
      </c>
      <c r="C111" s="172">
        <f t="shared" si="4"/>
        <v>4583.2213561297212</v>
      </c>
      <c r="D111" s="172">
        <f t="shared" si="5"/>
        <v>3896.2777106382168</v>
      </c>
      <c r="E111" s="172">
        <f t="shared" si="6"/>
        <v>686.9436454915043</v>
      </c>
      <c r="F111" s="172">
        <f t="shared" si="7"/>
        <v>80369.877206138292</v>
      </c>
      <c r="G111" s="167"/>
      <c r="H111" s="171"/>
      <c r="I111" s="171"/>
      <c r="J111" s="171"/>
      <c r="K111" s="171"/>
    </row>
    <row r="112" spans="2:11" hidden="1" x14ac:dyDescent="0.2">
      <c r="B112" s="296">
        <v>102</v>
      </c>
      <c r="C112" s="172">
        <f t="shared" si="4"/>
        <v>4583.2213561297212</v>
      </c>
      <c r="D112" s="172">
        <f t="shared" si="5"/>
        <v>3928.0404416781762</v>
      </c>
      <c r="E112" s="172">
        <f t="shared" si="6"/>
        <v>655.18091445154516</v>
      </c>
      <c r="F112" s="172">
        <f t="shared" si="7"/>
        <v>76441.836764460109</v>
      </c>
      <c r="G112" s="167"/>
      <c r="H112" s="171"/>
      <c r="I112" s="171"/>
      <c r="J112" s="171"/>
      <c r="K112" s="171"/>
    </row>
    <row r="113" spans="2:11" hidden="1" x14ac:dyDescent="0.2">
      <c r="B113" s="296">
        <v>103</v>
      </c>
      <c r="C113" s="172">
        <f t="shared" si="4"/>
        <v>4583.2213561297212</v>
      </c>
      <c r="D113" s="172">
        <f t="shared" si="5"/>
        <v>3960.062104744557</v>
      </c>
      <c r="E113" s="172">
        <f t="shared" si="6"/>
        <v>623.15925138516434</v>
      </c>
      <c r="F113" s="172">
        <f t="shared" si="7"/>
        <v>72481.774659715549</v>
      </c>
      <c r="G113" s="167"/>
      <c r="H113" s="171"/>
      <c r="I113" s="171"/>
      <c r="J113" s="171"/>
      <c r="K113" s="171"/>
    </row>
    <row r="114" spans="2:11" hidden="1" x14ac:dyDescent="0.2">
      <c r="B114" s="296">
        <v>104</v>
      </c>
      <c r="C114" s="172">
        <f t="shared" si="4"/>
        <v>4583.2213561297212</v>
      </c>
      <c r="D114" s="172">
        <f t="shared" si="5"/>
        <v>3992.3448106695237</v>
      </c>
      <c r="E114" s="172">
        <f t="shared" si="6"/>
        <v>590.87654546019758</v>
      </c>
      <c r="F114" s="172">
        <f t="shared" si="7"/>
        <v>68489.429849046021</v>
      </c>
      <c r="G114" s="167"/>
      <c r="H114" s="171"/>
      <c r="I114" s="171"/>
      <c r="J114" s="171"/>
      <c r="K114" s="171"/>
    </row>
    <row r="115" spans="2:11" hidden="1" x14ac:dyDescent="0.2">
      <c r="B115" s="296">
        <v>105</v>
      </c>
      <c r="C115" s="172">
        <f t="shared" si="4"/>
        <v>4583.2213561297212</v>
      </c>
      <c r="D115" s="172">
        <f t="shared" si="5"/>
        <v>4024.8906874928934</v>
      </c>
      <c r="E115" s="172">
        <f t="shared" si="6"/>
        <v>558.33066863682768</v>
      </c>
      <c r="F115" s="172">
        <f t="shared" si="7"/>
        <v>64464.539161553126</v>
      </c>
      <c r="G115" s="167"/>
      <c r="H115" s="171"/>
      <c r="I115" s="171"/>
      <c r="J115" s="171"/>
      <c r="K115" s="171"/>
    </row>
    <row r="116" spans="2:11" hidden="1" x14ac:dyDescent="0.2">
      <c r="B116" s="296">
        <v>106</v>
      </c>
      <c r="C116" s="172">
        <f t="shared" si="4"/>
        <v>4583.2213561297212</v>
      </c>
      <c r="D116" s="172">
        <f t="shared" si="5"/>
        <v>4057.7018806024148</v>
      </c>
      <c r="E116" s="172">
        <f t="shared" si="6"/>
        <v>525.51947552730655</v>
      </c>
      <c r="F116" s="172">
        <f t="shared" si="7"/>
        <v>60406.837280950713</v>
      </c>
      <c r="G116" s="167"/>
      <c r="H116" s="171"/>
      <c r="I116" s="171"/>
      <c r="J116" s="171"/>
      <c r="K116" s="171"/>
    </row>
    <row r="117" spans="2:11" hidden="1" x14ac:dyDescent="0.2">
      <c r="B117" s="296">
        <v>107</v>
      </c>
      <c r="C117" s="172">
        <f t="shared" si="4"/>
        <v>4583.2213561297212</v>
      </c>
      <c r="D117" s="172">
        <f t="shared" si="5"/>
        <v>4090.7805528751874</v>
      </c>
      <c r="E117" s="172">
        <f t="shared" si="6"/>
        <v>492.44080325453371</v>
      </c>
      <c r="F117" s="172">
        <f t="shared" si="7"/>
        <v>56316.056728075528</v>
      </c>
      <c r="G117" s="167"/>
      <c r="H117" s="171"/>
      <c r="I117" s="171"/>
      <c r="J117" s="171"/>
      <c r="K117" s="171"/>
    </row>
    <row r="118" spans="2:11" x14ac:dyDescent="0.2">
      <c r="B118" s="296">
        <v>108</v>
      </c>
      <c r="C118" s="172">
        <f t="shared" si="4"/>
        <v>4583.2213561297212</v>
      </c>
      <c r="D118" s="172">
        <f t="shared" si="5"/>
        <v>4124.1288848202394</v>
      </c>
      <c r="E118" s="172">
        <f t="shared" si="6"/>
        <v>459.09247130948177</v>
      </c>
      <c r="F118" s="172">
        <f t="shared" si="7"/>
        <v>52191.927843255289</v>
      </c>
      <c r="G118" s="167"/>
      <c r="H118" s="171">
        <f>SUM(C107:C118)</f>
        <v>54998.656273556669</v>
      </c>
      <c r="I118" s="171">
        <f>SUM(D107:D118)</f>
        <v>47346.816319058067</v>
      </c>
      <c r="J118" s="171">
        <f>SUM(E107:E118)</f>
        <v>7651.8399544985787</v>
      </c>
      <c r="K118" s="171">
        <f>+F118</f>
        <v>52191.927843255289</v>
      </c>
    </row>
    <row r="119" spans="2:11" hidden="1" x14ac:dyDescent="0.2">
      <c r="B119" s="296">
        <v>109</v>
      </c>
      <c r="C119" s="172">
        <f t="shared" si="4"/>
        <v>4583.2213561297212</v>
      </c>
      <c r="D119" s="172">
        <f t="shared" si="5"/>
        <v>4157.7490747222619</v>
      </c>
      <c r="E119" s="172">
        <f t="shared" si="6"/>
        <v>425.47228140745983</v>
      </c>
      <c r="F119" s="172">
        <f t="shared" si="7"/>
        <v>48034.178768533027</v>
      </c>
      <c r="G119" s="167"/>
      <c r="H119" s="171"/>
      <c r="I119" s="171"/>
      <c r="J119" s="171"/>
      <c r="K119" s="171"/>
    </row>
    <row r="120" spans="2:11" hidden="1" x14ac:dyDescent="0.2">
      <c r="B120" s="296">
        <v>110</v>
      </c>
      <c r="C120" s="172">
        <f t="shared" si="4"/>
        <v>4583.2213561297212</v>
      </c>
      <c r="D120" s="172">
        <f t="shared" si="5"/>
        <v>4191.6433387865163</v>
      </c>
      <c r="E120" s="172">
        <f t="shared" si="6"/>
        <v>391.57801734320486</v>
      </c>
      <c r="F120" s="172">
        <f t="shared" si="7"/>
        <v>43842.535429746509</v>
      </c>
      <c r="G120" s="167"/>
      <c r="H120" s="171"/>
      <c r="I120" s="171"/>
      <c r="J120" s="171"/>
      <c r="K120" s="171"/>
    </row>
    <row r="121" spans="2:11" hidden="1" x14ac:dyDescent="0.2">
      <c r="B121" s="296">
        <v>111</v>
      </c>
      <c r="C121" s="172">
        <f t="shared" si="4"/>
        <v>4583.2213561297212</v>
      </c>
      <c r="D121" s="172">
        <f t="shared" si="5"/>
        <v>4225.8139112849294</v>
      </c>
      <c r="E121" s="172">
        <f t="shared" si="6"/>
        <v>357.40744484479211</v>
      </c>
      <c r="F121" s="172">
        <f t="shared" si="7"/>
        <v>39616.721518461578</v>
      </c>
      <c r="G121" s="167"/>
      <c r="H121" s="171"/>
      <c r="I121" s="171"/>
      <c r="J121" s="171"/>
      <c r="K121" s="171"/>
    </row>
    <row r="122" spans="2:11" hidden="1" x14ac:dyDescent="0.2">
      <c r="B122" s="296">
        <v>112</v>
      </c>
      <c r="C122" s="172">
        <f t="shared" si="4"/>
        <v>4583.2213561297212</v>
      </c>
      <c r="D122" s="172">
        <f t="shared" si="5"/>
        <v>4260.2630447033671</v>
      </c>
      <c r="E122" s="172">
        <f t="shared" si="6"/>
        <v>322.95831142635427</v>
      </c>
      <c r="F122" s="172">
        <f t="shared" si="7"/>
        <v>35356.458473758212</v>
      </c>
      <c r="G122" s="167"/>
      <c r="H122" s="171"/>
      <c r="I122" s="171"/>
      <c r="J122" s="171"/>
      <c r="K122" s="171"/>
    </row>
    <row r="123" spans="2:11" hidden="1" x14ac:dyDescent="0.2">
      <c r="B123" s="296">
        <v>113</v>
      </c>
      <c r="C123" s="172">
        <f t="shared" si="4"/>
        <v>4583.2213561297212</v>
      </c>
      <c r="D123" s="172">
        <f t="shared" si="5"/>
        <v>4294.9930098901214</v>
      </c>
      <c r="E123" s="172">
        <f t="shared" si="6"/>
        <v>288.22834623960028</v>
      </c>
      <c r="F123" s="172">
        <f t="shared" si="7"/>
        <v>31061.465463868091</v>
      </c>
      <c r="G123" s="167"/>
      <c r="H123" s="171"/>
      <c r="I123" s="171"/>
      <c r="J123" s="171"/>
      <c r="K123" s="171"/>
    </row>
    <row r="124" spans="2:11" hidden="1" x14ac:dyDescent="0.2">
      <c r="B124" s="296">
        <v>114</v>
      </c>
      <c r="C124" s="172">
        <f t="shared" si="4"/>
        <v>4583.2213561297212</v>
      </c>
      <c r="D124" s="172">
        <f t="shared" si="5"/>
        <v>4330.0060962055977</v>
      </c>
      <c r="E124" s="172">
        <f t="shared" si="6"/>
        <v>253.21525992412336</v>
      </c>
      <c r="F124" s="172">
        <f t="shared" si="7"/>
        <v>26731.459367662494</v>
      </c>
      <c r="G124" s="167"/>
      <c r="H124" s="171"/>
      <c r="I124" s="171"/>
      <c r="J124" s="171"/>
      <c r="K124" s="171"/>
    </row>
    <row r="125" spans="2:11" hidden="1" x14ac:dyDescent="0.2">
      <c r="B125" s="296">
        <v>115</v>
      </c>
      <c r="C125" s="172">
        <f t="shared" si="4"/>
        <v>4583.2213561297212</v>
      </c>
      <c r="D125" s="172">
        <f t="shared" si="5"/>
        <v>4365.3046116732321</v>
      </c>
      <c r="E125" s="172">
        <f t="shared" si="6"/>
        <v>217.91674445648897</v>
      </c>
      <c r="F125" s="172">
        <f t="shared" si="7"/>
        <v>22366.154755989261</v>
      </c>
      <c r="G125" s="167"/>
      <c r="H125" s="171"/>
      <c r="I125" s="171"/>
      <c r="J125" s="171"/>
      <c r="K125" s="171"/>
    </row>
    <row r="126" spans="2:11" hidden="1" x14ac:dyDescent="0.2">
      <c r="B126" s="296">
        <v>116</v>
      </c>
      <c r="C126" s="172">
        <f t="shared" si="4"/>
        <v>4583.2213561297212</v>
      </c>
      <c r="D126" s="172">
        <f t="shared" si="5"/>
        <v>4400.8908831316285</v>
      </c>
      <c r="E126" s="172">
        <f t="shared" si="6"/>
        <v>182.33047299809266</v>
      </c>
      <c r="F126" s="172">
        <f t="shared" si="7"/>
        <v>17965.263872857631</v>
      </c>
      <c r="G126" s="167"/>
      <c r="H126" s="171"/>
      <c r="I126" s="171"/>
      <c r="J126" s="171"/>
      <c r="K126" s="171"/>
    </row>
    <row r="127" spans="2:11" hidden="1" x14ac:dyDescent="0.2">
      <c r="B127" s="296">
        <v>117</v>
      </c>
      <c r="C127" s="172">
        <f t="shared" si="4"/>
        <v>4583.2213561297212</v>
      </c>
      <c r="D127" s="172">
        <f t="shared" si="5"/>
        <v>4436.7672563879441</v>
      </c>
      <c r="E127" s="172">
        <f t="shared" si="6"/>
        <v>146.4540997417773</v>
      </c>
      <c r="F127" s="172">
        <f t="shared" si="7"/>
        <v>13528.496616469687</v>
      </c>
      <c r="G127" s="167"/>
      <c r="H127" s="171"/>
      <c r="I127" s="171"/>
      <c r="J127" s="171"/>
      <c r="K127" s="171"/>
    </row>
    <row r="128" spans="2:11" hidden="1" x14ac:dyDescent="0.2">
      <c r="B128" s="296">
        <v>118</v>
      </c>
      <c r="C128" s="172">
        <f t="shared" si="4"/>
        <v>4583.2213561297212</v>
      </c>
      <c r="D128" s="172">
        <f t="shared" si="5"/>
        <v>4472.9360963725212</v>
      </c>
      <c r="E128" s="172">
        <f t="shared" si="6"/>
        <v>110.28525975720019</v>
      </c>
      <c r="F128" s="172">
        <f t="shared" si="7"/>
        <v>9055.5605200971659</v>
      </c>
      <c r="G128" s="167"/>
      <c r="H128" s="171"/>
      <c r="I128" s="171"/>
      <c r="J128" s="171"/>
      <c r="K128" s="171"/>
    </row>
    <row r="129" spans="2:13" hidden="1" x14ac:dyDescent="0.2">
      <c r="B129" s="296">
        <v>119</v>
      </c>
      <c r="C129" s="172">
        <f t="shared" si="4"/>
        <v>4583.2213561297212</v>
      </c>
      <c r="D129" s="172">
        <f t="shared" si="5"/>
        <v>4509.3997872947821</v>
      </c>
      <c r="E129" s="172">
        <f t="shared" si="6"/>
        <v>73.82156883493947</v>
      </c>
      <c r="F129" s="172">
        <f t="shared" si="7"/>
        <v>4546.1607328023838</v>
      </c>
      <c r="G129" s="167"/>
      <c r="H129" s="171"/>
      <c r="I129" s="171"/>
      <c r="J129" s="171"/>
      <c r="K129" s="171"/>
    </row>
    <row r="130" spans="2:13" x14ac:dyDescent="0.2">
      <c r="B130" s="296">
        <v>120</v>
      </c>
      <c r="C130" s="172">
        <f t="shared" si="4"/>
        <v>4583.2213561297212</v>
      </c>
      <c r="D130" s="172">
        <f t="shared" si="5"/>
        <v>4546.1607328003911</v>
      </c>
      <c r="E130" s="172">
        <f t="shared" si="6"/>
        <v>37.060623329329708</v>
      </c>
      <c r="F130" s="172">
        <f t="shared" si="7"/>
        <v>1.9927028915844858E-9</v>
      </c>
      <c r="G130" s="167"/>
      <c r="H130" s="171">
        <f>SUM(C119:C130)</f>
        <v>54998.656273556669</v>
      </c>
      <c r="I130" s="171">
        <f>SUM(D119:D130)</f>
        <v>52191.927843253288</v>
      </c>
      <c r="J130" s="171">
        <f>SUM(E119:E130)</f>
        <v>2806.728430303363</v>
      </c>
      <c r="K130" s="171">
        <f>+F130</f>
        <v>1.9927028915844858E-9</v>
      </c>
    </row>
    <row r="131" spans="2:13" x14ac:dyDescent="0.2">
      <c r="B131" s="170"/>
      <c r="C131" s="172">
        <f>SUM(C11:C130)</f>
        <v>549986.56273556745</v>
      </c>
      <c r="D131" s="172">
        <f>SUM(D11:D130)</f>
        <v>349999.9999999982</v>
      </c>
      <c r="E131" s="172">
        <f>SUM(E11:E130)</f>
        <v>199986.56273556856</v>
      </c>
      <c r="F131" s="170"/>
      <c r="G131" s="167"/>
      <c r="H131" s="171">
        <f>SUM(H22:H130)</f>
        <v>549986.56273556652</v>
      </c>
      <c r="I131" s="171">
        <f t="shared" ref="I131:J131" si="8">SUM(I22:I130)</f>
        <v>349999.99999999808</v>
      </c>
      <c r="J131" s="171">
        <f t="shared" si="8"/>
        <v>199986.5627355685</v>
      </c>
      <c r="K131" s="171"/>
    </row>
    <row r="135" spans="2:13" x14ac:dyDescent="0.2">
      <c r="B135" s="168" t="s">
        <v>249</v>
      </c>
      <c r="C135" s="168">
        <v>0</v>
      </c>
      <c r="D135" s="168">
        <v>1</v>
      </c>
      <c r="E135" s="168">
        <v>2</v>
      </c>
      <c r="F135" s="168">
        <v>3</v>
      </c>
      <c r="G135" s="174">
        <v>4</v>
      </c>
      <c r="H135" s="168">
        <v>5</v>
      </c>
      <c r="I135" s="168">
        <v>6</v>
      </c>
      <c r="J135" s="168">
        <v>7</v>
      </c>
      <c r="K135" s="168">
        <v>8</v>
      </c>
      <c r="L135" s="175">
        <v>9</v>
      </c>
      <c r="M135" s="168">
        <v>10</v>
      </c>
    </row>
    <row r="136" spans="2:13" x14ac:dyDescent="0.2">
      <c r="B136" s="176" t="s">
        <v>248</v>
      </c>
      <c r="C136" s="170"/>
      <c r="D136" s="172">
        <f t="shared" ref="D136:M136" si="9">+$H$22</f>
        <v>54998.656273556669</v>
      </c>
      <c r="E136" s="172">
        <f t="shared" si="9"/>
        <v>54998.656273556669</v>
      </c>
      <c r="F136" s="172">
        <f t="shared" si="9"/>
        <v>54998.656273556669</v>
      </c>
      <c r="G136" s="177">
        <f t="shared" si="9"/>
        <v>54998.656273556669</v>
      </c>
      <c r="H136" s="172">
        <f t="shared" si="9"/>
        <v>54998.656273556669</v>
      </c>
      <c r="I136" s="172">
        <f t="shared" si="9"/>
        <v>54998.656273556669</v>
      </c>
      <c r="J136" s="172">
        <f t="shared" si="9"/>
        <v>54998.656273556669</v>
      </c>
      <c r="K136" s="172">
        <f t="shared" si="9"/>
        <v>54998.656273556669</v>
      </c>
      <c r="L136" s="178">
        <f t="shared" si="9"/>
        <v>54998.656273556669</v>
      </c>
      <c r="M136" s="172">
        <f t="shared" si="9"/>
        <v>54998.656273556669</v>
      </c>
    </row>
    <row r="137" spans="2:13" x14ac:dyDescent="0.2">
      <c r="B137" s="176" t="s">
        <v>247</v>
      </c>
      <c r="C137" s="170"/>
      <c r="D137" s="172">
        <f>+I22</f>
        <v>21716.524540915492</v>
      </c>
      <c r="E137" s="172">
        <f>+I34</f>
        <v>23938.827781108328</v>
      </c>
      <c r="F137" s="172">
        <f>+I46</f>
        <v>26388.544559874834</v>
      </c>
      <c r="G137" s="177">
        <f>+I58</f>
        <v>29088.946641657974</v>
      </c>
      <c r="H137" s="172">
        <f>+I70</f>
        <v>32065.687245512807</v>
      </c>
      <c r="I137" s="172">
        <f>+I82</f>
        <v>35347.044744980776</v>
      </c>
      <c r="J137" s="172">
        <f>+I94</f>
        <v>38964.19130634766</v>
      </c>
      <c r="K137" s="172">
        <f>+I106</f>
        <v>42951.489017288819</v>
      </c>
      <c r="L137" s="178">
        <f>+I118</f>
        <v>47346.816319058067</v>
      </c>
      <c r="M137" s="172">
        <f>+I130</f>
        <v>52191.927843253288</v>
      </c>
    </row>
    <row r="138" spans="2:13" x14ac:dyDescent="0.2">
      <c r="B138" s="176" t="s">
        <v>246</v>
      </c>
      <c r="C138" s="170"/>
      <c r="D138" s="172">
        <f t="shared" ref="D138:M138" si="10">+D136-D137</f>
        <v>33282.131732641181</v>
      </c>
      <c r="E138" s="172">
        <f t="shared" si="10"/>
        <v>31059.828492448341</v>
      </c>
      <c r="F138" s="172">
        <f t="shared" si="10"/>
        <v>28610.111713681836</v>
      </c>
      <c r="G138" s="177">
        <f t="shared" si="10"/>
        <v>25909.709631898695</v>
      </c>
      <c r="H138" s="172">
        <f t="shared" si="10"/>
        <v>22932.969028043863</v>
      </c>
      <c r="I138" s="172">
        <f t="shared" si="10"/>
        <v>19651.611528575893</v>
      </c>
      <c r="J138" s="172">
        <f t="shared" si="10"/>
        <v>16034.464967209009</v>
      </c>
      <c r="K138" s="172">
        <f t="shared" si="10"/>
        <v>12047.16725626785</v>
      </c>
      <c r="L138" s="178">
        <f t="shared" si="10"/>
        <v>7651.8399544986023</v>
      </c>
      <c r="M138" s="172">
        <f t="shared" si="10"/>
        <v>2806.7284303033812</v>
      </c>
    </row>
    <row r="139" spans="2:13" x14ac:dyDescent="0.2">
      <c r="B139" s="176" t="s">
        <v>173</v>
      </c>
      <c r="C139" s="171">
        <f>+K10</f>
        <v>350000</v>
      </c>
      <c r="D139" s="172">
        <f t="shared" ref="D139:M139" si="11">+C139-D137</f>
        <v>328283.4754590845</v>
      </c>
      <c r="E139" s="172">
        <f t="shared" si="11"/>
        <v>304344.64767797617</v>
      </c>
      <c r="F139" s="172">
        <f t="shared" si="11"/>
        <v>277956.10311810137</v>
      </c>
      <c r="G139" s="177">
        <f t="shared" si="11"/>
        <v>248867.1564764434</v>
      </c>
      <c r="H139" s="172">
        <f t="shared" si="11"/>
        <v>216801.46923093058</v>
      </c>
      <c r="I139" s="172">
        <f t="shared" si="11"/>
        <v>181454.4244859498</v>
      </c>
      <c r="J139" s="172">
        <f t="shared" si="11"/>
        <v>142490.23317960213</v>
      </c>
      <c r="K139" s="172">
        <f t="shared" si="11"/>
        <v>99538.74416231332</v>
      </c>
      <c r="L139" s="178">
        <f t="shared" si="11"/>
        <v>52191.927843255253</v>
      </c>
      <c r="M139" s="172">
        <f t="shared" si="11"/>
        <v>1.964508555829525E-9</v>
      </c>
    </row>
  </sheetData>
  <mergeCells count="1">
    <mergeCell ref="H8:K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B601-289C-43CC-8B90-95305B5F9B9D}">
  <dimension ref="B2:J12"/>
  <sheetViews>
    <sheetView zoomScale="130" zoomScaleNormal="130" workbookViewId="0">
      <selection activeCell="F13" sqref="F13"/>
    </sheetView>
  </sheetViews>
  <sheetFormatPr baseColWidth="10" defaultRowHeight="15" x14ac:dyDescent="0.25"/>
  <cols>
    <col min="1" max="1" width="11.42578125" style="1"/>
    <col min="2" max="2" width="12.42578125" style="1" customWidth="1"/>
    <col min="3" max="4" width="11.42578125" style="1"/>
    <col min="5" max="5" width="11.42578125" style="1" customWidth="1"/>
    <col min="6" max="7" width="11.42578125" style="1"/>
    <col min="8" max="8" width="16" style="1" customWidth="1"/>
    <col min="9" max="9" width="3.28515625" style="1" customWidth="1"/>
    <col min="10" max="10" width="16.140625" style="1" customWidth="1"/>
    <col min="11" max="16384" width="11.42578125" style="1"/>
  </cols>
  <sheetData>
    <row r="2" spans="2:10" x14ac:dyDescent="0.25">
      <c r="B2" s="179" t="s">
        <v>300</v>
      </c>
    </row>
    <row r="4" spans="2:10" x14ac:dyDescent="0.25">
      <c r="B4" s="394" t="s">
        <v>304</v>
      </c>
      <c r="C4" s="394"/>
      <c r="D4" s="394"/>
      <c r="E4" s="394"/>
      <c r="F4" s="394"/>
      <c r="H4" s="180" t="s">
        <v>310</v>
      </c>
      <c r="I4" s="180"/>
    </row>
    <row r="5" spans="2:10" ht="30.75" customHeight="1" x14ac:dyDescent="0.25">
      <c r="B5" s="391" t="s">
        <v>302</v>
      </c>
      <c r="C5" s="391"/>
      <c r="D5" s="391"/>
      <c r="E5" s="392" t="s">
        <v>303</v>
      </c>
      <c r="F5" s="392"/>
    </row>
    <row r="6" spans="2:10" x14ac:dyDescent="0.25">
      <c r="B6" s="6" t="s">
        <v>301</v>
      </c>
      <c r="C6" s="6"/>
      <c r="D6" s="6"/>
      <c r="E6" s="393">
        <v>2.7</v>
      </c>
      <c r="F6" s="393"/>
    </row>
    <row r="8" spans="2:10" hidden="1" x14ac:dyDescent="0.25">
      <c r="C8" s="186"/>
      <c r="H8" s="1" t="s">
        <v>305</v>
      </c>
      <c r="I8" s="184" t="s">
        <v>313</v>
      </c>
      <c r="J8" s="183">
        <f>+C9</f>
        <v>4.9474902346926801E-2</v>
      </c>
    </row>
    <row r="9" spans="2:10" x14ac:dyDescent="0.25">
      <c r="B9" s="1" t="s">
        <v>311</v>
      </c>
      <c r="C9" s="182">
        <v>4.9474902346926801E-2</v>
      </c>
      <c r="H9" s="1" t="s">
        <v>306</v>
      </c>
      <c r="I9" s="184" t="s">
        <v>313</v>
      </c>
      <c r="J9" s="218">
        <f>+E6</f>
        <v>2.7</v>
      </c>
    </row>
    <row r="10" spans="2:10" x14ac:dyDescent="0.25">
      <c r="B10" s="1" t="s">
        <v>312</v>
      </c>
      <c r="C10" s="182">
        <v>9.5847007850265994E-2</v>
      </c>
      <c r="H10" s="1" t="s">
        <v>307</v>
      </c>
      <c r="I10" s="184" t="s">
        <v>313</v>
      </c>
      <c r="J10" s="185">
        <f>+(C10-C9)</f>
        <v>4.6372105503339194E-2</v>
      </c>
    </row>
    <row r="11" spans="2:10" x14ac:dyDescent="0.25">
      <c r="H11" s="1" t="s">
        <v>308</v>
      </c>
      <c r="I11" s="184" t="s">
        <v>313</v>
      </c>
      <c r="J11" s="185">
        <v>1.7399999999999999E-2</v>
      </c>
    </row>
    <row r="12" spans="2:10" x14ac:dyDescent="0.25">
      <c r="H12" s="39" t="s">
        <v>309</v>
      </c>
      <c r="I12" s="187" t="s">
        <v>313</v>
      </c>
      <c r="J12" s="188">
        <f>+J8+J9*J10+J11</f>
        <v>0.19207958720594265</v>
      </c>
    </row>
  </sheetData>
  <mergeCells count="4">
    <mergeCell ref="B5:D5"/>
    <mergeCell ref="E5:F5"/>
    <mergeCell ref="E6:F6"/>
    <mergeCell ref="B4:F4"/>
  </mergeCells>
  <hyperlinks>
    <hyperlink ref="B2" r:id="rId1" xr:uid="{0CED01F1-CF32-4092-BC18-7A269B6645EC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3C74-7C56-480E-B81F-639BAB448A75}">
  <dimension ref="B2:J21"/>
  <sheetViews>
    <sheetView topLeftCell="A10" zoomScale="130" zoomScaleNormal="130" workbookViewId="0">
      <selection activeCell="G21" sqref="G21"/>
    </sheetView>
  </sheetViews>
  <sheetFormatPr baseColWidth="10" defaultRowHeight="15" x14ac:dyDescent="0.25"/>
  <cols>
    <col min="1" max="1" width="11.42578125" style="1"/>
    <col min="2" max="2" width="18.28515625" style="1" customWidth="1"/>
    <col min="3" max="3" width="4" style="1" customWidth="1"/>
    <col min="4" max="4" width="17.28515625" style="1" customWidth="1"/>
    <col min="5" max="8" width="11.42578125" style="1"/>
    <col min="9" max="9" width="3.85546875" style="1" customWidth="1"/>
    <col min="10" max="16384" width="11.42578125" style="1"/>
  </cols>
  <sheetData>
    <row r="2" spans="2:10" x14ac:dyDescent="0.25">
      <c r="B2" s="180" t="s">
        <v>314</v>
      </c>
      <c r="H2" s="180" t="s">
        <v>315</v>
      </c>
      <c r="I2" s="180"/>
    </row>
    <row r="6" spans="2:10" x14ac:dyDescent="0.25">
      <c r="B6" s="1" t="s">
        <v>316</v>
      </c>
      <c r="C6" s="151" t="s">
        <v>313</v>
      </c>
      <c r="D6" s="9">
        <f>+Ku!C9</f>
        <v>4.9474902346926801E-2</v>
      </c>
      <c r="H6" s="1" t="s">
        <v>328</v>
      </c>
      <c r="I6" s="1" t="s">
        <v>313</v>
      </c>
      <c r="J6" s="9">
        <f>+'Inversión inicial'!H4</f>
        <v>0.62893967591702571</v>
      </c>
    </row>
    <row r="7" spans="2:10" x14ac:dyDescent="0.25">
      <c r="B7" s="1" t="s">
        <v>323</v>
      </c>
      <c r="C7" s="151" t="s">
        <v>313</v>
      </c>
      <c r="D7" s="9">
        <f>+D21</f>
        <v>3.8257303695257558</v>
      </c>
      <c r="H7" s="1" t="s">
        <v>326</v>
      </c>
      <c r="I7" s="1" t="s">
        <v>313</v>
      </c>
      <c r="J7" s="185">
        <f>+D11</f>
        <v>0.24428207466990401</v>
      </c>
    </row>
    <row r="8" spans="2:10" x14ac:dyDescent="0.25">
      <c r="B8" s="1" t="s">
        <v>324</v>
      </c>
      <c r="C8" s="151" t="s">
        <v>313</v>
      </c>
      <c r="D8" s="9">
        <f>+Ku!C10-Ku!C9</f>
        <v>4.6372105503339194E-2</v>
      </c>
      <c r="H8" s="1" t="s">
        <v>329</v>
      </c>
      <c r="I8" s="1" t="s">
        <v>313</v>
      </c>
      <c r="J8" s="9">
        <f>+'Inversión inicial'!I4</f>
        <v>0.37106032408297429</v>
      </c>
    </row>
    <row r="9" spans="2:10" x14ac:dyDescent="0.25">
      <c r="B9" s="1" t="s">
        <v>325</v>
      </c>
      <c r="C9" s="151" t="s">
        <v>313</v>
      </c>
      <c r="D9" s="9">
        <f>+Ku!J11</f>
        <v>1.7399999999999999E-2</v>
      </c>
      <c r="H9" s="1" t="s">
        <v>327</v>
      </c>
      <c r="I9" s="1" t="s">
        <v>313</v>
      </c>
      <c r="J9" s="9">
        <f>+(1+Financiamiento!C2)^12 -1</f>
        <v>0.13429999999999986</v>
      </c>
    </row>
    <row r="10" spans="2:10" x14ac:dyDescent="0.25">
      <c r="C10" s="151"/>
      <c r="D10" s="9"/>
      <c r="H10" s="1" t="s">
        <v>330</v>
      </c>
      <c r="I10" s="1" t="s">
        <v>313</v>
      </c>
      <c r="J10" s="9">
        <v>0.29330000000000001</v>
      </c>
    </row>
    <row r="11" spans="2:10" x14ac:dyDescent="0.25">
      <c r="B11" s="39" t="s">
        <v>326</v>
      </c>
      <c r="C11" s="190" t="s">
        <v>313</v>
      </c>
      <c r="D11" s="188">
        <f>+D6+D7*D8+D9</f>
        <v>0.24428207466990401</v>
      </c>
    </row>
    <row r="12" spans="2:10" x14ac:dyDescent="0.25">
      <c r="H12" s="39" t="s">
        <v>317</v>
      </c>
      <c r="I12" s="39" t="s">
        <v>313</v>
      </c>
      <c r="J12" s="188">
        <f>+J6*J7+J8*J9*(1-J10)</f>
        <v>0.1888559537324816</v>
      </c>
    </row>
    <row r="13" spans="2:10" x14ac:dyDescent="0.25">
      <c r="B13" s="180" t="s">
        <v>318</v>
      </c>
    </row>
    <row r="17" spans="2:4" x14ac:dyDescent="0.25">
      <c r="B17" s="1" t="s">
        <v>319</v>
      </c>
      <c r="C17" s="1" t="s">
        <v>313</v>
      </c>
      <c r="D17" s="186">
        <f>+Ku!E6</f>
        <v>2.7</v>
      </c>
    </row>
    <row r="18" spans="2:4" x14ac:dyDescent="0.25">
      <c r="B18" s="1" t="s">
        <v>320</v>
      </c>
      <c r="C18" s="1" t="s">
        <v>313</v>
      </c>
      <c r="D18" s="186">
        <f>+'Inversión inicial'!I4/'Inversión inicial'!H4</f>
        <v>0.58997760562958546</v>
      </c>
    </row>
    <row r="19" spans="2:4" x14ac:dyDescent="0.25">
      <c r="B19" s="1" t="s">
        <v>321</v>
      </c>
      <c r="C19" s="1" t="s">
        <v>313</v>
      </c>
      <c r="D19" s="189">
        <v>0.29330000000000001</v>
      </c>
    </row>
    <row r="21" spans="2:4" x14ac:dyDescent="0.25">
      <c r="B21" s="39" t="s">
        <v>322</v>
      </c>
      <c r="C21" s="39" t="s">
        <v>313</v>
      </c>
      <c r="D21" s="191">
        <f>+D17*(1+D18*(1-D19))</f>
        <v>3.8257303695257558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240D-2408-48B7-B544-35388FAEA22D}">
  <dimension ref="B2:N35"/>
  <sheetViews>
    <sheetView topLeftCell="A24" zoomScale="85" zoomScaleNormal="85" workbookViewId="0">
      <selection activeCell="K36" sqref="K36"/>
    </sheetView>
  </sheetViews>
  <sheetFormatPr baseColWidth="10" defaultRowHeight="15" x14ac:dyDescent="0.25"/>
  <cols>
    <col min="1" max="1" width="4" style="1" customWidth="1"/>
    <col min="2" max="2" width="28" style="1" customWidth="1"/>
    <col min="3" max="3" width="9.5703125" style="1" customWidth="1"/>
    <col min="4" max="4" width="8.85546875" style="1" customWidth="1"/>
    <col min="5" max="5" width="10.140625" style="1" customWidth="1"/>
    <col min="6" max="6" width="10.28515625" style="1" customWidth="1"/>
    <col min="7" max="7" width="9.85546875" style="1" customWidth="1"/>
    <col min="8" max="8" width="9.5703125" style="1" customWidth="1"/>
    <col min="9" max="9" width="9.7109375" style="1" customWidth="1"/>
    <col min="10" max="10" width="10" style="1" customWidth="1"/>
    <col min="11" max="12" width="9.7109375" style="1" customWidth="1"/>
    <col min="13" max="13" width="9.85546875" style="1" customWidth="1"/>
    <col min="14" max="16384" width="11.42578125" style="1"/>
  </cols>
  <sheetData>
    <row r="2" spans="2:13" x14ac:dyDescent="0.25">
      <c r="B2" s="6" t="s">
        <v>66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2:13" x14ac:dyDescent="0.25">
      <c r="B3" s="6" t="s">
        <v>331</v>
      </c>
      <c r="C3" s="34">
        <f>+'Presupuesto de ventas'!S76</f>
        <v>1288011.0847457629</v>
      </c>
      <c r="D3" s="34">
        <f>+'Presupuesto de ventas'!T76</f>
        <v>1432233.1864406778</v>
      </c>
      <c r="E3" s="34">
        <f>+'Presupuesto de ventas'!U76</f>
        <v>1532490.3694915255</v>
      </c>
      <c r="F3" s="34">
        <f>+'Presupuesto de ventas'!V76</f>
        <v>1639765.4853559323</v>
      </c>
      <c r="G3" s="34">
        <f>+'Presupuesto de ventas'!W76</f>
        <v>1754549.7893308476</v>
      </c>
      <c r="H3" s="34">
        <f>+'Presupuesto de ventas'!X76</f>
        <v>1877368.9245840071</v>
      </c>
      <c r="I3" s="34">
        <f>+'Presupuesto de ventas'!Y76</f>
        <v>2008785.3293048877</v>
      </c>
      <c r="J3" s="34">
        <f>+'Presupuesto de ventas'!Z76</f>
        <v>2149400.8123562299</v>
      </c>
      <c r="K3" s="34">
        <f>+'Presupuesto de ventas'!AA76</f>
        <v>2299859.3092211662</v>
      </c>
      <c r="L3" s="34">
        <f>+'Presupuesto de ventas'!AB76</f>
        <v>2460849.8308666479</v>
      </c>
    </row>
    <row r="4" spans="2:13" x14ac:dyDescent="0.25">
      <c r="B4" s="6" t="s">
        <v>332</v>
      </c>
      <c r="C4" s="34">
        <f>+'Costos Ventas'!C22+Gastos_Operativos!$G$26</f>
        <v>975193.10734463274</v>
      </c>
      <c r="D4" s="34">
        <f>+'Costos Ventas'!D22+Gastos_Operativos!$G$26</f>
        <v>1081311.327683616</v>
      </c>
      <c r="E4" s="34">
        <f>+'Costos Ventas'!E22+Gastos_Operativos!$G$26</f>
        <v>1154912.738700565</v>
      </c>
      <c r="F4" s="34">
        <f>+'Costos Ventas'!F22+Gastos_Operativos!$G$26</f>
        <v>1233666.2484887007</v>
      </c>
      <c r="G4" s="34">
        <f>+'Costos Ventas'!G22+Gastos_Operativos!$G$26</f>
        <v>1317932.5039620057</v>
      </c>
      <c r="H4" s="34">
        <f>+'Costos Ventas'!H22+Gastos_Operativos!$G$26</f>
        <v>1408097.3973184424</v>
      </c>
      <c r="I4" s="34">
        <f>+'Costos Ventas'!I22+Gastos_Operativos!$G$26</f>
        <v>1504573.8332098292</v>
      </c>
      <c r="J4" s="34">
        <f>+'Costos Ventas'!J22+Gastos_Operativos!$G$26</f>
        <v>1607803.6196136137</v>
      </c>
      <c r="K4" s="34">
        <f>+'Costos Ventas'!K22+Gastos_Operativos!$G$26</f>
        <v>1718259.4910656626</v>
      </c>
      <c r="L4" s="34">
        <f>+'Costos Ventas'!L22+Gastos_Operativos!$G$26</f>
        <v>1836447.2735193551</v>
      </c>
    </row>
    <row r="5" spans="2:13" x14ac:dyDescent="0.25">
      <c r="B5" s="6" t="s">
        <v>416</v>
      </c>
      <c r="C5" s="34">
        <f>+-(SUM('Inversión inicial'!F10:F25)+'Inversión inicial'!F28)*0.18</f>
        <v>-101481.19038740917</v>
      </c>
      <c r="D5" s="34">
        <f>+C6</f>
        <v>-45173.954455205741</v>
      </c>
      <c r="E5" s="34">
        <f>+D6</f>
        <v>17991.980121065397</v>
      </c>
      <c r="F5" s="34"/>
      <c r="G5" s="34"/>
      <c r="H5" s="34"/>
      <c r="I5" s="34"/>
      <c r="J5" s="34"/>
      <c r="K5" s="34"/>
      <c r="L5" s="34"/>
    </row>
    <row r="6" spans="2:13" x14ac:dyDescent="0.25">
      <c r="B6" s="6" t="s">
        <v>333</v>
      </c>
      <c r="C6" s="34">
        <f>+(C3-C4)*0.18+C5</f>
        <v>-45173.954455205741</v>
      </c>
      <c r="D6" s="34">
        <f>+(D3-D4)*0.18+D5</f>
        <v>17991.980121065397</v>
      </c>
      <c r="E6" s="34">
        <f>+(E3-E4)*0.18+E5</f>
        <v>85955.953663438282</v>
      </c>
      <c r="F6" s="34">
        <f t="shared" ref="F6:L6" si="0">+(F3-F4)*0.18+F5</f>
        <v>73097.86263610168</v>
      </c>
      <c r="G6" s="34">
        <f t="shared" si="0"/>
        <v>78591.111366391531</v>
      </c>
      <c r="H6" s="34">
        <f t="shared" si="0"/>
        <v>84468.874907801655</v>
      </c>
      <c r="I6" s="34">
        <f t="shared" si="0"/>
        <v>90758.069297110531</v>
      </c>
      <c r="J6" s="34">
        <f t="shared" si="0"/>
        <v>97487.494693670902</v>
      </c>
      <c r="K6" s="34">
        <f t="shared" si="0"/>
        <v>104687.96726799065</v>
      </c>
      <c r="L6" s="34">
        <f t="shared" si="0"/>
        <v>112392.46032251269</v>
      </c>
    </row>
    <row r="8" spans="2:13" x14ac:dyDescent="0.25">
      <c r="D8" s="302">
        <f>(D3-D4)*0.18+D5</f>
        <v>17991.980121065397</v>
      </c>
    </row>
    <row r="9" spans="2:13" x14ac:dyDescent="0.25">
      <c r="B9" s="336" t="s">
        <v>334</v>
      </c>
      <c r="C9" s="336"/>
      <c r="D9" s="336"/>
      <c r="E9" s="336"/>
      <c r="F9" s="336"/>
      <c r="G9" s="336"/>
      <c r="H9" s="336"/>
      <c r="I9" s="336"/>
      <c r="J9" s="336"/>
      <c r="K9" s="336"/>
      <c r="L9" s="336"/>
      <c r="M9" s="336"/>
    </row>
    <row r="11" spans="2:13" x14ac:dyDescent="0.25">
      <c r="B11" s="314" t="s">
        <v>66</v>
      </c>
      <c r="C11" s="314" t="s">
        <v>420</v>
      </c>
      <c r="D11" s="314" t="s">
        <v>421</v>
      </c>
      <c r="E11" s="314" t="s">
        <v>422</v>
      </c>
      <c r="F11" s="314" t="s">
        <v>423</v>
      </c>
      <c r="G11" s="314" t="s">
        <v>424</v>
      </c>
      <c r="H11" s="314" t="s">
        <v>425</v>
      </c>
      <c r="I11" s="314" t="s">
        <v>426</v>
      </c>
      <c r="J11" s="314" t="s">
        <v>427</v>
      </c>
      <c r="K11" s="314" t="s">
        <v>428</v>
      </c>
      <c r="L11" s="314" t="s">
        <v>429</v>
      </c>
      <c r="M11" s="314" t="s">
        <v>430</v>
      </c>
    </row>
    <row r="12" spans="2:13" x14ac:dyDescent="0.25">
      <c r="B12" s="305" t="s">
        <v>442</v>
      </c>
      <c r="C12" s="313">
        <f>+-'Inversión inicial'!F8</f>
        <v>-750225.06900726387</v>
      </c>
      <c r="D12" s="313"/>
      <c r="E12" s="313"/>
      <c r="F12" s="313"/>
      <c r="G12" s="313">
        <f>+-'Inversión inicial'!$F$25</f>
        <v>-2711.8644067796613</v>
      </c>
      <c r="H12" s="313"/>
      <c r="I12" s="313"/>
      <c r="J12" s="313"/>
      <c r="K12" s="313">
        <f>+-'Inversión inicial'!$F$25</f>
        <v>-2711.8644067796613</v>
      </c>
      <c r="L12" s="313"/>
      <c r="M12" s="313"/>
    </row>
    <row r="13" spans="2:13" x14ac:dyDescent="0.25">
      <c r="B13" s="305" t="s">
        <v>443</v>
      </c>
      <c r="C13" s="313">
        <f>+-'Inversión inicial'!F27</f>
        <v>-16759.322033898308</v>
      </c>
      <c r="D13" s="313"/>
      <c r="E13" s="313"/>
      <c r="F13" s="313"/>
      <c r="G13" s="313"/>
      <c r="H13" s="313"/>
      <c r="I13" s="313"/>
      <c r="J13" s="313"/>
      <c r="K13" s="313"/>
      <c r="L13" s="313"/>
      <c r="M13" s="313"/>
    </row>
    <row r="14" spans="2:13" x14ac:dyDescent="0.25">
      <c r="B14" s="305" t="s">
        <v>444</v>
      </c>
      <c r="C14" s="313">
        <f>+-Capital_Trabajo!C132</f>
        <v>-63370.572044550114</v>
      </c>
      <c r="D14" s="313">
        <f>+-Capital_Trabajo!D132</f>
        <v>-7113.6732253382143</v>
      </c>
      <c r="E14" s="313">
        <f>+-Capital_Trabajo!E132</f>
        <v>-4933.8971688921883</v>
      </c>
      <c r="F14" s="313">
        <f>+-Capital_Trabajo!F132</f>
        <v>-5279.269970714653</v>
      </c>
      <c r="G14" s="313">
        <f>+-Capital_Trabajo!G132</f>
        <v>-5648.8188686646463</v>
      </c>
      <c r="H14" s="313">
        <f>+-Capital_Trabajo!H132</f>
        <v>-6044.2361894711939</v>
      </c>
      <c r="I14" s="313">
        <f>+-Capital_Trabajo!I132</f>
        <v>-6467.3327227341797</v>
      </c>
      <c r="J14" s="313">
        <f>+-Capital_Trabajo!J132</f>
        <v>-6920.0460133255838</v>
      </c>
      <c r="K14" s="313">
        <f>+-Capital_Trabajo!K132</f>
        <v>-7404.4492342583544</v>
      </c>
      <c r="L14" s="313">
        <f>+-Capital_Trabajo!L132</f>
        <v>-7922.7606806564436</v>
      </c>
      <c r="M14" s="335">
        <f>+-Capital_Trabajo!M132</f>
        <v>0</v>
      </c>
    </row>
    <row r="15" spans="2:13" x14ac:dyDescent="0.25">
      <c r="B15" s="305" t="s">
        <v>445</v>
      </c>
      <c r="C15" s="313"/>
      <c r="D15" s="313"/>
      <c r="E15" s="313"/>
      <c r="F15" s="313"/>
      <c r="G15" s="313"/>
      <c r="H15" s="313"/>
      <c r="I15" s="313"/>
      <c r="J15" s="313"/>
      <c r="K15" s="313"/>
      <c r="L15" s="313"/>
      <c r="M15" s="313">
        <f>Capital_Trabajo!N133</f>
        <v>121105.05611860557</v>
      </c>
    </row>
    <row r="16" spans="2:13" x14ac:dyDescent="0.25">
      <c r="B16" s="305" t="s">
        <v>446</v>
      </c>
      <c r="C16" s="313"/>
      <c r="D16" s="313"/>
      <c r="E16" s="313"/>
      <c r="F16" s="313"/>
      <c r="G16" s="313"/>
      <c r="H16" s="313"/>
      <c r="I16" s="313"/>
      <c r="J16" s="313"/>
      <c r="K16" s="313"/>
      <c r="L16" s="313"/>
      <c r="M16" s="313">
        <f>'Depreciación y VR'!H24</f>
        <v>408983.05084745761</v>
      </c>
    </row>
    <row r="17" spans="2:14" x14ac:dyDescent="0.25">
      <c r="B17" s="305" t="s">
        <v>447</v>
      </c>
      <c r="C17" s="312">
        <f>SUM(C12:C16)</f>
        <v>-830354.96308571228</v>
      </c>
      <c r="D17" s="312">
        <f t="shared" ref="D17:M17" si="1">SUM(D12:D16)</f>
        <v>-7113.6732253382143</v>
      </c>
      <c r="E17" s="312">
        <f t="shared" si="1"/>
        <v>-4933.8971688921883</v>
      </c>
      <c r="F17" s="312">
        <f t="shared" si="1"/>
        <v>-5279.269970714653</v>
      </c>
      <c r="G17" s="312">
        <f t="shared" si="1"/>
        <v>-8360.6832754443076</v>
      </c>
      <c r="H17" s="312">
        <f t="shared" si="1"/>
        <v>-6044.2361894711939</v>
      </c>
      <c r="I17" s="312">
        <f t="shared" si="1"/>
        <v>-6467.3327227341797</v>
      </c>
      <c r="J17" s="312">
        <f t="shared" si="1"/>
        <v>-6920.0460133255838</v>
      </c>
      <c r="K17" s="312">
        <f t="shared" si="1"/>
        <v>-10116.313641038016</v>
      </c>
      <c r="L17" s="312">
        <f t="shared" si="1"/>
        <v>-7922.7606806564436</v>
      </c>
      <c r="M17" s="312">
        <f t="shared" si="1"/>
        <v>530088.10696606315</v>
      </c>
    </row>
    <row r="18" spans="2:14" x14ac:dyDescent="0.25">
      <c r="B18" s="305" t="s">
        <v>336</v>
      </c>
      <c r="C18" s="313"/>
      <c r="D18" s="313">
        <f>+'Presupuesto de ventas'!L125</f>
        <v>1298601.0847457629</v>
      </c>
      <c r="E18" s="313">
        <f>+'Presupuesto de ventas'!M125</f>
        <v>1443558.1864406778</v>
      </c>
      <c r="F18" s="313">
        <f>+'Presupuesto de ventas'!N125</f>
        <v>1544610.3694915255</v>
      </c>
      <c r="G18" s="313">
        <f>+'Presupuesto de ventas'!O125</f>
        <v>1652740.4853559323</v>
      </c>
      <c r="H18" s="313">
        <f>+'Presupuesto de ventas'!P125</f>
        <v>1768439.7893308476</v>
      </c>
      <c r="I18" s="313">
        <f>+'Presupuesto de ventas'!Q125</f>
        <v>1892233.9245840071</v>
      </c>
      <c r="J18" s="313">
        <f>+'Presupuesto de ventas'!R125</f>
        <v>2024685.3293048877</v>
      </c>
      <c r="K18" s="313">
        <f>+'Presupuesto de ventas'!S125</f>
        <v>2166410.8123562299</v>
      </c>
      <c r="L18" s="313">
        <f>+'Presupuesto de ventas'!T125</f>
        <v>2318054.3092211662</v>
      </c>
      <c r="M18" s="313">
        <f>+'Presupuesto de ventas'!U125</f>
        <v>2480319.8308666479</v>
      </c>
    </row>
    <row r="19" spans="2:14" x14ac:dyDescent="0.25">
      <c r="B19" s="305" t="s">
        <v>448</v>
      </c>
      <c r="C19" s="313"/>
      <c r="D19" s="313">
        <f>+-'Costos Ventas'!C22</f>
        <v>-945330.50847457629</v>
      </c>
      <c r="E19" s="313">
        <f>+-'Costos Ventas'!D22</f>
        <v>-1051448.7288135595</v>
      </c>
      <c r="F19" s="313">
        <f>+-'Costos Ventas'!E22</f>
        <v>-1125050.1398305085</v>
      </c>
      <c r="G19" s="313">
        <f>+-'Costos Ventas'!F22</f>
        <v>-1203803.6496186443</v>
      </c>
      <c r="H19" s="313">
        <f>+-'Costos Ventas'!G22</f>
        <v>-1288069.9050919493</v>
      </c>
      <c r="I19" s="313">
        <f>+-'Costos Ventas'!H22</f>
        <v>-1378234.7984483859</v>
      </c>
      <c r="J19" s="313">
        <f>+-'Costos Ventas'!I22</f>
        <v>-1474711.2343397727</v>
      </c>
      <c r="K19" s="313">
        <f>+-'Costos Ventas'!J22</f>
        <v>-1577941.0207435573</v>
      </c>
      <c r="L19" s="313">
        <f>+-'Costos Ventas'!K22</f>
        <v>-1688396.8921956061</v>
      </c>
      <c r="M19" s="313">
        <f>+-'Costos Ventas'!L22</f>
        <v>-1806584.6746492987</v>
      </c>
    </row>
    <row r="20" spans="2:14" x14ac:dyDescent="0.25">
      <c r="B20" s="305" t="s">
        <v>449</v>
      </c>
      <c r="C20" s="313"/>
      <c r="D20" s="313">
        <f>+-Gastos_Operativos!$G$25*12</f>
        <v>-92218.748870056501</v>
      </c>
      <c r="E20" s="313">
        <f>+-Gastos_Operativos!$G$25*12</f>
        <v>-92218.748870056501</v>
      </c>
      <c r="F20" s="313">
        <f>+-Gastos_Operativos!$G$25*12</f>
        <v>-92218.748870056501</v>
      </c>
      <c r="G20" s="313">
        <f>+-Gastos_Operativos!$G$25*12</f>
        <v>-92218.748870056501</v>
      </c>
      <c r="H20" s="313">
        <f>+-Gastos_Operativos!$G$25*12</f>
        <v>-92218.748870056501</v>
      </c>
      <c r="I20" s="313">
        <f>+-Gastos_Operativos!$G$25*12</f>
        <v>-92218.748870056501</v>
      </c>
      <c r="J20" s="313">
        <f>+-Gastos_Operativos!$G$25*12</f>
        <v>-92218.748870056501</v>
      </c>
      <c r="K20" s="313">
        <f>+-Gastos_Operativos!$G$25*12</f>
        <v>-92218.748870056501</v>
      </c>
      <c r="L20" s="313">
        <f>+-Gastos_Operativos!$G$25*12</f>
        <v>-92218.748870056501</v>
      </c>
      <c r="M20" s="313">
        <f>+-Gastos_Operativos!$G$25*12</f>
        <v>-92218.748870056501</v>
      </c>
    </row>
    <row r="21" spans="2:14" x14ac:dyDescent="0.25">
      <c r="B21" s="305" t="s">
        <v>418</v>
      </c>
      <c r="C21" s="313"/>
      <c r="D21" s="313"/>
      <c r="E21" s="313">
        <f>-D6</f>
        <v>-17991.980121065397</v>
      </c>
      <c r="F21" s="313">
        <f>-E6</f>
        <v>-85955.953663438282</v>
      </c>
      <c r="G21" s="313">
        <f t="shared" ref="G21:M21" si="2">-F6</f>
        <v>-73097.86263610168</v>
      </c>
      <c r="H21" s="313">
        <f t="shared" si="2"/>
        <v>-78591.111366391531</v>
      </c>
      <c r="I21" s="313">
        <f t="shared" si="2"/>
        <v>-84468.874907801655</v>
      </c>
      <c r="J21" s="313">
        <f t="shared" si="2"/>
        <v>-90758.069297110531</v>
      </c>
      <c r="K21" s="313">
        <f t="shared" si="2"/>
        <v>-97487.494693670902</v>
      </c>
      <c r="L21" s="313">
        <f t="shared" si="2"/>
        <v>-104687.96726799065</v>
      </c>
      <c r="M21" s="313">
        <f t="shared" si="2"/>
        <v>-112392.46032251269</v>
      </c>
    </row>
    <row r="22" spans="2:14" x14ac:dyDescent="0.25">
      <c r="B22" s="305" t="s">
        <v>450</v>
      </c>
      <c r="C22" s="313"/>
      <c r="D22" s="313">
        <f>+'Estado de resultados'!D20-Resumen!G4*Financiamiento!D138</f>
        <v>-56429.820686489948</v>
      </c>
      <c r="E22" s="313">
        <f>+'Estado de resultados'!E20-Resumen!$G$4*Financiamiento!E138</f>
        <v>-68542.870142346714</v>
      </c>
      <c r="F22" s="313">
        <f>+'Estado de resultados'!F20-Resumen!$G$4*Financiamiento!F138</f>
        <v>-77363.514342082926</v>
      </c>
      <c r="G22" s="313">
        <f>+'Estado de resultados'!G20-Resumen!$G$4*Financiamiento!G138</f>
        <v>-86826.231748708917</v>
      </c>
      <c r="H22" s="313">
        <f>+'Estado de resultados'!H20-Resumen!$G$4*Financiamiento!H138</f>
        <v>-96977.119534821119</v>
      </c>
      <c r="I22" s="313">
        <f>+'Estado de resultados'!I20-Resumen!$G$4*Financiamiento!I138</f>
        <v>-107865.74635669743</v>
      </c>
      <c r="J22" s="313">
        <f>+'Estado de resultados'!J20-Resumen!$G$4*Financiamiento!J138</f>
        <v>-119545.4203970013</v>
      </c>
      <c r="K22" s="313">
        <f>+'Estado de resultados'!K20-Resumen!$G$4*Financiamiento!K138</f>
        <v>-132077.90373275845</v>
      </c>
      <c r="L22" s="313">
        <f>+'Estado de resultados'!L20-Resumen!$G$4*Financiamiento!L138</f>
        <v>-145524.87478358217</v>
      </c>
      <c r="M22" s="313">
        <f>+'Estado de resultados'!M20-Resumen!$G$4*Financiamiento!M138</f>
        <v>-159957.11574479757</v>
      </c>
    </row>
    <row r="23" spans="2:14" x14ac:dyDescent="0.25">
      <c r="B23" s="305" t="s">
        <v>417</v>
      </c>
      <c r="C23" s="334">
        <f>SUM(C18:C22)</f>
        <v>0</v>
      </c>
      <c r="D23" s="312">
        <f t="shared" ref="D23:M23" si="3">SUM(D18:D22)</f>
        <v>204622.00671464013</v>
      </c>
      <c r="E23" s="312">
        <f t="shared" si="3"/>
        <v>213355.85849364975</v>
      </c>
      <c r="F23" s="312">
        <f t="shared" si="3"/>
        <v>164022.01278543929</v>
      </c>
      <c r="G23" s="312">
        <f t="shared" si="3"/>
        <v>196793.99248242093</v>
      </c>
      <c r="H23" s="312">
        <f t="shared" si="3"/>
        <v>212582.90446762915</v>
      </c>
      <c r="I23" s="312">
        <f t="shared" si="3"/>
        <v>229445.75600106569</v>
      </c>
      <c r="J23" s="312">
        <f t="shared" si="3"/>
        <v>247451.85640094662</v>
      </c>
      <c r="K23" s="312">
        <f t="shared" si="3"/>
        <v>266685.64431618678</v>
      </c>
      <c r="L23" s="312">
        <f t="shared" si="3"/>
        <v>287225.82610393077</v>
      </c>
      <c r="M23" s="312">
        <f t="shared" si="3"/>
        <v>309166.83127998252</v>
      </c>
    </row>
    <row r="24" spans="2:14" x14ac:dyDescent="0.25">
      <c r="B24" s="315" t="s">
        <v>451</v>
      </c>
      <c r="C24" s="316">
        <f>+C17+C23</f>
        <v>-830354.96308571228</v>
      </c>
      <c r="D24" s="316">
        <f t="shared" ref="D24:M24" si="4">+D17+D23</f>
        <v>197508.33348930191</v>
      </c>
      <c r="E24" s="316">
        <f t="shared" si="4"/>
        <v>208421.96132475755</v>
      </c>
      <c r="F24" s="316">
        <f t="shared" si="4"/>
        <v>158742.74281472462</v>
      </c>
      <c r="G24" s="316">
        <f t="shared" si="4"/>
        <v>188433.30920697661</v>
      </c>
      <c r="H24" s="316">
        <f t="shared" si="4"/>
        <v>206538.66827815794</v>
      </c>
      <c r="I24" s="316">
        <f t="shared" si="4"/>
        <v>222978.42327833152</v>
      </c>
      <c r="J24" s="316">
        <f t="shared" si="4"/>
        <v>240531.81038762105</v>
      </c>
      <c r="K24" s="316">
        <f t="shared" si="4"/>
        <v>256569.33067514875</v>
      </c>
      <c r="L24" s="316">
        <f t="shared" si="4"/>
        <v>279303.0654232743</v>
      </c>
      <c r="M24" s="316">
        <f t="shared" si="4"/>
        <v>839254.93824604573</v>
      </c>
      <c r="N24" s="192"/>
    </row>
    <row r="25" spans="2:14" x14ac:dyDescent="0.25">
      <c r="B25" s="305" t="s">
        <v>75</v>
      </c>
      <c r="C25" s="313">
        <f>+Financiamiento!C5</f>
        <v>350000</v>
      </c>
      <c r="D25" s="313"/>
      <c r="E25" s="313"/>
      <c r="F25" s="313"/>
      <c r="G25" s="313"/>
      <c r="H25" s="313"/>
      <c r="I25" s="313"/>
      <c r="J25" s="313"/>
      <c r="K25" s="313"/>
      <c r="L25" s="313"/>
      <c r="M25" s="313"/>
    </row>
    <row r="26" spans="2:14" x14ac:dyDescent="0.25">
      <c r="B26" s="305" t="s">
        <v>338</v>
      </c>
      <c r="C26" s="313"/>
      <c r="D26" s="313">
        <f>+-Financiamiento!D137</f>
        <v>-21716.524540915492</v>
      </c>
      <c r="E26" s="313">
        <f>+-Financiamiento!E137</f>
        <v>-23938.827781108328</v>
      </c>
      <c r="F26" s="313">
        <f>+-Financiamiento!F137</f>
        <v>-26388.544559874834</v>
      </c>
      <c r="G26" s="313">
        <f>+-Financiamiento!G137</f>
        <v>-29088.946641657974</v>
      </c>
      <c r="H26" s="313">
        <f>+-Financiamiento!H137</f>
        <v>-32065.687245512807</v>
      </c>
      <c r="I26" s="313">
        <f>+-Financiamiento!I137</f>
        <v>-35347.044744980776</v>
      </c>
      <c r="J26" s="313">
        <f>+-Financiamiento!J137</f>
        <v>-38964.19130634766</v>
      </c>
      <c r="K26" s="313">
        <f>+-Financiamiento!K137</f>
        <v>-42951.489017288819</v>
      </c>
      <c r="L26" s="313">
        <f>+-Financiamiento!L137</f>
        <v>-47346.816319058067</v>
      </c>
      <c r="M26" s="313">
        <f>+-Financiamiento!M137</f>
        <v>-52191.927843253288</v>
      </c>
    </row>
    <row r="27" spans="2:14" x14ac:dyDescent="0.25">
      <c r="B27" s="305" t="s">
        <v>452</v>
      </c>
      <c r="C27" s="313"/>
      <c r="D27" s="313">
        <f>+-Financiamiento!D138</f>
        <v>-33282.131732641181</v>
      </c>
      <c r="E27" s="313">
        <f>+-Financiamiento!E138</f>
        <v>-31059.828492448341</v>
      </c>
      <c r="F27" s="313">
        <f>+-Financiamiento!F138</f>
        <v>-28610.111713681836</v>
      </c>
      <c r="G27" s="313">
        <f>+-Financiamiento!G138</f>
        <v>-25909.709631898695</v>
      </c>
      <c r="H27" s="313">
        <f>+-Financiamiento!H138</f>
        <v>-22932.969028043863</v>
      </c>
      <c r="I27" s="313">
        <f>+-Financiamiento!I138</f>
        <v>-19651.611528575893</v>
      </c>
      <c r="J27" s="313">
        <f>+-Financiamiento!J138</f>
        <v>-16034.464967209009</v>
      </c>
      <c r="K27" s="313">
        <f>+-Financiamiento!K138</f>
        <v>-12047.16725626785</v>
      </c>
      <c r="L27" s="313">
        <f>+-Financiamiento!L138</f>
        <v>-7651.8399544986023</v>
      </c>
      <c r="M27" s="313">
        <f>+-Financiamiento!M138</f>
        <v>-2806.7284303033812</v>
      </c>
    </row>
    <row r="28" spans="2:14" x14ac:dyDescent="0.25">
      <c r="B28" s="305" t="s">
        <v>337</v>
      </c>
      <c r="C28" s="313"/>
      <c r="D28" s="313">
        <f>-(D27*Resumen!$G$3)</f>
        <v>9818.2288611291478</v>
      </c>
      <c r="E28" s="313">
        <f>-(E27*Resumen!$G$3)</f>
        <v>9162.649405272261</v>
      </c>
      <c r="F28" s="313">
        <f>-(F27*Resumen!$G$3)</f>
        <v>8439.9829555361412</v>
      </c>
      <c r="G28" s="313">
        <f>-(G27*Resumen!$G$3)</f>
        <v>7643.3643414101143</v>
      </c>
      <c r="H28" s="313">
        <f>-(H27*Resumen!$G$3)</f>
        <v>6765.225863272939</v>
      </c>
      <c r="I28" s="313">
        <f>-(I27*Resumen!$G$3)</f>
        <v>5797.2254009298886</v>
      </c>
      <c r="J28" s="313">
        <f>-(J27*Resumen!$G$3)</f>
        <v>4730.1671653266576</v>
      </c>
      <c r="K28" s="313">
        <f>-(K27*Resumen!$G$3)</f>
        <v>3553.9143405990158</v>
      </c>
      <c r="L28" s="313">
        <f>-(L27*Resumen!$G$3)</f>
        <v>2257.2927865770876</v>
      </c>
      <c r="M28" s="313">
        <f>-(M27*Resumen!$G$3)</f>
        <v>827.98488693949741</v>
      </c>
    </row>
    <row r="29" spans="2:14" x14ac:dyDescent="0.25">
      <c r="B29" s="311" t="s">
        <v>453</v>
      </c>
      <c r="C29" s="312">
        <f>SUM(C25:C28)</f>
        <v>350000</v>
      </c>
      <c r="D29" s="312">
        <f>SUM(D25:D28)</f>
        <v>-45180.427412427525</v>
      </c>
      <c r="E29" s="312">
        <f t="shared" ref="E29:M29" si="5">SUM(E25:E28)</f>
        <v>-45836.006868284407</v>
      </c>
      <c r="F29" s="312">
        <f t="shared" si="5"/>
        <v>-46558.673318020526</v>
      </c>
      <c r="G29" s="312">
        <f t="shared" si="5"/>
        <v>-47355.291932146552</v>
      </c>
      <c r="H29" s="312">
        <f t="shared" si="5"/>
        <v>-48233.430410283734</v>
      </c>
      <c r="I29" s="312">
        <f t="shared" si="5"/>
        <v>-49201.430872626777</v>
      </c>
      <c r="J29" s="312">
        <f t="shared" si="5"/>
        <v>-50268.489108230009</v>
      </c>
      <c r="K29" s="312">
        <f t="shared" si="5"/>
        <v>-51444.741932957651</v>
      </c>
      <c r="L29" s="312">
        <f t="shared" si="5"/>
        <v>-52741.363486979579</v>
      </c>
      <c r="M29" s="312">
        <f t="shared" si="5"/>
        <v>-54170.67138661717</v>
      </c>
    </row>
    <row r="30" spans="2:14" x14ac:dyDescent="0.25">
      <c r="B30" s="315" t="s">
        <v>454</v>
      </c>
      <c r="C30" s="316">
        <f>SUM(C24:C28)</f>
        <v>-480354.96308571228</v>
      </c>
      <c r="D30" s="316">
        <f t="shared" ref="D30:M30" si="6">SUM(D24:D28)</f>
        <v>152327.90607687435</v>
      </c>
      <c r="E30" s="316">
        <f t="shared" si="6"/>
        <v>162585.95445647315</v>
      </c>
      <c r="F30" s="316">
        <f t="shared" si="6"/>
        <v>112184.06949670409</v>
      </c>
      <c r="G30" s="316">
        <f t="shared" si="6"/>
        <v>141078.01727483005</v>
      </c>
      <c r="H30" s="316">
        <f t="shared" si="6"/>
        <v>158305.23786787421</v>
      </c>
      <c r="I30" s="316">
        <f t="shared" si="6"/>
        <v>173776.99240570475</v>
      </c>
      <c r="J30" s="316">
        <f t="shared" si="6"/>
        <v>190263.32127939104</v>
      </c>
      <c r="K30" s="316">
        <f t="shared" si="6"/>
        <v>205124.58874219109</v>
      </c>
      <c r="L30" s="316">
        <f t="shared" si="6"/>
        <v>226561.7019362947</v>
      </c>
      <c r="M30" s="316">
        <f t="shared" si="6"/>
        <v>785084.26685942861</v>
      </c>
      <c r="N30" s="192"/>
    </row>
    <row r="31" spans="2:14" x14ac:dyDescent="0.25">
      <c r="B31" s="305" t="s">
        <v>335</v>
      </c>
      <c r="C31" s="313"/>
      <c r="D31" s="313"/>
      <c r="E31" s="313"/>
      <c r="F31" s="313"/>
      <c r="G31" s="313"/>
      <c r="H31" s="313"/>
      <c r="I31" s="313"/>
      <c r="J31" s="313"/>
      <c r="K31" s="313"/>
      <c r="L31" s="313"/>
      <c r="M31" s="313"/>
    </row>
    <row r="32" spans="2:14" x14ac:dyDescent="0.25">
      <c r="B32" s="315" t="s">
        <v>455</v>
      </c>
      <c r="C32" s="316">
        <f>+C24+C28</f>
        <v>-830354.96308571228</v>
      </c>
      <c r="D32" s="316">
        <f t="shared" ref="D32:M32" si="7">+D24+D28</f>
        <v>207326.56235043105</v>
      </c>
      <c r="E32" s="316">
        <f t="shared" si="7"/>
        <v>217584.61073002982</v>
      </c>
      <c r="F32" s="316">
        <f t="shared" si="7"/>
        <v>167182.72577026076</v>
      </c>
      <c r="G32" s="316">
        <f t="shared" si="7"/>
        <v>196076.67354838672</v>
      </c>
      <c r="H32" s="316">
        <f t="shared" si="7"/>
        <v>213303.89414143088</v>
      </c>
      <c r="I32" s="316">
        <f t="shared" si="7"/>
        <v>228775.64867926142</v>
      </c>
      <c r="J32" s="316">
        <f t="shared" si="7"/>
        <v>245261.9775529477</v>
      </c>
      <c r="K32" s="316">
        <f t="shared" si="7"/>
        <v>260123.24501574776</v>
      </c>
      <c r="L32" s="316">
        <f t="shared" si="7"/>
        <v>281560.35820985137</v>
      </c>
      <c r="M32" s="316">
        <f t="shared" si="7"/>
        <v>840082.92313298525</v>
      </c>
    </row>
    <row r="33" spans="2:13" x14ac:dyDescent="0.25">
      <c r="B33" s="317" t="s">
        <v>456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</row>
    <row r="34" spans="2:13" x14ac:dyDescent="0.25">
      <c r="B34" s="317" t="s">
        <v>466</v>
      </c>
      <c r="C34" s="317"/>
      <c r="D34" s="318"/>
      <c r="E34" s="317"/>
      <c r="F34" s="317"/>
      <c r="G34" s="317"/>
      <c r="H34" s="317"/>
      <c r="I34" s="317"/>
      <c r="J34" s="317"/>
      <c r="K34" s="317"/>
      <c r="L34" s="317"/>
      <c r="M34" s="317"/>
    </row>
    <row r="35" spans="2:13" x14ac:dyDescent="0.25">
      <c r="B35" s="317"/>
      <c r="C35" s="317"/>
      <c r="D35" s="317"/>
      <c r="E35" s="317"/>
      <c r="F35" s="317"/>
      <c r="G35" s="317"/>
      <c r="H35" s="317"/>
      <c r="I35" s="317"/>
      <c r="J35" s="317"/>
      <c r="K35" s="317"/>
      <c r="L35" s="317"/>
      <c r="M35" s="317"/>
    </row>
  </sheetData>
  <mergeCells count="1">
    <mergeCell ref="B9:M9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9778-19CE-4CE0-8F0B-19A1E5A48BBF}">
  <dimension ref="A1:M47"/>
  <sheetViews>
    <sheetView tabSelected="1" topLeftCell="A34" workbookViewId="0">
      <selection activeCell="I49" sqref="I49"/>
    </sheetView>
  </sheetViews>
  <sheetFormatPr baseColWidth="10" defaultRowHeight="15" x14ac:dyDescent="0.25"/>
  <cols>
    <col min="1" max="1" width="11.42578125" style="1"/>
    <col min="2" max="2" width="24" style="1" customWidth="1"/>
    <col min="3" max="3" width="12" style="1" customWidth="1"/>
    <col min="4" max="4" width="13" style="1" customWidth="1"/>
    <col min="5" max="5" width="7.140625" style="1" customWidth="1"/>
    <col min="6" max="6" width="24.42578125" style="1" customWidth="1"/>
    <col min="7" max="7" width="12" style="1" customWidth="1"/>
    <col min="8" max="8" width="6.42578125" style="1" customWidth="1"/>
    <col min="9" max="9" width="7.140625" style="1" customWidth="1"/>
    <col min="10" max="10" width="15.140625" style="1" customWidth="1"/>
    <col min="11" max="11" width="11.42578125" style="1"/>
    <col min="12" max="12" width="22.7109375" style="1" customWidth="1"/>
    <col min="13" max="16384" width="11.42578125" style="1"/>
  </cols>
  <sheetData>
    <row r="1" spans="1:13" ht="15.75" thickBot="1" x14ac:dyDescent="0.3"/>
    <row r="2" spans="1:13" ht="33" customHeight="1" x14ac:dyDescent="0.25">
      <c r="B2" s="395" t="s">
        <v>431</v>
      </c>
      <c r="C2" s="396"/>
      <c r="D2" s="397"/>
      <c r="E2" s="306"/>
      <c r="F2" s="395" t="s">
        <v>438</v>
      </c>
      <c r="G2" s="396"/>
      <c r="H2" s="397"/>
      <c r="I2" s="306"/>
      <c r="J2" s="306"/>
    </row>
    <row r="3" spans="1:13" ht="33" customHeight="1" x14ac:dyDescent="0.25">
      <c r="A3" s="305"/>
      <c r="B3" s="322"/>
      <c r="C3" s="322"/>
      <c r="D3" s="322"/>
      <c r="E3" s="306"/>
      <c r="F3" s="322"/>
      <c r="G3" s="322"/>
      <c r="H3" s="322"/>
      <c r="I3" s="306"/>
      <c r="J3" s="306"/>
    </row>
    <row r="4" spans="1:13" x14ac:dyDescent="0.25">
      <c r="A4" s="305"/>
      <c r="B4" s="314" t="s">
        <v>457</v>
      </c>
      <c r="C4" s="314" t="s">
        <v>458</v>
      </c>
      <c r="D4" s="315"/>
      <c r="E4" s="305"/>
      <c r="F4" s="314" t="s">
        <v>457</v>
      </c>
      <c r="G4" s="314" t="s">
        <v>458</v>
      </c>
      <c r="H4" s="315"/>
      <c r="I4" s="305"/>
    </row>
    <row r="5" spans="1:13" x14ac:dyDescent="0.25">
      <c r="A5" s="305"/>
      <c r="B5" s="305" t="s">
        <v>463</v>
      </c>
      <c r="C5" s="319">
        <f>+Ku!J12</f>
        <v>0.19207958720594265</v>
      </c>
      <c r="D5" s="305"/>
      <c r="E5" s="305"/>
      <c r="F5" s="305" t="s">
        <v>464</v>
      </c>
      <c r="G5" s="319">
        <v>0.1099</v>
      </c>
      <c r="H5" s="305"/>
      <c r="I5" s="305"/>
      <c r="L5" s="1" t="s">
        <v>339</v>
      </c>
      <c r="M5" s="193">
        <f>+'Ke y Wacc'!D11</f>
        <v>0.24428207466990401</v>
      </c>
    </row>
    <row r="6" spans="1:13" x14ac:dyDescent="0.25">
      <c r="A6" s="305"/>
      <c r="B6" s="305" t="s">
        <v>437</v>
      </c>
      <c r="C6" s="320">
        <f>+C5*(1+C7)/(1+C8)</f>
        <v>0.19377440709305388</v>
      </c>
      <c r="D6" s="305"/>
      <c r="E6" s="305"/>
      <c r="F6" s="305" t="s">
        <v>434</v>
      </c>
      <c r="G6" s="320">
        <f>+G5*(1+G7)/(1+G8)</f>
        <v>0.11086970588235293</v>
      </c>
      <c r="H6" s="305"/>
      <c r="I6" s="305"/>
      <c r="L6" s="1" t="s">
        <v>340</v>
      </c>
      <c r="M6" s="181">
        <f>+M5*(1+M7)/(1+M8)</f>
        <v>0.24643750474052079</v>
      </c>
    </row>
    <row r="7" spans="1:13" x14ac:dyDescent="0.25">
      <c r="A7" s="305"/>
      <c r="B7" s="305" t="s">
        <v>435</v>
      </c>
      <c r="C7" s="320">
        <v>2.9000000000000001E-2</v>
      </c>
      <c r="D7" s="305"/>
      <c r="E7" s="305"/>
      <c r="F7" s="305" t="s">
        <v>461</v>
      </c>
      <c r="G7" s="320">
        <v>2.9000000000000001E-2</v>
      </c>
      <c r="H7" s="305"/>
      <c r="I7" s="305"/>
      <c r="L7" s="1" t="s">
        <v>341</v>
      </c>
      <c r="M7" s="181">
        <v>2.9000000000000001E-2</v>
      </c>
    </row>
    <row r="8" spans="1:13" x14ac:dyDescent="0.25">
      <c r="A8" s="305"/>
      <c r="B8" s="305" t="s">
        <v>342</v>
      </c>
      <c r="C8" s="320">
        <v>0.02</v>
      </c>
      <c r="D8" s="305"/>
      <c r="E8" s="305"/>
      <c r="F8" s="305" t="s">
        <v>462</v>
      </c>
      <c r="G8" s="320">
        <v>0.02</v>
      </c>
      <c r="H8" s="305"/>
      <c r="I8" s="305"/>
      <c r="L8" s="1" t="s">
        <v>342</v>
      </c>
      <c r="M8" s="181">
        <v>0.02</v>
      </c>
    </row>
    <row r="9" spans="1:13" x14ac:dyDescent="0.25">
      <c r="A9" s="305"/>
      <c r="B9" s="311" t="s">
        <v>436</v>
      </c>
      <c r="C9" s="321">
        <f>+((1+C6)/(1+C7))-1</f>
        <v>0.16013061913805049</v>
      </c>
      <c r="D9" s="305"/>
      <c r="E9" s="305"/>
      <c r="F9" s="311" t="s">
        <v>440</v>
      </c>
      <c r="G9" s="321">
        <f>+((1+G6)/(1+G7))-1</f>
        <v>7.9562396387126366E-2</v>
      </c>
      <c r="H9" s="305"/>
      <c r="I9" s="305"/>
      <c r="L9" s="196" t="s">
        <v>343</v>
      </c>
      <c r="M9" s="197">
        <f>+(1+M6)/(1+M7) -1</f>
        <v>0.2113095284164439</v>
      </c>
    </row>
    <row r="10" spans="1:13" x14ac:dyDescent="0.25">
      <c r="A10" s="305"/>
      <c r="B10" s="305"/>
      <c r="C10" s="306"/>
      <c r="D10" s="305"/>
      <c r="E10" s="305"/>
      <c r="F10" s="305"/>
      <c r="G10" s="306"/>
      <c r="H10" s="305"/>
      <c r="I10" s="305"/>
    </row>
    <row r="11" spans="1:13" x14ac:dyDescent="0.25">
      <c r="A11" s="305"/>
      <c r="B11" s="327" t="s">
        <v>344</v>
      </c>
      <c r="C11" s="330">
        <f>+NPV(C9,'Flujo de caja'!D24:M24)+'Flujo de caja'!C24</f>
        <v>316805.56253815291</v>
      </c>
      <c r="D11" s="326" t="s">
        <v>225</v>
      </c>
      <c r="E11" s="305"/>
      <c r="F11" s="327" t="s">
        <v>344</v>
      </c>
      <c r="G11" s="330">
        <f>NPV(G9,'Flujo de caja'!D24:M24)+'Flujo de caja'!C24</f>
        <v>888396.78283446364</v>
      </c>
      <c r="H11" s="326" t="s">
        <v>225</v>
      </c>
      <c r="I11" s="305"/>
    </row>
    <row r="12" spans="1:13" x14ac:dyDescent="0.25">
      <c r="A12" s="305"/>
      <c r="B12" s="323"/>
      <c r="C12" s="306"/>
      <c r="D12" s="305"/>
      <c r="E12" s="305"/>
      <c r="F12" s="323"/>
      <c r="G12" s="306"/>
      <c r="H12" s="305"/>
      <c r="I12" s="305"/>
      <c r="J12" s="1" t="s">
        <v>459</v>
      </c>
      <c r="L12" s="1" t="s">
        <v>345</v>
      </c>
      <c r="M12" s="193">
        <f>+'Ke y Wacc'!J12</f>
        <v>0.1888559537324816</v>
      </c>
    </row>
    <row r="13" spans="1:13" x14ac:dyDescent="0.25">
      <c r="A13" s="305"/>
      <c r="B13" s="327" t="s">
        <v>346</v>
      </c>
      <c r="C13" s="329">
        <f>+IRR('Flujo de caja'!C24:M24)</f>
        <v>0.23884180992146797</v>
      </c>
      <c r="D13" s="326" t="s">
        <v>38</v>
      </c>
      <c r="E13" s="305"/>
      <c r="F13" s="327" t="s">
        <v>346</v>
      </c>
      <c r="G13" s="329">
        <f>IRR('Flujo de caja'!C24:M24)</f>
        <v>0.23884180992146797</v>
      </c>
      <c r="H13" s="326" t="s">
        <v>439</v>
      </c>
      <c r="I13" s="305"/>
      <c r="L13" s="1" t="s">
        <v>347</v>
      </c>
      <c r="M13" s="185">
        <f>+M12*(1+M14)/(1+M15)</f>
        <v>0.190522329794827</v>
      </c>
    </row>
    <row r="14" spans="1:13" ht="15.75" thickBot="1" x14ac:dyDescent="0.3">
      <c r="B14" s="310"/>
      <c r="C14" s="310"/>
      <c r="D14" s="310"/>
      <c r="E14" s="310"/>
      <c r="F14" s="310"/>
      <c r="G14" s="310"/>
      <c r="H14" s="310"/>
      <c r="L14" s="1" t="s">
        <v>341</v>
      </c>
      <c r="M14" s="182">
        <v>2.9000000000000001E-2</v>
      </c>
    </row>
    <row r="15" spans="1:13" ht="41.25" customHeight="1" x14ac:dyDescent="0.25">
      <c r="B15" s="395" t="s">
        <v>432</v>
      </c>
      <c r="C15" s="396"/>
      <c r="D15" s="397"/>
      <c r="E15" s="307"/>
      <c r="F15" s="395" t="s">
        <v>433</v>
      </c>
      <c r="G15" s="396"/>
      <c r="H15" s="397"/>
      <c r="I15" s="307"/>
      <c r="L15" s="1" t="s">
        <v>342</v>
      </c>
      <c r="M15" s="181">
        <v>0.02</v>
      </c>
    </row>
    <row r="16" spans="1:13" ht="18" customHeight="1" x14ac:dyDescent="0.25">
      <c r="A16" s="305"/>
      <c r="B16" s="322"/>
      <c r="C16" s="322"/>
      <c r="D16" s="322"/>
      <c r="E16" s="307"/>
      <c r="F16" s="322"/>
      <c r="G16" s="322"/>
      <c r="H16" s="322"/>
      <c r="I16" s="307"/>
      <c r="M16" s="181"/>
    </row>
    <row r="17" spans="1:13" x14ac:dyDescent="0.25">
      <c r="A17" s="305"/>
      <c r="B17" s="314" t="s">
        <v>457</v>
      </c>
      <c r="C17" s="314" t="s">
        <v>458</v>
      </c>
      <c r="D17" s="326"/>
      <c r="E17" s="305"/>
      <c r="F17" s="314" t="s">
        <v>457</v>
      </c>
      <c r="G17" s="314" t="s">
        <v>458</v>
      </c>
      <c r="H17" s="326"/>
      <c r="I17" s="305"/>
      <c r="L17" s="196" t="s">
        <v>348</v>
      </c>
      <c r="M17" s="197">
        <f>+(1+M13)/(1+M14) -1</f>
        <v>0.1569701941640691</v>
      </c>
    </row>
    <row r="18" spans="1:13" x14ac:dyDescent="0.25">
      <c r="A18" s="305"/>
      <c r="B18" s="305" t="s">
        <v>349</v>
      </c>
      <c r="C18" s="324">
        <f>+(1+Financiamiento!C2)^12 -1</f>
        <v>0.13429999999999986</v>
      </c>
      <c r="D18" s="305"/>
      <c r="E18" s="305"/>
      <c r="F18" s="305" t="s">
        <v>349</v>
      </c>
      <c r="G18" s="324">
        <f>C18</f>
        <v>0.13429999999999986</v>
      </c>
      <c r="H18" s="305"/>
      <c r="I18" s="305"/>
    </row>
    <row r="19" spans="1:13" x14ac:dyDescent="0.25">
      <c r="A19" s="305"/>
      <c r="B19" s="305" t="s">
        <v>350</v>
      </c>
      <c r="C19" s="324">
        <f>+(1+C18)/(1+C7) -1</f>
        <v>0.10233236151603498</v>
      </c>
      <c r="D19" s="305"/>
      <c r="E19" s="305"/>
      <c r="F19" s="305" t="s">
        <v>350</v>
      </c>
      <c r="G19" s="324">
        <f>+(1+G18)/(1+G7) -1</f>
        <v>0.10233236151603498</v>
      </c>
      <c r="H19" s="305"/>
      <c r="I19" s="305"/>
    </row>
    <row r="20" spans="1:13" x14ac:dyDescent="0.25">
      <c r="A20" s="305"/>
      <c r="B20" s="305"/>
      <c r="C20" s="306"/>
      <c r="D20" s="305"/>
      <c r="E20" s="305"/>
      <c r="F20" s="305"/>
      <c r="G20" s="306"/>
      <c r="H20" s="305"/>
      <c r="I20" s="305"/>
    </row>
    <row r="21" spans="1:13" x14ac:dyDescent="0.25">
      <c r="A21" s="305"/>
      <c r="B21" s="305" t="s">
        <v>351</v>
      </c>
      <c r="C21" s="325">
        <f>+NPV(C19,'Flujo de caja'!D28:M28)</f>
        <v>40585.521755160145</v>
      </c>
      <c r="D21" s="305"/>
      <c r="E21" s="305"/>
      <c r="F21" s="305" t="s">
        <v>351</v>
      </c>
      <c r="G21" s="325">
        <f>NPV(G19,'Flujo de caja'!D28:M28)</f>
        <v>40585.521755160145</v>
      </c>
      <c r="H21" s="305"/>
      <c r="I21" s="305"/>
    </row>
    <row r="22" spans="1:13" x14ac:dyDescent="0.25">
      <c r="A22" s="305"/>
      <c r="B22" s="305"/>
      <c r="C22" s="306"/>
      <c r="D22" s="305"/>
      <c r="E22" s="305"/>
      <c r="F22" s="305"/>
      <c r="G22" s="306"/>
      <c r="H22" s="305"/>
      <c r="I22" s="305"/>
    </row>
    <row r="23" spans="1:13" x14ac:dyDescent="0.25">
      <c r="A23" s="305"/>
      <c r="B23" s="327" t="s">
        <v>460</v>
      </c>
      <c r="C23" s="328">
        <f>+C11+C21</f>
        <v>357391.08429331303</v>
      </c>
      <c r="D23" s="326" t="s">
        <v>225</v>
      </c>
      <c r="E23" s="305"/>
      <c r="F23" s="327" t="s">
        <v>460</v>
      </c>
      <c r="G23" s="328">
        <f>+G11+G21</f>
        <v>928982.30458962382</v>
      </c>
      <c r="H23" s="326" t="s">
        <v>225</v>
      </c>
      <c r="I23" s="305"/>
    </row>
    <row r="24" spans="1:13" x14ac:dyDescent="0.25">
      <c r="A24" s="305"/>
      <c r="B24" s="323"/>
      <c r="C24" s="306"/>
      <c r="D24" s="305"/>
      <c r="E24" s="305"/>
      <c r="F24" s="323"/>
      <c r="G24" s="306"/>
      <c r="H24" s="305"/>
      <c r="I24" s="305"/>
    </row>
    <row r="25" spans="1:13" x14ac:dyDescent="0.25">
      <c r="A25" s="305"/>
      <c r="B25" s="327" t="s">
        <v>352</v>
      </c>
      <c r="C25" s="329">
        <f>+IRR('Flujo de caja'!C32:M32)</f>
        <v>0.24784495167564535</v>
      </c>
      <c r="D25" s="326" t="s">
        <v>439</v>
      </c>
      <c r="E25" s="305"/>
      <c r="F25" s="327" t="s">
        <v>352</v>
      </c>
      <c r="G25" s="329">
        <f>IRR('Flujo de caja'!C32:M32)</f>
        <v>0.24784495167564535</v>
      </c>
      <c r="H25" s="326" t="s">
        <v>38</v>
      </c>
      <c r="I25" s="305"/>
    </row>
    <row r="26" spans="1:13" x14ac:dyDescent="0.25">
      <c r="A26" s="305"/>
      <c r="B26" s="305"/>
      <c r="C26" s="305"/>
      <c r="D26" s="305"/>
      <c r="E26" s="305"/>
      <c r="F26" s="305"/>
      <c r="G26" s="305"/>
      <c r="H26" s="305"/>
      <c r="I26" s="305"/>
    </row>
    <row r="27" spans="1:13" x14ac:dyDescent="0.25">
      <c r="B27" s="39" t="s">
        <v>404</v>
      </c>
      <c r="C27" s="39"/>
      <c r="D27" s="39"/>
      <c r="E27" s="39"/>
      <c r="F27" s="39"/>
      <c r="G27" s="39"/>
      <c r="H27" s="39"/>
      <c r="I27" s="39"/>
      <c r="J27" s="39"/>
      <c r="K27" s="39"/>
    </row>
    <row r="29" spans="1:13" x14ac:dyDescent="0.25">
      <c r="C29" s="1" t="s">
        <v>405</v>
      </c>
      <c r="D29" s="1" t="s">
        <v>406</v>
      </c>
      <c r="J29" s="1" t="s">
        <v>407</v>
      </c>
    </row>
    <row r="30" spans="1:13" x14ac:dyDescent="0.25">
      <c r="B30" s="1">
        <v>0</v>
      </c>
      <c r="C30" s="194">
        <f>+'Flujo de caja'!C24</f>
        <v>-830354.96308571228</v>
      </c>
      <c r="D30" s="9">
        <f>+C30*(1+$C$9)^-B30</f>
        <v>-830354.96308571228</v>
      </c>
      <c r="E30" s="9"/>
      <c r="F30" s="9"/>
      <c r="G30" s="9"/>
      <c r="H30" s="9"/>
      <c r="I30" s="9"/>
    </row>
    <row r="31" spans="1:13" x14ac:dyDescent="0.25">
      <c r="B31" s="1">
        <v>1</v>
      </c>
      <c r="C31" s="194">
        <f>+'Flujo de caja'!D24</f>
        <v>197508.33348930191</v>
      </c>
      <c r="D31" s="9">
        <f t="shared" ref="D31:D40" si="0">+C31*(1+$C$9)^-B31</f>
        <v>170246.63450055814</v>
      </c>
      <c r="E31" s="9"/>
      <c r="F31" s="9"/>
      <c r="G31" s="9"/>
      <c r="H31" s="9"/>
      <c r="I31" s="9"/>
      <c r="J31" s="9">
        <f>+D31</f>
        <v>170246.63450055814</v>
      </c>
    </row>
    <row r="32" spans="1:13" x14ac:dyDescent="0.25">
      <c r="B32" s="1">
        <v>2</v>
      </c>
      <c r="C32" s="194">
        <f>+'Flujo de caja'!E24</f>
        <v>208421.96132475755</v>
      </c>
      <c r="D32" s="9">
        <f t="shared" si="0"/>
        <v>154856.59296834221</v>
      </c>
      <c r="E32" s="9"/>
      <c r="F32" s="9"/>
      <c r="G32" s="9"/>
      <c r="H32" s="9"/>
      <c r="I32" s="9"/>
      <c r="J32" s="9">
        <f>+J31+D32</f>
        <v>325103.22746890038</v>
      </c>
    </row>
    <row r="33" spans="2:10" x14ac:dyDescent="0.25">
      <c r="B33" s="1">
        <v>3</v>
      </c>
      <c r="C33" s="194">
        <f>+'Flujo de caja'!F24</f>
        <v>158742.74281472462</v>
      </c>
      <c r="D33" s="9">
        <f t="shared" si="0"/>
        <v>101665.4090356966</v>
      </c>
      <c r="E33" s="9"/>
      <c r="F33" s="9"/>
      <c r="G33" s="9"/>
      <c r="H33" s="9"/>
      <c r="I33" s="9"/>
      <c r="J33" s="9">
        <f t="shared" ref="J33:J40" si="1">+J32+D33</f>
        <v>426768.63650459697</v>
      </c>
    </row>
    <row r="34" spans="2:10" x14ac:dyDescent="0.25">
      <c r="B34" s="1">
        <v>4</v>
      </c>
      <c r="C34" s="194">
        <f>+'Flujo de caja'!G24</f>
        <v>188433.30920697661</v>
      </c>
      <c r="D34" s="9">
        <f t="shared" si="0"/>
        <v>104023.17813983349</v>
      </c>
      <c r="E34" s="9"/>
      <c r="F34" s="9"/>
      <c r="G34" s="9"/>
      <c r="H34" s="9"/>
      <c r="I34" s="9"/>
      <c r="J34" s="9">
        <f t="shared" si="1"/>
        <v>530791.81464443041</v>
      </c>
    </row>
    <row r="35" spans="2:10" x14ac:dyDescent="0.25">
      <c r="B35" s="1">
        <v>5</v>
      </c>
      <c r="C35" s="194">
        <f>+'Flujo de caja'!H24</f>
        <v>206538.66827815794</v>
      </c>
      <c r="D35" s="9">
        <f t="shared" si="0"/>
        <v>98280.402494855909</v>
      </c>
      <c r="E35" s="9"/>
      <c r="F35" s="9"/>
      <c r="G35" s="9"/>
      <c r="H35" s="9"/>
      <c r="I35" s="9"/>
      <c r="J35" s="9">
        <f t="shared" si="1"/>
        <v>629072.21713928634</v>
      </c>
    </row>
    <row r="36" spans="2:10" x14ac:dyDescent="0.25">
      <c r="B36" s="1">
        <v>6</v>
      </c>
      <c r="C36" s="194">
        <f>+'Flujo de caja'!I24</f>
        <v>222978.42327833152</v>
      </c>
      <c r="D36" s="9">
        <f t="shared" si="0"/>
        <v>91457.958913970142</v>
      </c>
      <c r="E36" s="9"/>
      <c r="F36" s="9"/>
      <c r="G36" s="9"/>
      <c r="H36" s="9"/>
      <c r="I36" s="9"/>
      <c r="J36" s="9">
        <f t="shared" si="1"/>
        <v>720530.17605325649</v>
      </c>
    </row>
    <row r="37" spans="2:10" x14ac:dyDescent="0.25">
      <c r="B37" s="1">
        <v>7</v>
      </c>
      <c r="C37" s="194">
        <f>+'Flujo de caja'!J24</f>
        <v>240531.81038762105</v>
      </c>
      <c r="D37" s="9">
        <f t="shared" si="0"/>
        <v>85040.204444871662</v>
      </c>
      <c r="E37" s="9"/>
      <c r="F37" s="9"/>
      <c r="G37" s="9"/>
      <c r="H37" s="9"/>
      <c r="I37" s="9"/>
      <c r="J37" s="9">
        <f t="shared" si="1"/>
        <v>805570.38049812813</v>
      </c>
    </row>
    <row r="38" spans="2:10" x14ac:dyDescent="0.25">
      <c r="B38" s="202">
        <v>8</v>
      </c>
      <c r="C38" s="293">
        <f>+'Flujo de caja'!K24</f>
        <v>256569.33067514875</v>
      </c>
      <c r="D38" s="294">
        <f t="shared" si="0"/>
        <v>78189.714537186272</v>
      </c>
      <c r="E38" s="294"/>
      <c r="F38" s="294"/>
      <c r="G38" s="294"/>
      <c r="H38" s="294"/>
      <c r="I38" s="294"/>
      <c r="J38" s="294">
        <f t="shared" si="1"/>
        <v>883760.09503531444</v>
      </c>
    </row>
    <row r="39" spans="2:10" x14ac:dyDescent="0.25">
      <c r="B39" s="1">
        <v>9</v>
      </c>
      <c r="C39" s="194">
        <f>+'Flujo de caja'!L24</f>
        <v>279303.0654232743</v>
      </c>
      <c r="D39" s="9">
        <f t="shared" si="0"/>
        <v>73369.185757845349</v>
      </c>
      <c r="E39" s="9"/>
      <c r="F39" s="9"/>
      <c r="G39" s="9"/>
      <c r="H39" s="9"/>
      <c r="I39" s="9"/>
      <c r="J39" s="9">
        <f t="shared" si="1"/>
        <v>957129.28079315973</v>
      </c>
    </row>
    <row r="40" spans="2:10" x14ac:dyDescent="0.25">
      <c r="B40" s="1">
        <v>10</v>
      </c>
      <c r="C40" s="194">
        <f>+'Flujo de caja'!M24</f>
        <v>839254.93824604573</v>
      </c>
      <c r="D40" s="9">
        <f t="shared" si="0"/>
        <v>190031.24483070584</v>
      </c>
      <c r="E40" s="9"/>
      <c r="F40" s="9"/>
      <c r="G40" s="9"/>
      <c r="H40" s="9"/>
      <c r="I40" s="9"/>
      <c r="J40" s="9">
        <f t="shared" si="1"/>
        <v>1147160.5256238657</v>
      </c>
    </row>
    <row r="41" spans="2:10" x14ac:dyDescent="0.25">
      <c r="D41" s="9"/>
      <c r="E41" s="9"/>
      <c r="F41" s="9"/>
      <c r="G41" s="9"/>
      <c r="H41" s="9"/>
      <c r="I41" s="9"/>
    </row>
    <row r="43" spans="2:10" x14ac:dyDescent="0.25">
      <c r="B43" s="1" t="s">
        <v>254</v>
      </c>
      <c r="C43" s="1">
        <f>+B36+(-D30-J36)/D37</f>
        <v>7.2914454727546083</v>
      </c>
    </row>
    <row r="44" spans="2:10" x14ac:dyDescent="0.25">
      <c r="B44" s="1" t="s">
        <v>408</v>
      </c>
      <c r="C44" s="1">
        <f>+(C43-7)*12</f>
        <v>3.4973456730552996</v>
      </c>
    </row>
    <row r="45" spans="2:10" x14ac:dyDescent="0.25">
      <c r="B45" s="1" t="s">
        <v>409</v>
      </c>
      <c r="C45" s="1">
        <f>+(C44-9)*30</f>
        <v>-165.079629808341</v>
      </c>
    </row>
    <row r="47" spans="2:10" x14ac:dyDescent="0.25">
      <c r="B47" s="1" t="s">
        <v>410</v>
      </c>
      <c r="C47" s="1" t="s">
        <v>411</v>
      </c>
    </row>
  </sheetData>
  <mergeCells count="4">
    <mergeCell ref="B2:D2"/>
    <mergeCell ref="B15:D15"/>
    <mergeCell ref="F2:H2"/>
    <mergeCell ref="F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Resumen del escenario 2</vt:lpstr>
      <vt:lpstr>Análisis de sensibilidad</vt:lpstr>
      <vt:lpstr>Resumen</vt:lpstr>
      <vt:lpstr>Inversión inicial</vt:lpstr>
      <vt:lpstr>Depreciación y VR</vt:lpstr>
      <vt:lpstr>Presupuesto de ventas</vt:lpstr>
      <vt:lpstr>Capital_Trabajo</vt:lpstr>
      <vt:lpstr>Costos Ventas</vt:lpstr>
      <vt:lpstr>Sueldos</vt:lpstr>
      <vt:lpstr>Gastos_Operativos</vt:lpstr>
      <vt:lpstr>Costos unitarios</vt:lpstr>
      <vt:lpstr>Estado de resultados</vt:lpstr>
      <vt:lpstr>Punto de equilibrio</vt:lpstr>
      <vt:lpstr>Financiamiento</vt:lpstr>
      <vt:lpstr>Ku</vt:lpstr>
      <vt:lpstr>Ke y Wacc</vt:lpstr>
      <vt:lpstr>Flujo de caja</vt:lpstr>
      <vt:lpstr>Rentabilidad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2021-02-21T15:23:08Z</dcterms:created>
  <dcterms:modified xsi:type="dcterms:W3CDTF">2021-07-02T20:17:32Z</dcterms:modified>
</cp:coreProperties>
</file>