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 DOCTORADO UNFV 2021\PROYECTOS APLICATIVOS POSGRADO\CHOCOLATES DE YACON\"/>
    </mc:Choice>
  </mc:AlternateContent>
  <xr:revisionPtr revIDLastSave="0" documentId="13_ncr:1_{C6DC1CD9-5AA2-4D46-97AC-3447E0E1ECC3}" xr6:coauthVersionLast="47" xr6:coauthVersionMax="47" xr10:uidLastSave="{00000000-0000-0000-0000-000000000000}"/>
  <bookViews>
    <workbookView xWindow="-120" yWindow="-120" windowWidth="20730" windowHeight="11160" tabRatio="909" firstSheet="12" activeTab="20" xr2:uid="{00000000-000D-0000-FFFF-FFFF00000000}"/>
  </bookViews>
  <sheets>
    <sheet name="Resumen del escenario" sheetId="37" r:id="rId1"/>
    <sheet name="Sensibilidad" sheetId="30" r:id="rId2"/>
    <sheet name="Resumen" sheetId="18" r:id="rId3"/>
    <sheet name="Presupuesto de ventas" sheetId="1" r:id="rId4"/>
    <sheet name="INVERSION INICIAL" sheetId="26" r:id="rId5"/>
    <sheet name="Depreciacion y VR" sheetId="3" r:id="rId6"/>
    <sheet name="Capital de Trabajo (kw)" sheetId="4" r:id="rId7"/>
    <sheet name="SUELDO BASE" sheetId="31" r:id="rId8"/>
    <sheet name="Planilla" sheetId="20" r:id="rId9"/>
    <sheet name="costos por mes" sheetId="34" r:id="rId10"/>
    <sheet name="Costos_Ventas" sheetId="19" r:id="rId11"/>
    <sheet name="Gastos Operativos" sheetId="7" r:id="rId12"/>
    <sheet name="Flujo_Deuda" sheetId="25" r:id="rId13"/>
    <sheet name="Costos_Unitario " sheetId="38" r:id="rId14"/>
    <sheet name="PUNTO DE EQUILIBRIO" sheetId="22" r:id="rId15"/>
    <sheet name="ESTADO RESULTADOS " sheetId="39" r:id="rId16"/>
    <sheet name="IGV" sheetId="17" r:id="rId17"/>
    <sheet name=" Ku COK" sheetId="11" r:id="rId18"/>
    <sheet name="Ke y Kwacc WACC" sheetId="12" r:id="rId19"/>
    <sheet name="Flujos de Caja" sheetId="16" r:id="rId20"/>
    <sheet name="Rentabilidad" sheetId="29" r:id="rId21"/>
  </sheets>
  <externalReferences>
    <externalReference r:id="rId22"/>
  </externalReferences>
  <definedNames>
    <definedName name="MANO_DE_OBRA_M">[1]Resumen!$H$13</definedName>
    <definedName name="PRECIO_DE_VENTA_M">[1]Resumen!$H$12</definedName>
    <definedName name="Precio_Materia_Prima" localSheetId="13">#REF!</definedName>
    <definedName name="Precio_Materia_Prima" localSheetId="15">#REF!</definedName>
    <definedName name="Precio_Materia_Prima">#REF!</definedName>
    <definedName name="Precio_Queso_Maduro" localSheetId="13">#REF!</definedName>
    <definedName name="Precio_Queso_Maduro" localSheetId="15">#REF!</definedName>
    <definedName name="Precio_Queso_Maduro">#REF!</definedName>
    <definedName name="Precio_retablo_unidad" localSheetId="13">#REF!</definedName>
    <definedName name="Precio_retablo_unidad" localSheetId="15">#REF!</definedName>
    <definedName name="Precio_retablo_unidad">#REF!</definedName>
    <definedName name="TIRE" localSheetId="13">#REF!</definedName>
    <definedName name="TIRE" localSheetId="15">#REF!</definedName>
    <definedName name="TIRE">#REF!</definedName>
    <definedName name="TIRF" localSheetId="13">#REF!</definedName>
    <definedName name="TIRF" localSheetId="15">#REF!</definedName>
    <definedName name="TIRF">#REF!</definedName>
    <definedName name="Valor_de_venta" localSheetId="13">#REF!</definedName>
    <definedName name="Valor_de_venta" localSheetId="15">#REF!</definedName>
    <definedName name="Valor_de_venta">#REF!</definedName>
    <definedName name="VANE" localSheetId="13">#REF!</definedName>
    <definedName name="VANE" localSheetId="15">#REF!</definedName>
    <definedName name="VANE">#REF!</definedName>
    <definedName name="VANF" localSheetId="13">#REF!</definedName>
    <definedName name="VANF" localSheetId="15">#REF!</definedName>
    <definedName name="VANF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6" l="1"/>
  <c r="I10" i="11"/>
  <c r="I11" i="11" s="1"/>
  <c r="D10" i="11"/>
  <c r="H26" i="29"/>
  <c r="D22" i="12"/>
  <c r="E12" i="38"/>
  <c r="E8" i="38"/>
  <c r="F16" i="16"/>
  <c r="G16" i="16"/>
  <c r="H16" i="16"/>
  <c r="I16" i="16"/>
  <c r="E16" i="16"/>
  <c r="E22" i="39"/>
  <c r="F22" i="39"/>
  <c r="G22" i="39"/>
  <c r="H22" i="39"/>
  <c r="E21" i="39"/>
  <c r="F21" i="39"/>
  <c r="G21" i="39"/>
  <c r="H21" i="39"/>
  <c r="D21" i="39"/>
  <c r="D26" i="39"/>
  <c r="K12" i="25"/>
  <c r="J12" i="25"/>
  <c r="F14" i="25"/>
  <c r="F13" i="25"/>
  <c r="G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13" i="25"/>
  <c r="D25" i="12"/>
  <c r="G12" i="31"/>
  <c r="D17" i="1"/>
  <c r="D27" i="17"/>
  <c r="D8" i="7"/>
  <c r="F9" i="19"/>
  <c r="G9" i="19"/>
  <c r="H9" i="19"/>
  <c r="E9" i="19"/>
  <c r="D9" i="19"/>
  <c r="D9" i="20"/>
  <c r="C9" i="20" s="1"/>
  <c r="E7" i="39"/>
  <c r="F7" i="39" s="1"/>
  <c r="G7" i="39" s="1"/>
  <c r="H7" i="39" s="1"/>
  <c r="E13" i="38"/>
  <c r="E9" i="38"/>
  <c r="I12" i="11" l="1"/>
  <c r="H7" i="29"/>
  <c r="D5" i="30"/>
  <c r="R12" i="31" l="1"/>
  <c r="R8" i="31"/>
  <c r="H10" i="34"/>
  <c r="H11" i="34" s="1"/>
  <c r="H50" i="34"/>
  <c r="J84" i="34"/>
  <c r="G87" i="34"/>
  <c r="F87" i="34" s="1"/>
  <c r="E90" i="34"/>
  <c r="G47" i="34"/>
  <c r="F47" i="34" s="1"/>
  <c r="E50" i="34"/>
  <c r="D11" i="11"/>
  <c r="G86" i="34" l="1"/>
  <c r="D39" i="30"/>
  <c r="D16" i="30"/>
  <c r="D29" i="30"/>
  <c r="C20" i="34" l="1"/>
  <c r="C39" i="34" s="1"/>
  <c r="C21" i="34"/>
  <c r="C40" i="34" s="1"/>
  <c r="C252" i="34"/>
  <c r="C230" i="34"/>
  <c r="C208" i="34"/>
  <c r="C186" i="34"/>
  <c r="C165" i="34"/>
  <c r="C166" i="34" s="1"/>
  <c r="C167" i="34" s="1"/>
  <c r="C144" i="34"/>
  <c r="D141" i="34"/>
  <c r="G141" i="34" s="1"/>
  <c r="F141" i="34" s="1"/>
  <c r="C123" i="34"/>
  <c r="C103" i="34"/>
  <c r="C104" i="34" s="1"/>
  <c r="C105" i="34" s="1"/>
  <c r="C83" i="34"/>
  <c r="G67" i="34"/>
  <c r="F67" i="34" s="1"/>
  <c r="C63" i="34"/>
  <c r="C64" i="34" s="1"/>
  <c r="C65" i="34" s="1"/>
  <c r="N10" i="34"/>
  <c r="N11" i="34" s="1"/>
  <c r="M10" i="34"/>
  <c r="M11" i="34" s="1"/>
  <c r="L10" i="34"/>
  <c r="L11" i="34" s="1"/>
  <c r="K10" i="34"/>
  <c r="K11" i="34" s="1"/>
  <c r="J10" i="34"/>
  <c r="J11" i="34" s="1"/>
  <c r="I10" i="34"/>
  <c r="I11" i="34" s="1"/>
  <c r="G10" i="34"/>
  <c r="G11" i="34" s="1"/>
  <c r="F10" i="34"/>
  <c r="F11" i="34" s="1"/>
  <c r="E10" i="34"/>
  <c r="E11" i="34" s="1"/>
  <c r="D10" i="34"/>
  <c r="D11" i="34" s="1"/>
  <c r="C10" i="34"/>
  <c r="C11" i="34" s="1"/>
  <c r="E262" i="34"/>
  <c r="G259" i="34"/>
  <c r="J251" i="34"/>
  <c r="D248" i="34" s="1"/>
  <c r="I247" i="34"/>
  <c r="I249" i="34" s="1"/>
  <c r="D247" i="34" s="1"/>
  <c r="D249" i="34"/>
  <c r="G249" i="34" s="1"/>
  <c r="F249" i="34" s="1"/>
  <c r="J245" i="34"/>
  <c r="E239" i="34"/>
  <c r="G236" i="34"/>
  <c r="J232" i="34"/>
  <c r="D226" i="34" s="1"/>
  <c r="I228" i="34"/>
  <c r="I230" i="34" s="1"/>
  <c r="D225" i="34" s="1"/>
  <c r="D227" i="34"/>
  <c r="G227" i="34" s="1"/>
  <c r="F227" i="34" s="1"/>
  <c r="J226" i="34"/>
  <c r="E217" i="34"/>
  <c r="G214" i="34"/>
  <c r="F214" i="34" s="1"/>
  <c r="J207" i="34"/>
  <c r="D204" i="34" s="1"/>
  <c r="I203" i="34"/>
  <c r="I205" i="34" s="1"/>
  <c r="D203" i="34" s="1"/>
  <c r="D205" i="34"/>
  <c r="G205" i="34" s="1"/>
  <c r="F205" i="34" s="1"/>
  <c r="J201" i="34"/>
  <c r="E195" i="34"/>
  <c r="G192" i="34"/>
  <c r="F192" i="34" s="1"/>
  <c r="J188" i="34"/>
  <c r="D182" i="34" s="1"/>
  <c r="I184" i="34"/>
  <c r="I186" i="34" s="1"/>
  <c r="D181" i="34" s="1"/>
  <c r="D183" i="34"/>
  <c r="G183" i="34" s="1"/>
  <c r="F183" i="34" s="1"/>
  <c r="J182" i="34"/>
  <c r="E173" i="34"/>
  <c r="G170" i="34"/>
  <c r="F170" i="34" s="1"/>
  <c r="J165" i="34"/>
  <c r="D161" i="34" s="1"/>
  <c r="I161" i="34"/>
  <c r="I163" i="34" s="1"/>
  <c r="D160" i="34" s="1"/>
  <c r="D162" i="34"/>
  <c r="G162" i="34" s="1"/>
  <c r="F162" i="34" s="1"/>
  <c r="J159" i="34"/>
  <c r="E152" i="34"/>
  <c r="G149" i="34"/>
  <c r="J146" i="34"/>
  <c r="D140" i="34" s="1"/>
  <c r="I142" i="34"/>
  <c r="I144" i="34" s="1"/>
  <c r="D139" i="34" s="1"/>
  <c r="J140" i="34"/>
  <c r="E131" i="34"/>
  <c r="G128" i="34"/>
  <c r="J124" i="34"/>
  <c r="D119" i="34" s="1"/>
  <c r="I120" i="34"/>
  <c r="I122" i="34" s="1"/>
  <c r="D118" i="34" s="1"/>
  <c r="D120" i="34"/>
  <c r="G120" i="34" s="1"/>
  <c r="F120" i="34" s="1"/>
  <c r="J118" i="34"/>
  <c r="E110" i="34"/>
  <c r="G107" i="34"/>
  <c r="J105" i="34"/>
  <c r="D99" i="34" s="1"/>
  <c r="I101" i="34"/>
  <c r="I103" i="34" s="1"/>
  <c r="D98" i="34" s="1"/>
  <c r="D100" i="34"/>
  <c r="G100" i="34" s="1"/>
  <c r="F100" i="34" s="1"/>
  <c r="J99" i="34"/>
  <c r="D79" i="34"/>
  <c r="I80" i="34"/>
  <c r="I82" i="34" s="1"/>
  <c r="D78" i="34" s="1"/>
  <c r="D80" i="34"/>
  <c r="G80" i="34" s="1"/>
  <c r="F80" i="34" s="1"/>
  <c r="J78" i="34"/>
  <c r="E70" i="34"/>
  <c r="J65" i="34"/>
  <c r="D59" i="34" s="1"/>
  <c r="I61" i="34"/>
  <c r="I63" i="34" s="1"/>
  <c r="D58" i="34" s="1"/>
  <c r="D60" i="34"/>
  <c r="G60" i="34" s="1"/>
  <c r="F60" i="34" s="1"/>
  <c r="J59" i="34"/>
  <c r="C44" i="34"/>
  <c r="C45" i="34" s="1"/>
  <c r="G29" i="34"/>
  <c r="G28" i="34"/>
  <c r="F28" i="34" s="1"/>
  <c r="D41" i="34"/>
  <c r="J46" i="34"/>
  <c r="D40" i="34" s="1"/>
  <c r="I42" i="34"/>
  <c r="I44" i="34" s="1"/>
  <c r="D39" i="34" s="1"/>
  <c r="J40" i="34"/>
  <c r="C25" i="34"/>
  <c r="C26" i="34" s="1"/>
  <c r="D21" i="34"/>
  <c r="I23" i="34"/>
  <c r="I25" i="34" s="1"/>
  <c r="J21" i="34"/>
  <c r="G22" i="34"/>
  <c r="F22" i="34" s="1"/>
  <c r="AO13" i="20"/>
  <c r="AP13" i="20" s="1"/>
  <c r="AN13" i="20"/>
  <c r="AF13" i="20"/>
  <c r="AG13" i="20" s="1"/>
  <c r="AE13" i="20"/>
  <c r="AI13" i="20" s="1"/>
  <c r="W13" i="20"/>
  <c r="X13" i="20" s="1"/>
  <c r="V13" i="20"/>
  <c r="Z13" i="20" s="1"/>
  <c r="N13" i="20"/>
  <c r="O13" i="20" s="1"/>
  <c r="M13" i="20"/>
  <c r="Q13" i="20" s="1"/>
  <c r="D17" i="31"/>
  <c r="D32" i="31" s="1"/>
  <c r="E17" i="31"/>
  <c r="F17" i="31"/>
  <c r="F24" i="31" s="1"/>
  <c r="G17" i="31"/>
  <c r="G24" i="31" s="1"/>
  <c r="H17" i="31"/>
  <c r="H41" i="31" s="1"/>
  <c r="I17" i="31"/>
  <c r="I41" i="31" s="1"/>
  <c r="J17" i="31"/>
  <c r="J41" i="31" s="1"/>
  <c r="K17" i="31"/>
  <c r="L17" i="31"/>
  <c r="L32" i="31" s="1"/>
  <c r="M17" i="31"/>
  <c r="M32" i="31" s="1"/>
  <c r="N17" i="31"/>
  <c r="N24" i="31" s="1"/>
  <c r="D18" i="31"/>
  <c r="D33" i="31" s="1"/>
  <c r="E18" i="31"/>
  <c r="E25" i="31" s="1"/>
  <c r="F18" i="31"/>
  <c r="F42" i="31" s="1"/>
  <c r="G18" i="31"/>
  <c r="H18" i="31"/>
  <c r="H33" i="31" s="1"/>
  <c r="I18" i="31"/>
  <c r="I25" i="31" s="1"/>
  <c r="J18" i="31"/>
  <c r="J25" i="31" s="1"/>
  <c r="K18" i="31"/>
  <c r="K42" i="31" s="1"/>
  <c r="L18" i="31"/>
  <c r="L42" i="31" s="1"/>
  <c r="M18" i="31"/>
  <c r="M25" i="31" s="1"/>
  <c r="N18" i="31"/>
  <c r="N42" i="31" s="1"/>
  <c r="D19" i="31"/>
  <c r="D34" i="31" s="1"/>
  <c r="E19" i="31"/>
  <c r="E26" i="31" s="1"/>
  <c r="F19" i="31"/>
  <c r="F43" i="31" s="1"/>
  <c r="G19" i="31"/>
  <c r="G43" i="31" s="1"/>
  <c r="H19" i="31"/>
  <c r="H34" i="31" s="1"/>
  <c r="I19" i="31"/>
  <c r="I26" i="31" s="1"/>
  <c r="J19" i="31"/>
  <c r="J43" i="31" s="1"/>
  <c r="K19" i="31"/>
  <c r="K43" i="31" s="1"/>
  <c r="L19" i="31"/>
  <c r="L34" i="31" s="1"/>
  <c r="M19" i="31"/>
  <c r="M26" i="31" s="1"/>
  <c r="N19" i="31"/>
  <c r="N43" i="31" s="1"/>
  <c r="D20" i="31"/>
  <c r="D27" i="31" s="1"/>
  <c r="E20" i="31"/>
  <c r="E27" i="31" s="1"/>
  <c r="F20" i="31"/>
  <c r="F27" i="31" s="1"/>
  <c r="G20" i="31"/>
  <c r="H20" i="31"/>
  <c r="H35" i="31" s="1"/>
  <c r="I20" i="31"/>
  <c r="I44" i="31" s="1"/>
  <c r="J20" i="31"/>
  <c r="J27" i="31" s="1"/>
  <c r="K20" i="31"/>
  <c r="K27" i="31" s="1"/>
  <c r="L20" i="31"/>
  <c r="L27" i="31" s="1"/>
  <c r="M20" i="31"/>
  <c r="M27" i="31" s="1"/>
  <c r="N20" i="31"/>
  <c r="N27" i="31" s="1"/>
  <c r="C17" i="31"/>
  <c r="C18" i="31"/>
  <c r="C42" i="31" s="1"/>
  <c r="C19" i="31"/>
  <c r="C43" i="31" s="1"/>
  <c r="C20" i="31"/>
  <c r="C27" i="31" s="1"/>
  <c r="O9" i="31"/>
  <c r="O8" i="31"/>
  <c r="O7" i="31"/>
  <c r="O6" i="31"/>
  <c r="N5" i="31"/>
  <c r="N11" i="31" s="1"/>
  <c r="M5" i="31"/>
  <c r="M11" i="31" s="1"/>
  <c r="L5" i="31"/>
  <c r="L11" i="31" s="1"/>
  <c r="K5" i="31"/>
  <c r="J5" i="31"/>
  <c r="J11" i="31" s="1"/>
  <c r="I5" i="31"/>
  <c r="I11" i="31" s="1"/>
  <c r="H5" i="31"/>
  <c r="H11" i="31" s="1"/>
  <c r="G5" i="31"/>
  <c r="F5" i="31"/>
  <c r="F11" i="31" s="1"/>
  <c r="E5" i="31"/>
  <c r="E11" i="31" s="1"/>
  <c r="D5" i="31"/>
  <c r="D11" i="31" s="1"/>
  <c r="C5" i="31"/>
  <c r="C11" i="31" s="1"/>
  <c r="N33" i="31" l="1"/>
  <c r="P13" i="20"/>
  <c r="N25" i="31"/>
  <c r="I35" i="31"/>
  <c r="J32" i="31"/>
  <c r="I32" i="31"/>
  <c r="K26" i="31"/>
  <c r="C35" i="31"/>
  <c r="M35" i="31"/>
  <c r="F35" i="31"/>
  <c r="N16" i="31"/>
  <c r="N23" i="31" s="1"/>
  <c r="C25" i="31"/>
  <c r="F25" i="31"/>
  <c r="L35" i="31"/>
  <c r="E35" i="31"/>
  <c r="F33" i="31"/>
  <c r="N35" i="31"/>
  <c r="F16" i="31"/>
  <c r="F23" i="31" s="1"/>
  <c r="H27" i="31"/>
  <c r="I24" i="31"/>
  <c r="K35" i="31"/>
  <c r="D35" i="31"/>
  <c r="C33" i="31"/>
  <c r="G39" i="34"/>
  <c r="F39" i="34" s="1"/>
  <c r="C58" i="34"/>
  <c r="G58" i="34" s="1"/>
  <c r="G21" i="34"/>
  <c r="F21" i="34" s="1"/>
  <c r="C59" i="34"/>
  <c r="G40" i="34"/>
  <c r="F40" i="34" s="1"/>
  <c r="C168" i="34"/>
  <c r="G106" i="34"/>
  <c r="G127" i="34"/>
  <c r="C84" i="34"/>
  <c r="G235" i="34"/>
  <c r="H235" i="34" s="1"/>
  <c r="G258" i="34"/>
  <c r="F128" i="34"/>
  <c r="F236" i="34"/>
  <c r="G148" i="34"/>
  <c r="C124" i="34"/>
  <c r="F107" i="34"/>
  <c r="C209" i="34"/>
  <c r="C145" i="34"/>
  <c r="G213" i="34"/>
  <c r="C253" i="34"/>
  <c r="G66" i="34"/>
  <c r="F149" i="34"/>
  <c r="G169" i="34"/>
  <c r="G191" i="34"/>
  <c r="F259" i="34"/>
  <c r="C231" i="34"/>
  <c r="C187" i="34"/>
  <c r="D20" i="34"/>
  <c r="G20" i="34" s="1"/>
  <c r="G46" i="34"/>
  <c r="G41" i="34"/>
  <c r="E31" i="34"/>
  <c r="G27" i="34"/>
  <c r="J34" i="31"/>
  <c r="C24" i="31"/>
  <c r="J26" i="31"/>
  <c r="J50" i="31" s="1"/>
  <c r="H24" i="31"/>
  <c r="G34" i="31"/>
  <c r="G32" i="31"/>
  <c r="G26" i="31"/>
  <c r="M24" i="31"/>
  <c r="E24" i="31"/>
  <c r="F26" i="31"/>
  <c r="L24" i="31"/>
  <c r="M34" i="31"/>
  <c r="I33" i="31"/>
  <c r="E32" i="31"/>
  <c r="D42" i="31"/>
  <c r="C26" i="31"/>
  <c r="I27" i="31"/>
  <c r="I51" i="31" s="1"/>
  <c r="L26" i="31"/>
  <c r="D26" i="31"/>
  <c r="G25" i="31"/>
  <c r="J24" i="31"/>
  <c r="J48" i="31" s="1"/>
  <c r="G35" i="31"/>
  <c r="K34" i="31"/>
  <c r="K50" i="31" s="1"/>
  <c r="C34" i="31"/>
  <c r="G33" i="31"/>
  <c r="K32" i="31"/>
  <c r="C32" i="31"/>
  <c r="H44" i="31"/>
  <c r="M43" i="31"/>
  <c r="E43" i="31"/>
  <c r="J42" i="31"/>
  <c r="G41" i="31"/>
  <c r="N49" i="31"/>
  <c r="G44" i="31"/>
  <c r="L43" i="31"/>
  <c r="D43" i="31"/>
  <c r="I42" i="31"/>
  <c r="N41" i="31"/>
  <c r="F41" i="31"/>
  <c r="N44" i="31"/>
  <c r="F44" i="31"/>
  <c r="H42" i="31"/>
  <c r="M41" i="31"/>
  <c r="E41" i="31"/>
  <c r="M44" i="31"/>
  <c r="E44" i="31"/>
  <c r="E51" i="31" s="1"/>
  <c r="G42" i="31"/>
  <c r="L41" i="31"/>
  <c r="D41" i="31"/>
  <c r="L44" i="31"/>
  <c r="D44" i="31"/>
  <c r="I43" i="31"/>
  <c r="K41" i="31"/>
  <c r="C41" i="31"/>
  <c r="J35" i="31"/>
  <c r="N34" i="31"/>
  <c r="F34" i="31"/>
  <c r="F50" i="31" s="1"/>
  <c r="J33" i="31"/>
  <c r="N32" i="31"/>
  <c r="F32" i="31"/>
  <c r="K44" i="31"/>
  <c r="C44" i="31"/>
  <c r="H43" i="31"/>
  <c r="M42" i="31"/>
  <c r="E42" i="31"/>
  <c r="I34" i="31"/>
  <c r="M33" i="31"/>
  <c r="E33" i="31"/>
  <c r="L25" i="31"/>
  <c r="D25" i="31"/>
  <c r="H26" i="31"/>
  <c r="H50" i="31" s="1"/>
  <c r="K33" i="31"/>
  <c r="N26" i="31"/>
  <c r="G27" i="31"/>
  <c r="L33" i="31"/>
  <c r="H32" i="31"/>
  <c r="H48" i="31" s="1"/>
  <c r="I16" i="31"/>
  <c r="K25" i="31"/>
  <c r="D24" i="31"/>
  <c r="E34" i="31"/>
  <c r="F40" i="31"/>
  <c r="J44" i="31"/>
  <c r="H25" i="31"/>
  <c r="K24" i="31"/>
  <c r="AQ13" i="20"/>
  <c r="AR13" i="20"/>
  <c r="AH13" i="20"/>
  <c r="AJ13" i="20" s="1"/>
  <c r="AJ12" i="20" s="1"/>
  <c r="F28" i="20" s="1"/>
  <c r="Y13" i="20"/>
  <c r="AA13" i="20" s="1"/>
  <c r="AA12" i="20" s="1"/>
  <c r="E28" i="20" s="1"/>
  <c r="M16" i="31"/>
  <c r="E16" i="31"/>
  <c r="J16" i="31"/>
  <c r="O19" i="31"/>
  <c r="O20" i="31"/>
  <c r="R13" i="20"/>
  <c r="R12" i="20" s="1"/>
  <c r="D28" i="20" s="1"/>
  <c r="O5" i="31"/>
  <c r="C16" i="31"/>
  <c r="G16" i="31"/>
  <c r="G11" i="31"/>
  <c r="K11" i="31"/>
  <c r="K16" i="31"/>
  <c r="O18" i="31"/>
  <c r="O17" i="31"/>
  <c r="L16" i="31"/>
  <c r="H16" i="31"/>
  <c r="D16" i="31"/>
  <c r="D7" i="1"/>
  <c r="D44" i="34" s="1"/>
  <c r="D45" i="34" s="1"/>
  <c r="G45" i="34" s="1"/>
  <c r="F45" i="34" s="1"/>
  <c r="E7" i="1"/>
  <c r="D63" i="34" s="1"/>
  <c r="D64" i="34" s="1"/>
  <c r="D65" i="34" s="1"/>
  <c r="G65" i="34" s="1"/>
  <c r="F65" i="34" s="1"/>
  <c r="F7" i="1"/>
  <c r="D83" i="34" s="1"/>
  <c r="D84" i="34" s="1"/>
  <c r="D85" i="34" s="1"/>
  <c r="G7" i="1"/>
  <c r="D103" i="34" s="1"/>
  <c r="D104" i="34" s="1"/>
  <c r="D105" i="34" s="1"/>
  <c r="G105" i="34" s="1"/>
  <c r="F105" i="34" s="1"/>
  <c r="H7" i="1"/>
  <c r="D123" i="34" s="1"/>
  <c r="G123" i="34" s="1"/>
  <c r="F123" i="34" s="1"/>
  <c r="I7" i="1"/>
  <c r="D144" i="34" s="1"/>
  <c r="D145" i="34" s="1"/>
  <c r="D146" i="34" s="1"/>
  <c r="D147" i="34" s="1"/>
  <c r="J7" i="1"/>
  <c r="D165" i="34" s="1"/>
  <c r="G165" i="34" s="1"/>
  <c r="K7" i="1"/>
  <c r="D186" i="34" s="1"/>
  <c r="D187" i="34" s="1"/>
  <c r="D188" i="34" s="1"/>
  <c r="D189" i="34" s="1"/>
  <c r="D190" i="34" s="1"/>
  <c r="L7" i="1"/>
  <c r="D208" i="34" s="1"/>
  <c r="D209" i="34" s="1"/>
  <c r="D210" i="34" s="1"/>
  <c r="D211" i="34" s="1"/>
  <c r="D212" i="34" s="1"/>
  <c r="M7" i="1"/>
  <c r="D230" i="34" s="1"/>
  <c r="D231" i="34" s="1"/>
  <c r="D232" i="34" s="1"/>
  <c r="D233" i="34" s="1"/>
  <c r="D234" i="34" s="1"/>
  <c r="N7" i="1"/>
  <c r="D252" i="34" s="1"/>
  <c r="D253" i="34" s="1"/>
  <c r="D254" i="34" s="1"/>
  <c r="D255" i="34" s="1"/>
  <c r="D256" i="34" s="1"/>
  <c r="D257" i="34" s="1"/>
  <c r="C7" i="1"/>
  <c r="D25" i="34" s="1"/>
  <c r="G25" i="34" s="1"/>
  <c r="F25" i="34" s="1"/>
  <c r="P7" i="1"/>
  <c r="G104" i="34" l="1"/>
  <c r="F104" i="34" s="1"/>
  <c r="H49" i="31"/>
  <c r="H51" i="31"/>
  <c r="G253" i="34"/>
  <c r="C49" i="31"/>
  <c r="G208" i="34"/>
  <c r="C51" i="31"/>
  <c r="G50" i="31"/>
  <c r="G230" i="34"/>
  <c r="N50" i="31"/>
  <c r="L49" i="31"/>
  <c r="D166" i="34"/>
  <c r="G144" i="34"/>
  <c r="F144" i="34" s="1"/>
  <c r="K48" i="31"/>
  <c r="M51" i="31"/>
  <c r="G48" i="31"/>
  <c r="G186" i="34"/>
  <c r="F186" i="34" s="1"/>
  <c r="D51" i="31"/>
  <c r="G252" i="34"/>
  <c r="F252" i="34" s="1"/>
  <c r="C50" i="31"/>
  <c r="N15" i="31"/>
  <c r="N22" i="31" s="1"/>
  <c r="G103" i="34"/>
  <c r="F103" i="34" s="1"/>
  <c r="I49" i="31"/>
  <c r="D124" i="34"/>
  <c r="D125" i="34" s="1"/>
  <c r="D126" i="34" s="1"/>
  <c r="K51" i="31"/>
  <c r="F49" i="31"/>
  <c r="G83" i="34"/>
  <c r="F83" i="34" s="1"/>
  <c r="G51" i="31"/>
  <c r="I50" i="31"/>
  <c r="J49" i="31"/>
  <c r="M48" i="31"/>
  <c r="I48" i="31"/>
  <c r="L48" i="31"/>
  <c r="D26" i="34"/>
  <c r="G26" i="34" s="1"/>
  <c r="F26" i="34" s="1"/>
  <c r="G63" i="34"/>
  <c r="G64" i="34"/>
  <c r="F64" i="34" s="1"/>
  <c r="H15" i="31"/>
  <c r="I22" i="31" s="1"/>
  <c r="O22" i="31" s="1"/>
  <c r="E50" i="31"/>
  <c r="G44" i="34"/>
  <c r="F44" i="34" s="1"/>
  <c r="C85" i="34"/>
  <c r="G85" i="34" s="1"/>
  <c r="F85" i="34" s="1"/>
  <c r="G84" i="34"/>
  <c r="F84" i="34" s="1"/>
  <c r="O25" i="31"/>
  <c r="W9" i="20" s="1"/>
  <c r="W18" i="20" s="1"/>
  <c r="D49" i="31"/>
  <c r="G49" i="31"/>
  <c r="K49" i="31"/>
  <c r="E49" i="31"/>
  <c r="M49" i="31"/>
  <c r="F48" i="31"/>
  <c r="L51" i="31"/>
  <c r="F51" i="31"/>
  <c r="D50" i="31"/>
  <c r="F31" i="31"/>
  <c r="F47" i="31" s="1"/>
  <c r="E48" i="31"/>
  <c r="N40" i="31"/>
  <c r="M50" i="31"/>
  <c r="D48" i="31"/>
  <c r="N48" i="31"/>
  <c r="J51" i="31"/>
  <c r="N51" i="31"/>
  <c r="N31" i="31"/>
  <c r="H258" i="34"/>
  <c r="D271" i="34"/>
  <c r="C78" i="34"/>
  <c r="G78" i="34" s="1"/>
  <c r="F78" i="34" s="1"/>
  <c r="C98" i="34"/>
  <c r="C99" i="34"/>
  <c r="C79" i="34"/>
  <c r="G79" i="34" s="1"/>
  <c r="G59" i="34"/>
  <c r="F59" i="34" s="1"/>
  <c r="C271" i="34"/>
  <c r="F253" i="34"/>
  <c r="C254" i="34"/>
  <c r="G231" i="34"/>
  <c r="F231" i="34" s="1"/>
  <c r="C232" i="34"/>
  <c r="F230" i="34"/>
  <c r="F208" i="34"/>
  <c r="G209" i="34"/>
  <c r="F209" i="34" s="1"/>
  <c r="C210" i="34"/>
  <c r="F165" i="34"/>
  <c r="G187" i="34"/>
  <c r="C188" i="34"/>
  <c r="G166" i="34"/>
  <c r="F166" i="34" s="1"/>
  <c r="D167" i="34"/>
  <c r="G145" i="34"/>
  <c r="C146" i="34"/>
  <c r="C125" i="34"/>
  <c r="G102" i="34"/>
  <c r="F58" i="34"/>
  <c r="F20" i="34"/>
  <c r="G19" i="34"/>
  <c r="G38" i="34"/>
  <c r="F41" i="34"/>
  <c r="J23" i="31"/>
  <c r="J31" i="31"/>
  <c r="J40" i="31"/>
  <c r="I31" i="31"/>
  <c r="I23" i="31"/>
  <c r="I40" i="31"/>
  <c r="E40" i="31"/>
  <c r="E31" i="31"/>
  <c r="E23" i="31"/>
  <c r="E47" i="31" s="1"/>
  <c r="O35" i="31"/>
  <c r="AP9" i="20" s="1"/>
  <c r="AP18" i="20" s="1"/>
  <c r="O27" i="31"/>
  <c r="AO9" i="20" s="1"/>
  <c r="G40" i="31"/>
  <c r="G31" i="31"/>
  <c r="G23" i="31"/>
  <c r="L40" i="31"/>
  <c r="L31" i="31"/>
  <c r="L23" i="31"/>
  <c r="L47" i="31" s="1"/>
  <c r="M40" i="31"/>
  <c r="M31" i="31"/>
  <c r="M23" i="31"/>
  <c r="O24" i="31"/>
  <c r="N9" i="20" s="1"/>
  <c r="N18" i="20" s="1"/>
  <c r="D23" i="31"/>
  <c r="D40" i="31"/>
  <c r="D31" i="31"/>
  <c r="H23" i="31"/>
  <c r="H31" i="31"/>
  <c r="H40" i="31"/>
  <c r="O32" i="31"/>
  <c r="O9" i="20" s="1"/>
  <c r="O18" i="20" s="1"/>
  <c r="L50" i="31"/>
  <c r="O7" i="1"/>
  <c r="K23" i="31"/>
  <c r="K31" i="31"/>
  <c r="K40" i="31"/>
  <c r="AN9" i="20"/>
  <c r="O44" i="31"/>
  <c r="O33" i="31"/>
  <c r="X9" i="20" s="1"/>
  <c r="X18" i="20" s="1"/>
  <c r="M9" i="20"/>
  <c r="M18" i="20" s="1"/>
  <c r="O41" i="31"/>
  <c r="V9" i="20"/>
  <c r="O42" i="31"/>
  <c r="O43" i="31"/>
  <c r="AE9" i="20"/>
  <c r="O34" i="31"/>
  <c r="AG9" i="20" s="1"/>
  <c r="AG18" i="20" s="1"/>
  <c r="O26" i="31"/>
  <c r="AF9" i="20" s="1"/>
  <c r="AF18" i="20" s="1"/>
  <c r="C48" i="31"/>
  <c r="AS13" i="20"/>
  <c r="AS12" i="20" s="1"/>
  <c r="G28" i="20" s="1"/>
  <c r="C40" i="31"/>
  <c r="C31" i="31"/>
  <c r="O16" i="31"/>
  <c r="C23" i="31"/>
  <c r="J47" i="31" l="1"/>
  <c r="G124" i="34"/>
  <c r="M22" i="34"/>
  <c r="M27" i="34" s="1"/>
  <c r="M30" i="34" s="1"/>
  <c r="I47" i="31"/>
  <c r="F50" i="34"/>
  <c r="G43" i="34"/>
  <c r="F31" i="34"/>
  <c r="G62" i="34"/>
  <c r="G24" i="34"/>
  <c r="C47" i="31"/>
  <c r="F63" i="34"/>
  <c r="F70" i="34" s="1"/>
  <c r="H47" i="31"/>
  <c r="G47" i="31"/>
  <c r="G50" i="34"/>
  <c r="K47" i="31"/>
  <c r="D47" i="31"/>
  <c r="M47" i="31"/>
  <c r="N47" i="31"/>
  <c r="E10" i="19"/>
  <c r="E271" i="34"/>
  <c r="C139" i="34"/>
  <c r="C118" i="34"/>
  <c r="G118" i="34" s="1"/>
  <c r="F118" i="34" s="1"/>
  <c r="G98" i="34"/>
  <c r="F98" i="34" s="1"/>
  <c r="F79" i="34"/>
  <c r="F90" i="34" s="1"/>
  <c r="G77" i="34"/>
  <c r="C119" i="34"/>
  <c r="G119" i="34" s="1"/>
  <c r="C140" i="34"/>
  <c r="G99" i="34"/>
  <c r="G57" i="34"/>
  <c r="D10" i="19"/>
  <c r="C255" i="34"/>
  <c r="G254" i="34"/>
  <c r="G232" i="34"/>
  <c r="C233" i="34"/>
  <c r="C211" i="34"/>
  <c r="G210" i="34"/>
  <c r="C189" i="34"/>
  <c r="G188" i="34"/>
  <c r="F188" i="34" s="1"/>
  <c r="F187" i="34"/>
  <c r="D168" i="34"/>
  <c r="G168" i="34" s="1"/>
  <c r="F168" i="34" s="1"/>
  <c r="G167" i="34"/>
  <c r="G82" i="34"/>
  <c r="F145" i="34"/>
  <c r="C147" i="34"/>
  <c r="G147" i="34" s="1"/>
  <c r="G146" i="34"/>
  <c r="G125" i="34"/>
  <c r="C126" i="34"/>
  <c r="G126" i="34" s="1"/>
  <c r="F126" i="34" s="1"/>
  <c r="F124" i="34"/>
  <c r="G31" i="34"/>
  <c r="AQ9" i="20"/>
  <c r="AQ18" i="20" s="1"/>
  <c r="AO18" i="20"/>
  <c r="AM9" i="20"/>
  <c r="AM18" i="20" s="1"/>
  <c r="AR9" i="20"/>
  <c r="AN18" i="20"/>
  <c r="AH9" i="20"/>
  <c r="AH18" i="20" s="1"/>
  <c r="AI9" i="20"/>
  <c r="AE18" i="20"/>
  <c r="AD9" i="20"/>
  <c r="AD18" i="20" s="1"/>
  <c r="Q9" i="20"/>
  <c r="Q18" i="20" s="1"/>
  <c r="O40" i="31"/>
  <c r="P9" i="20"/>
  <c r="P18" i="20" s="1"/>
  <c r="L9" i="20"/>
  <c r="L18" i="20" s="1"/>
  <c r="Y9" i="20"/>
  <c r="Y18" i="20" s="1"/>
  <c r="Z9" i="20"/>
  <c r="V18" i="20"/>
  <c r="U9" i="20"/>
  <c r="U18" i="20" s="1"/>
  <c r="H9" i="20"/>
  <c r="O23" i="31"/>
  <c r="E9" i="20" s="1"/>
  <c r="O31" i="31"/>
  <c r="F9" i="20" s="1"/>
  <c r="D14" i="26"/>
  <c r="C8" i="3" s="1"/>
  <c r="I36" i="26"/>
  <c r="D12" i="26" s="1"/>
  <c r="C7" i="3" s="1"/>
  <c r="I13" i="26"/>
  <c r="D11" i="26" s="1"/>
  <c r="C6" i="3" s="1"/>
  <c r="L27" i="26"/>
  <c r="D13" i="26" s="1"/>
  <c r="C9" i="3" s="1"/>
  <c r="E16" i="11"/>
  <c r="E15" i="11"/>
  <c r="C18" i="1"/>
  <c r="C19" i="1"/>
  <c r="C20" i="1"/>
  <c r="C21" i="1"/>
  <c r="C17" i="1"/>
  <c r="E4" i="25"/>
  <c r="E5" i="25" s="1"/>
  <c r="F125" i="34" l="1"/>
  <c r="L30" i="34"/>
  <c r="G70" i="34"/>
  <c r="G90" i="34"/>
  <c r="F271" i="34"/>
  <c r="F10" i="19"/>
  <c r="C160" i="34"/>
  <c r="G160" i="34" s="1"/>
  <c r="F160" i="34" s="1"/>
  <c r="C181" i="34"/>
  <c r="G139" i="34"/>
  <c r="F139" i="34" s="1"/>
  <c r="C161" i="34"/>
  <c r="G161" i="34" s="1"/>
  <c r="C182" i="34"/>
  <c r="G140" i="34"/>
  <c r="F119" i="34"/>
  <c r="F131" i="34" s="1"/>
  <c r="G117" i="34"/>
  <c r="F99" i="34"/>
  <c r="F110" i="34" s="1"/>
  <c r="G97" i="34"/>
  <c r="F254" i="34"/>
  <c r="C256" i="34"/>
  <c r="G255" i="34"/>
  <c r="F255" i="34" s="1"/>
  <c r="C234" i="34"/>
  <c r="G234" i="34" s="1"/>
  <c r="F234" i="34" s="1"/>
  <c r="G233" i="34"/>
  <c r="F233" i="34" s="1"/>
  <c r="F232" i="34"/>
  <c r="F167" i="34"/>
  <c r="G164" i="34"/>
  <c r="F210" i="34"/>
  <c r="C212" i="34"/>
  <c r="G212" i="34" s="1"/>
  <c r="F212" i="34" s="1"/>
  <c r="G211" i="34"/>
  <c r="F211" i="34" s="1"/>
  <c r="G189" i="34"/>
  <c r="F189" i="34" s="1"/>
  <c r="C190" i="34"/>
  <c r="G190" i="34" s="1"/>
  <c r="F190" i="34" s="1"/>
  <c r="G143" i="34"/>
  <c r="G122" i="34"/>
  <c r="AI18" i="20"/>
  <c r="AJ9" i="20"/>
  <c r="AJ8" i="20" s="1"/>
  <c r="AR18" i="20"/>
  <c r="AS9" i="20"/>
  <c r="AS8" i="20" s="1"/>
  <c r="R9" i="20"/>
  <c r="R8" i="20" s="1"/>
  <c r="D27" i="20" s="1"/>
  <c r="AA9" i="20"/>
  <c r="AA8" i="20" s="1"/>
  <c r="Z18" i="20"/>
  <c r="D10" i="29"/>
  <c r="H10" i="29" s="1"/>
  <c r="D9" i="29"/>
  <c r="H9" i="29" s="1"/>
  <c r="H8" i="29" s="1"/>
  <c r="H11" i="29" s="1"/>
  <c r="D7" i="29"/>
  <c r="H11" i="17"/>
  <c r="G11" i="17"/>
  <c r="F11" i="17"/>
  <c r="E11" i="17"/>
  <c r="D11" i="17"/>
  <c r="D12" i="11"/>
  <c r="D18" i="11" s="1"/>
  <c r="J11" i="12"/>
  <c r="D23" i="12" s="1"/>
  <c r="L31" i="34" l="1"/>
  <c r="N30" i="34"/>
  <c r="I13" i="38" s="1"/>
  <c r="R18" i="20"/>
  <c r="G271" i="34"/>
  <c r="H10" i="19" s="1"/>
  <c r="G10" i="19"/>
  <c r="C203" i="34"/>
  <c r="G203" i="34" s="1"/>
  <c r="F203" i="34" s="1"/>
  <c r="C225" i="34"/>
  <c r="G181" i="34"/>
  <c r="F181" i="34" s="1"/>
  <c r="C204" i="34"/>
  <c r="G204" i="34" s="1"/>
  <c r="C226" i="34"/>
  <c r="G182" i="34"/>
  <c r="F140" i="34"/>
  <c r="F152" i="34" s="1"/>
  <c r="G138" i="34"/>
  <c r="G110" i="34"/>
  <c r="F161" i="34"/>
  <c r="F173" i="34" s="1"/>
  <c r="G159" i="34"/>
  <c r="G131" i="34"/>
  <c r="C257" i="34"/>
  <c r="G257" i="34" s="1"/>
  <c r="G256" i="34"/>
  <c r="F256" i="34" s="1"/>
  <c r="G229" i="34"/>
  <c r="G207" i="34"/>
  <c r="G185" i="34"/>
  <c r="AS18" i="20"/>
  <c r="G27" i="20"/>
  <c r="AA18" i="20"/>
  <c r="E27" i="20"/>
  <c r="AJ18" i="20"/>
  <c r="F27" i="20"/>
  <c r="D8" i="29"/>
  <c r="D11" i="29" s="1"/>
  <c r="D21" i="12"/>
  <c r="G152" i="34" l="1"/>
  <c r="C247" i="34"/>
  <c r="G247" i="34" s="1"/>
  <c r="F247" i="34" s="1"/>
  <c r="G225" i="34"/>
  <c r="F225" i="34" s="1"/>
  <c r="C248" i="34"/>
  <c r="G248" i="34" s="1"/>
  <c r="G226" i="34"/>
  <c r="F204" i="34"/>
  <c r="F217" i="34" s="1"/>
  <c r="G202" i="34"/>
  <c r="G173" i="34"/>
  <c r="F182" i="34"/>
  <c r="F195" i="34" s="1"/>
  <c r="G180" i="34"/>
  <c r="H194" i="34" s="1"/>
  <c r="H229" i="34"/>
  <c r="F257" i="34"/>
  <c r="G251" i="34"/>
  <c r="L27" i="34" s="1"/>
  <c r="D18" i="7"/>
  <c r="D13" i="7"/>
  <c r="H15" i="7"/>
  <c r="N27" i="34" l="1"/>
  <c r="I12" i="38" s="1"/>
  <c r="L28" i="34"/>
  <c r="E15" i="39"/>
  <c r="H15" i="39"/>
  <c r="D15" i="39"/>
  <c r="G15" i="39"/>
  <c r="F15" i="39"/>
  <c r="G217" i="34"/>
  <c r="H217" i="34"/>
  <c r="F226" i="34"/>
  <c r="F239" i="34" s="1"/>
  <c r="G224" i="34"/>
  <c r="L22" i="34" s="1"/>
  <c r="F248" i="34"/>
  <c r="F262" i="34" s="1"/>
  <c r="G246" i="34"/>
  <c r="G262" i="34" s="1"/>
  <c r="G195" i="34"/>
  <c r="D270" i="34"/>
  <c r="H251" i="34"/>
  <c r="C270" i="34"/>
  <c r="D19" i="7"/>
  <c r="C6" i="22"/>
  <c r="E6" i="3"/>
  <c r="F6" i="3" s="1"/>
  <c r="G6" i="3" s="1"/>
  <c r="H6" i="3" s="1"/>
  <c r="E7" i="3"/>
  <c r="F7" i="3" s="1"/>
  <c r="G7" i="3" s="1"/>
  <c r="H7" i="3" s="1"/>
  <c r="E8" i="3"/>
  <c r="F8" i="3" s="1"/>
  <c r="G8" i="3" s="1"/>
  <c r="H8" i="3" s="1"/>
  <c r="E9" i="3"/>
  <c r="F9" i="3" s="1"/>
  <c r="G9" i="3" s="1"/>
  <c r="H9" i="3" s="1"/>
  <c r="D18" i="1"/>
  <c r="E18" i="1"/>
  <c r="F18" i="1"/>
  <c r="G18" i="1"/>
  <c r="H18" i="1"/>
  <c r="I18" i="1"/>
  <c r="J18" i="1"/>
  <c r="K18" i="1"/>
  <c r="L18" i="1"/>
  <c r="M18" i="1"/>
  <c r="N18" i="1"/>
  <c r="O18" i="1"/>
  <c r="O8" i="1"/>
  <c r="H16" i="7"/>
  <c r="H17" i="7"/>
  <c r="F17" i="7" s="1"/>
  <c r="D16" i="26"/>
  <c r="D19" i="1"/>
  <c r="E19" i="1"/>
  <c r="F19" i="1"/>
  <c r="G19" i="1"/>
  <c r="H19" i="1"/>
  <c r="I19" i="1"/>
  <c r="J19" i="1"/>
  <c r="K19" i="1"/>
  <c r="L19" i="1"/>
  <c r="M19" i="1"/>
  <c r="N19" i="1"/>
  <c r="O19" i="1"/>
  <c r="O9" i="1"/>
  <c r="E17" i="1"/>
  <c r="F17" i="1"/>
  <c r="G17" i="1"/>
  <c r="H7" i="4"/>
  <c r="I17" i="1"/>
  <c r="J17" i="1"/>
  <c r="K17" i="1"/>
  <c r="L7" i="4"/>
  <c r="M17" i="1"/>
  <c r="N17" i="1"/>
  <c r="O17" i="1"/>
  <c r="E16" i="26"/>
  <c r="E8" i="26"/>
  <c r="F16" i="26"/>
  <c r="F8" i="26"/>
  <c r="E6" i="25"/>
  <c r="E7" i="25" s="1"/>
  <c r="E8" i="25" s="1"/>
  <c r="H8" i="7"/>
  <c r="H9" i="7"/>
  <c r="H10" i="7"/>
  <c r="H11" i="7"/>
  <c r="H12" i="7"/>
  <c r="F7" i="4"/>
  <c r="G7" i="4"/>
  <c r="J7" i="4"/>
  <c r="K7" i="4"/>
  <c r="N7" i="4"/>
  <c r="O7" i="4"/>
  <c r="F6" i="16"/>
  <c r="H6" i="16" s="1"/>
  <c r="G6" i="16"/>
  <c r="D8" i="26"/>
  <c r="D6" i="16" s="1"/>
  <c r="V8" i="1"/>
  <c r="D13" i="20"/>
  <c r="H13" i="20" s="1"/>
  <c r="E13" i="20"/>
  <c r="F13" i="20" s="1"/>
  <c r="F15" i="7"/>
  <c r="F11" i="7"/>
  <c r="G13" i="7"/>
  <c r="D21" i="1"/>
  <c r="E21" i="1"/>
  <c r="F21" i="1"/>
  <c r="G21" i="1"/>
  <c r="H21" i="1"/>
  <c r="I21" i="1"/>
  <c r="J21" i="1"/>
  <c r="K21" i="1"/>
  <c r="L21" i="1"/>
  <c r="M21" i="1"/>
  <c r="N21" i="1"/>
  <c r="O21" i="1"/>
  <c r="D20" i="1"/>
  <c r="E20" i="1"/>
  <c r="F20" i="1"/>
  <c r="G20" i="1"/>
  <c r="H20" i="1"/>
  <c r="I20" i="1"/>
  <c r="J20" i="1"/>
  <c r="K20" i="1"/>
  <c r="L20" i="1"/>
  <c r="M20" i="1"/>
  <c r="N20" i="1"/>
  <c r="O20" i="1"/>
  <c r="O10" i="1"/>
  <c r="O11" i="1"/>
  <c r="B18" i="22"/>
  <c r="G30" i="20"/>
  <c r="F30" i="20"/>
  <c r="E30" i="20"/>
  <c r="D30" i="20"/>
  <c r="D26" i="20"/>
  <c r="I28" i="16"/>
  <c r="H28" i="16"/>
  <c r="G28" i="16"/>
  <c r="D17" i="16"/>
  <c r="D10" i="12"/>
  <c r="F12" i="7"/>
  <c r="F8" i="7"/>
  <c r="N22" i="34" l="1"/>
  <c r="I11" i="38" s="1"/>
  <c r="I15" i="38" s="1"/>
  <c r="L23" i="34"/>
  <c r="G17" i="39"/>
  <c r="G13" i="17" s="1"/>
  <c r="I7" i="38"/>
  <c r="F17" i="39"/>
  <c r="F13" i="17" s="1"/>
  <c r="E17" i="39"/>
  <c r="E13" i="17" s="1"/>
  <c r="H17" i="39"/>
  <c r="H13" i="17" s="1"/>
  <c r="D17" i="39"/>
  <c r="D13" i="17" s="1"/>
  <c r="F13" i="7"/>
  <c r="C269" i="34"/>
  <c r="D8" i="19" s="1"/>
  <c r="H224" i="34"/>
  <c r="H239" i="34" s="1"/>
  <c r="G239" i="34"/>
  <c r="H246" i="34"/>
  <c r="H262" i="34" s="1"/>
  <c r="D269" i="34"/>
  <c r="D272" i="34" s="1"/>
  <c r="E11" i="19" s="1"/>
  <c r="E270" i="34"/>
  <c r="G11" i="16"/>
  <c r="G13" i="20"/>
  <c r="I13" i="20" s="1"/>
  <c r="I12" i="20" s="1"/>
  <c r="C28" i="20" s="1"/>
  <c r="H18" i="7"/>
  <c r="H13" i="7"/>
  <c r="E18" i="22"/>
  <c r="D7" i="4"/>
  <c r="L17" i="1"/>
  <c r="H17" i="1"/>
  <c r="M7" i="4"/>
  <c r="F16" i="7"/>
  <c r="G18" i="7" s="1"/>
  <c r="G19" i="7" s="1"/>
  <c r="D7" i="16"/>
  <c r="E7" i="4"/>
  <c r="I7" i="4"/>
  <c r="F11" i="3"/>
  <c r="H11" i="3"/>
  <c r="I10" i="16" s="1"/>
  <c r="H11" i="16"/>
  <c r="F11" i="16"/>
  <c r="P20" i="1"/>
  <c r="P19" i="1"/>
  <c r="P18" i="1"/>
  <c r="P21" i="1"/>
  <c r="G12" i="17" l="1"/>
  <c r="D12" i="17"/>
  <c r="E12" i="17"/>
  <c r="G6" i="17"/>
  <c r="G7" i="17" s="1"/>
  <c r="G9" i="39"/>
  <c r="H16" i="39"/>
  <c r="I14" i="16" s="1"/>
  <c r="D16" i="39"/>
  <c r="E14" i="16" s="1"/>
  <c r="G16" i="39"/>
  <c r="H14" i="16" s="1"/>
  <c r="F16" i="39"/>
  <c r="G14" i="16" s="1"/>
  <c r="E16" i="39"/>
  <c r="F14" i="16" s="1"/>
  <c r="I8" i="38"/>
  <c r="H6" i="17"/>
  <c r="H23" i="17" s="1"/>
  <c r="H9" i="39"/>
  <c r="E9" i="39"/>
  <c r="F12" i="39"/>
  <c r="F10" i="17" s="1"/>
  <c r="E12" i="39"/>
  <c r="E10" i="17" s="1"/>
  <c r="I6" i="38"/>
  <c r="H12" i="39"/>
  <c r="H10" i="17" s="1"/>
  <c r="D12" i="39"/>
  <c r="D10" i="17" s="1"/>
  <c r="G12" i="39"/>
  <c r="G10" i="17" s="1"/>
  <c r="G12" i="16"/>
  <c r="F9" i="39"/>
  <c r="F12" i="17"/>
  <c r="I5" i="38"/>
  <c r="I9" i="38" s="1"/>
  <c r="C13" i="22" s="1"/>
  <c r="G12" i="38"/>
  <c r="J15" i="38"/>
  <c r="K15" i="38" s="1"/>
  <c r="H12" i="17"/>
  <c r="F18" i="7"/>
  <c r="F19" i="7" s="1"/>
  <c r="H19" i="7" s="1"/>
  <c r="C272" i="34"/>
  <c r="D11" i="19" s="1"/>
  <c r="E269" i="34"/>
  <c r="F8" i="19" s="1"/>
  <c r="G269" i="34"/>
  <c r="H8" i="19" s="1"/>
  <c r="F269" i="34"/>
  <c r="G8" i="19" s="1"/>
  <c r="E8" i="19"/>
  <c r="F270" i="34"/>
  <c r="P17" i="1"/>
  <c r="P7" i="4"/>
  <c r="D18" i="22"/>
  <c r="D24" i="22" s="1"/>
  <c r="F18" i="22"/>
  <c r="F24" i="22" s="1"/>
  <c r="E24" i="22"/>
  <c r="F6" i="17"/>
  <c r="F23" i="17" s="1"/>
  <c r="H12" i="16"/>
  <c r="F12" i="16"/>
  <c r="E6" i="17"/>
  <c r="E7" i="17" s="1"/>
  <c r="I12" i="16"/>
  <c r="G23" i="17" l="1"/>
  <c r="H7" i="17"/>
  <c r="H24" i="17" s="1"/>
  <c r="I20" i="38"/>
  <c r="D6" i="17"/>
  <c r="D7" i="17" s="1"/>
  <c r="D8" i="17" s="1"/>
  <c r="D9" i="39"/>
  <c r="G8" i="38"/>
  <c r="K9" i="38"/>
  <c r="L12" i="38" s="1"/>
  <c r="D10" i="4"/>
  <c r="E10" i="4"/>
  <c r="E272" i="34"/>
  <c r="F11" i="19" s="1"/>
  <c r="G270" i="34"/>
  <c r="F272" i="34"/>
  <c r="G11" i="19" s="1"/>
  <c r="E12" i="16"/>
  <c r="G10" i="4"/>
  <c r="L10" i="4"/>
  <c r="O10" i="4"/>
  <c r="F10" i="4"/>
  <c r="J10" i="4"/>
  <c r="M10" i="4"/>
  <c r="I10" i="4"/>
  <c r="H10" i="4"/>
  <c r="K10" i="4"/>
  <c r="N10" i="4"/>
  <c r="F7" i="17"/>
  <c r="F8" i="17" s="1"/>
  <c r="F24" i="26"/>
  <c r="F26" i="26" s="1"/>
  <c r="F32" i="26" s="1"/>
  <c r="E3" i="25" s="1"/>
  <c r="E10" i="25" s="1"/>
  <c r="E23" i="17"/>
  <c r="E24" i="17"/>
  <c r="E8" i="17"/>
  <c r="G8" i="17"/>
  <c r="G24" i="17"/>
  <c r="L8" i="4" l="1"/>
  <c r="E8" i="4"/>
  <c r="G8" i="4"/>
  <c r="O8" i="4"/>
  <c r="D8" i="4"/>
  <c r="K8" i="4"/>
  <c r="M8" i="4"/>
  <c r="N8" i="4"/>
  <c r="H8" i="4"/>
  <c r="I8" i="4"/>
  <c r="J8" i="4"/>
  <c r="D6" i="22"/>
  <c r="F8" i="4"/>
  <c r="H8" i="17"/>
  <c r="D24" i="17"/>
  <c r="D23" i="17"/>
  <c r="D11" i="39"/>
  <c r="E11" i="39"/>
  <c r="F11" i="39"/>
  <c r="G11" i="39"/>
  <c r="I19" i="38"/>
  <c r="C4" i="38"/>
  <c r="I21" i="38" s="1"/>
  <c r="H11" i="39"/>
  <c r="E12" i="25"/>
  <c r="D24" i="16"/>
  <c r="G272" i="34"/>
  <c r="H11" i="19" s="1"/>
  <c r="F24" i="17"/>
  <c r="H13" i="39" l="1"/>
  <c r="H18" i="39" s="1"/>
  <c r="H20" i="39" s="1"/>
  <c r="I13" i="16"/>
  <c r="H9" i="17"/>
  <c r="G13" i="39"/>
  <c r="G18" i="39" s="1"/>
  <c r="G20" i="39" s="1"/>
  <c r="H13" i="16"/>
  <c r="G9" i="17"/>
  <c r="F13" i="39"/>
  <c r="F18" i="39" s="1"/>
  <c r="F20" i="39" s="1"/>
  <c r="F9" i="17"/>
  <c r="G13" i="16"/>
  <c r="E13" i="39"/>
  <c r="E18" i="39" s="1"/>
  <c r="E20" i="39" s="1"/>
  <c r="E9" i="17"/>
  <c r="F13" i="16"/>
  <c r="D9" i="17"/>
  <c r="E13" i="16"/>
  <c r="D13" i="39"/>
  <c r="D18" i="39" s="1"/>
  <c r="D20" i="39" s="1"/>
  <c r="D22" i="39" s="1"/>
  <c r="K21" i="38"/>
  <c r="K22" i="38" s="1"/>
  <c r="D28" i="16"/>
  <c r="E13" i="25" l="1"/>
  <c r="G14" i="25" s="1"/>
  <c r="E14" i="25" l="1"/>
  <c r="G15" i="25" s="1"/>
  <c r="F15" i="25" s="1"/>
  <c r="E15" i="25" l="1"/>
  <c r="G16" i="25" s="1"/>
  <c r="F16" i="25" s="1"/>
  <c r="E16" i="25" l="1"/>
  <c r="G17" i="25" s="1"/>
  <c r="F17" i="25" s="1"/>
  <c r="E17" i="25" l="1"/>
  <c r="G18" i="25" s="1"/>
  <c r="F18" i="25" s="1"/>
  <c r="E18" i="25" l="1"/>
  <c r="G19" i="25" s="1"/>
  <c r="F19" i="25" s="1"/>
  <c r="E19" i="25" l="1"/>
  <c r="G20" i="25" s="1"/>
  <c r="F20" i="25" s="1"/>
  <c r="E20" i="25" l="1"/>
  <c r="G21" i="25" s="1"/>
  <c r="F21" i="25" s="1"/>
  <c r="E21" i="25" l="1"/>
  <c r="G22" i="25" s="1"/>
  <c r="F22" i="25" s="1"/>
  <c r="E22" i="25" l="1"/>
  <c r="G23" i="25" s="1"/>
  <c r="F23" i="25" s="1"/>
  <c r="E23" i="25" l="1"/>
  <c r="G24" i="25" s="1"/>
  <c r="F24" i="25" s="1"/>
  <c r="L12" i="25" l="1"/>
  <c r="E26" i="16" l="1"/>
  <c r="E27" i="16" s="1"/>
  <c r="E25" i="16"/>
  <c r="E28" i="16" l="1"/>
  <c r="E24" i="25"/>
  <c r="G25" i="25" s="1"/>
  <c r="F25" i="25" s="1"/>
  <c r="E25" i="25" l="1"/>
  <c r="G26" i="25" s="1"/>
  <c r="F26" i="25" s="1"/>
  <c r="E26" i="25" l="1"/>
  <c r="G27" i="25" s="1"/>
  <c r="F27" i="25" s="1"/>
  <c r="E27" i="25" l="1"/>
  <c r="G28" i="25" s="1"/>
  <c r="F28" i="25" s="1"/>
  <c r="E28" i="25" l="1"/>
  <c r="G29" i="25" s="1"/>
  <c r="F29" i="25" s="1"/>
  <c r="E29" i="25" l="1"/>
  <c r="G30" i="25" s="1"/>
  <c r="F30" i="25" s="1"/>
  <c r="E30" i="25" l="1"/>
  <c r="G31" i="25" s="1"/>
  <c r="F31" i="25" s="1"/>
  <c r="E31" i="25" l="1"/>
  <c r="G32" i="25" s="1"/>
  <c r="F32" i="25" s="1"/>
  <c r="E32" i="25" l="1"/>
  <c r="G33" i="25" s="1"/>
  <c r="F33" i="25" s="1"/>
  <c r="E33" i="25" l="1"/>
  <c r="G34" i="25" s="1"/>
  <c r="F34" i="25" s="1"/>
  <c r="E34" i="25" l="1"/>
  <c r="G35" i="25" s="1"/>
  <c r="F35" i="25" s="1"/>
  <c r="E35" i="25" l="1"/>
  <c r="G36" i="25" s="1"/>
  <c r="F36" i="25" s="1"/>
  <c r="M12" i="25" l="1"/>
  <c r="F26" i="16" s="1"/>
  <c r="G37" i="25"/>
  <c r="F27" i="16" l="1"/>
  <c r="F37" i="25"/>
  <c r="E36" i="25"/>
  <c r="H37" i="25" l="1"/>
  <c r="F25" i="16"/>
  <c r="F28" i="16" l="1"/>
  <c r="D19" i="29" l="1"/>
  <c r="J10" i="12"/>
  <c r="D20" i="29" l="1"/>
  <c r="D22" i="29" s="1"/>
  <c r="E13" i="18" s="1"/>
  <c r="H2" i="30" s="1"/>
  <c r="H19" i="29"/>
  <c r="H20" i="29" s="1"/>
  <c r="H22" i="29" s="1"/>
  <c r="F18" i="20"/>
  <c r="E18" i="20"/>
  <c r="C18" i="20"/>
  <c r="D18" i="20" l="1"/>
  <c r="G9" i="20"/>
  <c r="G18" i="20" l="1"/>
  <c r="I9" i="20" l="1"/>
  <c r="I8" i="20" s="1"/>
  <c r="H18" i="20"/>
  <c r="C27" i="20" l="1"/>
  <c r="N24" i="20"/>
  <c r="I18" i="20"/>
  <c r="C30" i="20"/>
  <c r="E9" i="4" l="1"/>
  <c r="E11" i="4" s="1"/>
  <c r="N9" i="4"/>
  <c r="N11" i="4" s="1"/>
  <c r="J9" i="4"/>
  <c r="J11" i="4" s="1"/>
  <c r="G9" i="4"/>
  <c r="G11" i="4" s="1"/>
  <c r="E6" i="22"/>
  <c r="C14" i="22" s="1"/>
  <c r="D13" i="22" s="1"/>
  <c r="H13" i="22" s="1"/>
  <c r="K9" i="4"/>
  <c r="K11" i="4" s="1"/>
  <c r="I9" i="4"/>
  <c r="I11" i="4" s="1"/>
  <c r="O9" i="4"/>
  <c r="O11" i="4" s="1"/>
  <c r="M9" i="4"/>
  <c r="M11" i="4" s="1"/>
  <c r="L9" i="4"/>
  <c r="L11" i="4" s="1"/>
  <c r="H9" i="4"/>
  <c r="H11" i="4" s="1"/>
  <c r="F9" i="4"/>
  <c r="F11" i="4" s="1"/>
  <c r="D9" i="4" l="1"/>
  <c r="D11" i="4" s="1"/>
  <c r="C12" i="4" s="1"/>
  <c r="D12" i="4" s="1"/>
  <c r="D13" i="4" s="1"/>
  <c r="E12" i="4" s="1"/>
  <c r="E13" i="4" s="1"/>
  <c r="F12" i="4" s="1"/>
  <c r="F13" i="4" s="1"/>
  <c r="G12" i="4" s="1"/>
  <c r="G13" i="4" s="1"/>
  <c r="H12" i="4" s="1"/>
  <c r="H13" i="4" s="1"/>
  <c r="I12" i="4" s="1"/>
  <c r="I13" i="4" s="1"/>
  <c r="J12" i="4" s="1"/>
  <c r="J13" i="4" s="1"/>
  <c r="K12" i="4" s="1"/>
  <c r="K13" i="4" s="1"/>
  <c r="L12" i="4" s="1"/>
  <c r="L13" i="4" s="1"/>
  <c r="M12" i="4" s="1"/>
  <c r="M13" i="4" s="1"/>
  <c r="N12" i="4" s="1"/>
  <c r="N13" i="4" s="1"/>
  <c r="O12" i="4" s="1"/>
  <c r="F14" i="17"/>
  <c r="E14" i="17"/>
  <c r="D14" i="17"/>
  <c r="G14" i="17"/>
  <c r="H14" i="17"/>
  <c r="P12" i="4" l="1"/>
  <c r="O13" i="4"/>
  <c r="D25" i="26" s="1"/>
  <c r="D15" i="17"/>
  <c r="D16" i="17" s="1"/>
  <c r="D17" i="17" s="1"/>
  <c r="D25" i="17"/>
  <c r="G15" i="17"/>
  <c r="G25" i="17"/>
  <c r="F25" i="17"/>
  <c r="F15" i="17"/>
  <c r="H25" i="17"/>
  <c r="H15" i="17"/>
  <c r="E25" i="17"/>
  <c r="E15" i="17"/>
  <c r="D24" i="26" l="1"/>
  <c r="D8" i="16" s="1"/>
  <c r="G26" i="26"/>
  <c r="E25" i="26" s="1"/>
  <c r="F26" i="17"/>
  <c r="F27" i="17" s="1"/>
  <c r="F16" i="17"/>
  <c r="F17" i="17" s="1"/>
  <c r="G15" i="16" s="1"/>
  <c r="D26" i="17"/>
  <c r="E15" i="16"/>
  <c r="E17" i="16" s="1"/>
  <c r="H26" i="17"/>
  <c r="H27" i="17" s="1"/>
  <c r="H16" i="17"/>
  <c r="H17" i="17" s="1"/>
  <c r="I15" i="16" s="1"/>
  <c r="E26" i="17"/>
  <c r="E27" i="17" s="1"/>
  <c r="E16" i="17"/>
  <c r="E17" i="17" s="1"/>
  <c r="F15" i="16" s="1"/>
  <c r="G26" i="17"/>
  <c r="G27" i="17" s="1"/>
  <c r="G16" i="17"/>
  <c r="G17" i="17" s="1"/>
  <c r="H15" i="16" s="1"/>
  <c r="E8" i="16" l="1"/>
  <c r="I9" i="16"/>
  <c r="E11" i="16"/>
  <c r="E18" i="16" s="1"/>
  <c r="D26" i="26"/>
  <c r="F33" i="26" s="1"/>
  <c r="J9" i="12" s="1"/>
  <c r="G25" i="26"/>
  <c r="E24" i="26"/>
  <c r="E26" i="26" s="1"/>
  <c r="E32" i="26" s="1"/>
  <c r="D11" i="16"/>
  <c r="G17" i="16"/>
  <c r="H17" i="16"/>
  <c r="F17" i="16"/>
  <c r="I17" i="16"/>
  <c r="E29" i="16" l="1"/>
  <c r="E33" i="26"/>
  <c r="J7" i="12" s="1"/>
  <c r="D8" i="12" s="1"/>
  <c r="D12" i="12" s="1"/>
  <c r="D18" i="16"/>
  <c r="F18" i="16"/>
  <c r="F33" i="16" s="1"/>
  <c r="G18" i="16"/>
  <c r="G33" i="16" s="1"/>
  <c r="I11" i="16"/>
  <c r="H18" i="16"/>
  <c r="H33" i="16" s="1"/>
  <c r="D33" i="16" l="1"/>
  <c r="G29" i="16"/>
  <c r="H29" i="16"/>
  <c r="F29" i="16"/>
  <c r="D29" i="16"/>
  <c r="J8" i="12"/>
  <c r="J14" i="12" s="1"/>
  <c r="J15" i="12" s="1"/>
  <c r="J16" i="12" s="1"/>
  <c r="D13" i="12"/>
  <c r="D14" i="12" s="1"/>
  <c r="I18" i="16"/>
  <c r="H15" i="29" s="1"/>
  <c r="I33" i="16" l="1"/>
  <c r="H13" i="29"/>
  <c r="H24" i="29" s="1"/>
  <c r="D15" i="29"/>
  <c r="C15" i="18" s="1"/>
  <c r="I29" i="16"/>
  <c r="D13" i="29"/>
  <c r="C13" i="18" s="1"/>
  <c r="F2" i="30" s="1"/>
  <c r="D26" i="29"/>
  <c r="E15" i="18" s="1"/>
  <c r="I2" i="30" s="1"/>
  <c r="G2" i="30" l="1"/>
  <c r="F37" i="16"/>
  <c r="F38" i="16"/>
  <c r="D24" i="29"/>
  <c r="F39" i="16" l="1"/>
</calcChain>
</file>

<file path=xl/sharedStrings.xml><?xml version="1.0" encoding="utf-8"?>
<sst xmlns="http://schemas.openxmlformats.org/spreadsheetml/2006/main" count="1104" uniqueCount="527">
  <si>
    <t>CUADRO N° 01</t>
  </si>
  <si>
    <t>caja de 12 unidades 50 gr cada chocolate</t>
  </si>
  <si>
    <t>chocolates al mes</t>
  </si>
  <si>
    <t>Año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</si>
  <si>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</si>
  <si>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</si>
  <si>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</si>
  <si>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</si>
  <si>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</si>
  <si>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</si>
  <si>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</si>
  <si>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</si>
  <si>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</si>
  <si>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</si>
  <si>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</si>
  <si>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</si>
  <si>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</si>
  <si>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chocolates al dia</t>
  </si>
  <si>
    <t>Horizonte de evaluacion es 5 años</t>
  </si>
  <si>
    <t>CUADRO N° 02</t>
  </si>
  <si>
    <t>Proyeccion de ventas en nuevos soles</t>
  </si>
  <si>
    <t>Valor Unitario</t>
  </si>
  <si>
    <t>costo de venta por chocolate</t>
  </si>
  <si>
    <t>costo de venta por caja de chocolates</t>
  </si>
  <si>
    <t>Pequeña empresa</t>
  </si>
  <si>
    <t>PRESUPUESTO DE INVERSIÓN Y FINANCIAMIENTO</t>
  </si>
  <si>
    <t>RUBRO</t>
  </si>
  <si>
    <t>INVERSIÓN INICIAL</t>
  </si>
  <si>
    <t>FINANCIAMIENTO</t>
  </si>
  <si>
    <t>Unidad de Medida</t>
  </si>
  <si>
    <t>Total</t>
  </si>
  <si>
    <t>Capital Propio</t>
  </si>
  <si>
    <t>Préstamo</t>
  </si>
  <si>
    <t>ACTIVO FIJO</t>
  </si>
  <si>
    <t>A. TANGIBLES</t>
  </si>
  <si>
    <t>Terreno</t>
  </si>
  <si>
    <t>Maquinarias y equipos</t>
  </si>
  <si>
    <t>Construccion y edificaciones</t>
  </si>
  <si>
    <t>Balanza (3)</t>
  </si>
  <si>
    <t xml:space="preserve">Maquinarias y equipos </t>
  </si>
  <si>
    <t>cocina industrial</t>
  </si>
  <si>
    <t>Herramientas y utensilios</t>
  </si>
  <si>
    <t>Refrigeradora</t>
  </si>
  <si>
    <t>Muebles y  enseres</t>
  </si>
  <si>
    <t>Equipo informatico</t>
  </si>
  <si>
    <t>Vehiculos</t>
  </si>
  <si>
    <t>B. INTANGIBLES</t>
  </si>
  <si>
    <t>Constitución y formalizacion</t>
  </si>
  <si>
    <t>Licencias</t>
  </si>
  <si>
    <t>Certificaciones</t>
  </si>
  <si>
    <t>Capacitaciones</t>
  </si>
  <si>
    <t>Promocion</t>
  </si>
  <si>
    <t>Implementación y puesta en marcha</t>
  </si>
  <si>
    <t>Muebles y enseres</t>
  </si>
  <si>
    <t>TOTAL DE ACTIVO FIJO</t>
  </si>
  <si>
    <t>cuchillos</t>
  </si>
  <si>
    <t>mesa de acero inoxidable</t>
  </si>
  <si>
    <t>Jarra</t>
  </si>
  <si>
    <t>sillas</t>
  </si>
  <si>
    <t>coladores</t>
  </si>
  <si>
    <t>estantes</t>
  </si>
  <si>
    <t>cucharoones de madera</t>
  </si>
  <si>
    <t>escritorio</t>
  </si>
  <si>
    <t>Ollas medianas</t>
  </si>
  <si>
    <t>tazones o boul de aceros</t>
  </si>
  <si>
    <t>cucharas</t>
  </si>
  <si>
    <t>Gastos de ventas</t>
  </si>
  <si>
    <t>Tablas para picar</t>
  </si>
  <si>
    <t>TOTAL DE INVERSIÓN</t>
  </si>
  <si>
    <t>peladores</t>
  </si>
  <si>
    <t>Moldes de plastico (100)</t>
  </si>
  <si>
    <t>Selladora (2)</t>
  </si>
  <si>
    <t>Extractora (2)</t>
  </si>
  <si>
    <t>encededor</t>
  </si>
  <si>
    <t>Pasta de cacao</t>
  </si>
  <si>
    <t>Yacon</t>
  </si>
  <si>
    <t>Gas</t>
  </si>
  <si>
    <t>CUADRO N° 04</t>
  </si>
  <si>
    <t>TABLA DE DEPRECIACIONES Y VALOR DE RECUPERO</t>
  </si>
  <si>
    <t>Valor de compra</t>
  </si>
  <si>
    <t>Vida útil (años)</t>
  </si>
  <si>
    <t>Tasa de Depreciacion</t>
  </si>
  <si>
    <t>Depreciación anual</t>
  </si>
  <si>
    <t>Depreciación Acumulada</t>
  </si>
  <si>
    <t>Valor de Recupero</t>
  </si>
  <si>
    <t>Infraestructura</t>
  </si>
  <si>
    <t>Maquinaria y equipos</t>
  </si>
  <si>
    <t>Equipos informaticos</t>
  </si>
  <si>
    <t>CUADRO N° 05</t>
  </si>
  <si>
    <t>VARIACION DE CAPITAL DE TRABAJO AÑO 1</t>
  </si>
  <si>
    <t>Unidades</t>
  </si>
  <si>
    <t>CV Unitario</t>
  </si>
  <si>
    <t>Variacion KW</t>
  </si>
  <si>
    <t>PRESUPUESTO ANUAL DE REMUNERACIONES</t>
  </si>
  <si>
    <t>REGIMEN LABORAL PEQUEÑA EMPRESA</t>
  </si>
  <si>
    <t>Cargo</t>
  </si>
  <si>
    <t>Básico mes</t>
  </si>
  <si>
    <t>Anual</t>
  </si>
  <si>
    <t>Gratificacion *</t>
  </si>
  <si>
    <t>CTS **</t>
  </si>
  <si>
    <t>Sub Total</t>
  </si>
  <si>
    <t>Essalud (***)</t>
  </si>
  <si>
    <t>Area de producción</t>
  </si>
  <si>
    <t>Area de Administración</t>
  </si>
  <si>
    <t>Asistente Administrativo</t>
  </si>
  <si>
    <t>(*) Gratificación Medio sueldo en julio y diciembre</t>
  </si>
  <si>
    <t>(**) Medio Sueldo</t>
  </si>
  <si>
    <t>(**) 9%</t>
  </si>
  <si>
    <t>PRESUPUESTO DE REMUNERACIONES  PROYECTADO</t>
  </si>
  <si>
    <t>AREAS</t>
  </si>
  <si>
    <t>PERIODOS</t>
  </si>
  <si>
    <t>PRODUCCION</t>
  </si>
  <si>
    <t>ADMINISTRACION</t>
  </si>
  <si>
    <t>VENTAS</t>
  </si>
  <si>
    <t>GASTOS OPERATIVOS PRIMER MES</t>
  </si>
  <si>
    <t>COSTO UNITARIO</t>
  </si>
  <si>
    <t>UNIDADES REQUERIDAS</t>
  </si>
  <si>
    <t xml:space="preserve">COSTO </t>
  </si>
  <si>
    <t>FIJO</t>
  </si>
  <si>
    <t>VARIABLE</t>
  </si>
  <si>
    <t>GASTOS DE ADMINISTRACION</t>
  </si>
  <si>
    <t>Servicios: Agua, luz, telefono e internet</t>
  </si>
  <si>
    <t>Mantenimiento y reparaciones.</t>
  </si>
  <si>
    <t>Utiles de oficina</t>
  </si>
  <si>
    <t>Alquiler de local</t>
  </si>
  <si>
    <t>TOTAL GASTOS DE ADMINISTRACION</t>
  </si>
  <si>
    <t>GASTOS DE VENTAS</t>
  </si>
  <si>
    <t>Flete</t>
  </si>
  <si>
    <t>Publicidad</t>
  </si>
  <si>
    <t>TOTAL GASTOS DE VENTAS</t>
  </si>
  <si>
    <t>TOTAL GASTOS OPERATIVOS</t>
  </si>
  <si>
    <t>COSTO TOTAL UNITARIO- CTU</t>
  </si>
  <si>
    <t>CTU =  CFU + CVU</t>
  </si>
  <si>
    <t>Costo fijo mes</t>
  </si>
  <si>
    <t>soles</t>
  </si>
  <si>
    <t>Donde:</t>
  </si>
  <si>
    <t>Depreciación activo fijo</t>
  </si>
  <si>
    <t>Amortización de intangibles</t>
  </si>
  <si>
    <t xml:space="preserve">Costo Fijo Unitario (CFU) =  </t>
  </si>
  <si>
    <t>Costo Fijo Total</t>
  </si>
  <si>
    <t>N° Unidades Producidas</t>
  </si>
  <si>
    <t>Total Costo Fijo</t>
  </si>
  <si>
    <t>Costo variable mes</t>
  </si>
  <si>
    <t xml:space="preserve">Costo Variable Unitario (CFU) =  </t>
  </si>
  <si>
    <t>Costo Variable Total</t>
  </si>
  <si>
    <t>Materia prima directa</t>
  </si>
  <si>
    <t>Mano de obra directa</t>
  </si>
  <si>
    <t>Total Costo Variable</t>
  </si>
  <si>
    <t>Costos Unitarios</t>
  </si>
  <si>
    <t>Nº de Unidades de chocolatesde 50 gr</t>
  </si>
  <si>
    <t>Costo fijo unitario,CFU</t>
  </si>
  <si>
    <t>Costo variable unitario, CVU</t>
  </si>
  <si>
    <t>Costo total unitario, CTU</t>
  </si>
  <si>
    <t>PRODUCTO</t>
  </si>
  <si>
    <t>CVU</t>
  </si>
  <si>
    <t>MgCU</t>
  </si>
  <si>
    <t>A</t>
  </si>
  <si>
    <t>CVU = Costo variable Unitario</t>
  </si>
  <si>
    <t>MgCU = Margen de Contribución Unitario</t>
  </si>
  <si>
    <t xml:space="preserve">   PE =</t>
  </si>
  <si>
    <t>CF</t>
  </si>
  <si>
    <t>PE =</t>
  </si>
  <si>
    <t>PUNTO EQUILIBRIO SOLES</t>
  </si>
  <si>
    <t>PUNTO DE EQUILIBRIO EN UNIDADES POR PRODUCTO</t>
  </si>
  <si>
    <t>PRODUCTOS</t>
  </si>
  <si>
    <t>UNIDAD
DE MEDIDA</t>
  </si>
  <si>
    <t>CANTIDAD
ANUAL</t>
  </si>
  <si>
    <t>CANTIDAD
MENSUAL</t>
  </si>
  <si>
    <t>CANTIDAD
DIARIA</t>
  </si>
  <si>
    <t xml:space="preserve">unidad
</t>
  </si>
  <si>
    <t>PUNTO DE EQUILIBRIO EN SOLES POR PRODUCTO</t>
  </si>
  <si>
    <t>PRECIO S/.</t>
  </si>
  <si>
    <t>TOTAL
ANUALS/.</t>
  </si>
  <si>
    <t>TOTAL
MES S/.</t>
  </si>
  <si>
    <t>TOTAL
DIARIO S/.</t>
  </si>
  <si>
    <t>ESTADO DE RESULTADOS ECONÓMICO</t>
  </si>
  <si>
    <t xml:space="preserve">REGIMEN TRIBUTARIO MYPE TRIBUTARIO </t>
  </si>
  <si>
    <t>Ventas netas sin IGV</t>
  </si>
  <si>
    <t>(-) Costo de ventas</t>
  </si>
  <si>
    <t>Costos de produccion</t>
  </si>
  <si>
    <t>Depreciacion Activo Fijo</t>
  </si>
  <si>
    <t>Utilidad Bruta</t>
  </si>
  <si>
    <t>(-) Gastos operativos</t>
  </si>
  <si>
    <t>Gastos administrativos</t>
  </si>
  <si>
    <t>Amortizacion de intangibles</t>
  </si>
  <si>
    <t>Utilidad Operativa</t>
  </si>
  <si>
    <t>Intereses</t>
  </si>
  <si>
    <t>Utilidad Imponible</t>
  </si>
  <si>
    <t>Impuesto a la renta (*)</t>
  </si>
  <si>
    <t>Utilidad Neta</t>
  </si>
  <si>
    <t>(*) Con MYPE tributario es escalonado de acuerdo a utilidad Imponible</t>
  </si>
  <si>
    <t xml:space="preserve">     Con RG 29.5% sobre la utilidad imponible</t>
  </si>
  <si>
    <t xml:space="preserve">Kurt = Rf usa+ bu total ME* (Rm- Rf) usa+ Rp PERU </t>
  </si>
  <si>
    <t>COK Apalancado con riesgo total</t>
  </si>
  <si>
    <t>Costo Promedio Ponderado de Capital con riesgo total</t>
  </si>
  <si>
    <t xml:space="preserve">Kert = Rfusa + brl total PERU* (Rm- Rf )usa+ Rp PERU                                                 </t>
  </si>
  <si>
    <t>Dónde:</t>
  </si>
  <si>
    <t xml:space="preserve">t* = </t>
  </si>
  <si>
    <t>Kwacc</t>
  </si>
  <si>
    <t>Beta reapalancado para el proyecto</t>
  </si>
  <si>
    <t xml:space="preserve">             brl total  =  bu total ME *( 1+(D/E*)*( 1-t))PERU                                                                              </t>
  </si>
  <si>
    <t xml:space="preserve">Donde:                                                                               </t>
  </si>
  <si>
    <t xml:space="preserve">βrl total perú </t>
  </si>
  <si>
    <t>c.) Tabla de amortizacion de la deuda</t>
  </si>
  <si>
    <t>Prestamo =</t>
  </si>
  <si>
    <t>TEA nominal =</t>
  </si>
  <si>
    <t>TEM nominal¨=</t>
  </si>
  <si>
    <t>Inflacion Anual =</t>
  </si>
  <si>
    <t>Inflacion mes =</t>
  </si>
  <si>
    <t>TEM real =</t>
  </si>
  <si>
    <t>n =</t>
  </si>
  <si>
    <t>cuota capital  =</t>
  </si>
  <si>
    <t>b.) y d.) Flujo de Caja Economico y Financiero</t>
  </si>
  <si>
    <t>FLUJOS DE CAJA ECONOMICO Y FINANCIERO</t>
  </si>
  <si>
    <t>Año 0</t>
  </si>
  <si>
    <t>Año 1</t>
  </si>
  <si>
    <t>Año 2</t>
  </si>
  <si>
    <t>Año 3</t>
  </si>
  <si>
    <t>Año 4</t>
  </si>
  <si>
    <t>Año 5</t>
  </si>
  <si>
    <t>Ingresos por ventas</t>
  </si>
  <si>
    <t>Costos de produccion (*)</t>
  </si>
  <si>
    <t>Pago de IGV</t>
  </si>
  <si>
    <t>Flujo de Caja Economico FCE</t>
  </si>
  <si>
    <t>Prestamo</t>
  </si>
  <si>
    <t xml:space="preserve">Cuota de capital </t>
  </si>
  <si>
    <t>Escudo fiscal de intereses</t>
  </si>
  <si>
    <t>Total Flujo Financiamiento Neto</t>
  </si>
  <si>
    <t>Flujo de Caja Financiero FCF</t>
  </si>
  <si>
    <t>(*) Sin depreciaciones</t>
  </si>
  <si>
    <t>(**) Sin amortizacion de intangibles</t>
  </si>
  <si>
    <t>Flujo de caja ajustado</t>
  </si>
  <si>
    <t>PAGO DE IGV PROYECTADO</t>
  </si>
  <si>
    <t>Ingresos sin IGV</t>
  </si>
  <si>
    <t>Ingreso con GV</t>
  </si>
  <si>
    <t>Egresos sin IGV</t>
  </si>
  <si>
    <t>Egresos con IGV</t>
  </si>
  <si>
    <t>Pago IGV</t>
  </si>
  <si>
    <t>Pago IGV (Icon-Econ)</t>
  </si>
  <si>
    <t>MODELO FINANCIERO</t>
  </si>
  <si>
    <t>COK</t>
  </si>
  <si>
    <t>nominal anual</t>
  </si>
  <si>
    <t>EVALUACION ECONOMICA</t>
  </si>
  <si>
    <t>Horizonte Ev.</t>
  </si>
  <si>
    <t>años</t>
  </si>
  <si>
    <t>Y FINANCIERA DE INVERSIONES</t>
  </si>
  <si>
    <t>TEA</t>
  </si>
  <si>
    <t>Impuesto I</t>
  </si>
  <si>
    <t>0-S/. 66,000</t>
  </si>
  <si>
    <t>Impuesto II</t>
  </si>
  <si>
    <t>Mayor a 66,000</t>
  </si>
  <si>
    <t>VANE</t>
  </si>
  <si>
    <t>VANF</t>
  </si>
  <si>
    <t>Precio venta</t>
  </si>
  <si>
    <t>TIRE</t>
  </si>
  <si>
    <t>TIRF</t>
  </si>
  <si>
    <t>COSTOS DE PRODUCCION O VENTAS</t>
  </si>
  <si>
    <t xml:space="preserve"> Materia Prima Directa</t>
  </si>
  <si>
    <t>gramos</t>
  </si>
  <si>
    <t>Pasta de cacao 400 gr</t>
  </si>
  <si>
    <t>Yacon (Kg)</t>
  </si>
  <si>
    <t>Envolturas</t>
  </si>
  <si>
    <t xml:space="preserve"> Mano de Obra Directa</t>
  </si>
  <si>
    <t>x</t>
  </si>
  <si>
    <t>Costos Indirectos de Fabricacion</t>
  </si>
  <si>
    <t>TOTAL COSTOS DE PRODUCCION</t>
  </si>
  <si>
    <t>PROYECCION DE COSTOS DE PRODUCCIÓN</t>
  </si>
  <si>
    <t>DESCRIPCION</t>
  </si>
  <si>
    <t>A. COSTOS DE PRODUCCION</t>
  </si>
  <si>
    <t xml:space="preserve"> Materia prima  e insumos</t>
  </si>
  <si>
    <t xml:space="preserve"> Mano de Obra</t>
  </si>
  <si>
    <t>[</t>
  </si>
  <si>
    <t>UNIDADES</t>
  </si>
  <si>
    <t>UNIDADES REQUERIDAS (KG)</t>
  </si>
  <si>
    <t>MESES</t>
  </si>
  <si>
    <t>(2 AÑOS)</t>
  </si>
  <si>
    <t xml:space="preserve">Gastos de ventas </t>
  </si>
  <si>
    <t>PUNTO DE EQUILIBRIO POR UNIDADES</t>
  </si>
  <si>
    <t>DIAS LABORABLES DE PRODUCCION</t>
  </si>
  <si>
    <t>Por chocolate</t>
  </si>
  <si>
    <t xml:space="preserve">CAPITAL DE TRABAJO </t>
  </si>
  <si>
    <t>unidades</t>
  </si>
  <si>
    <t>CV Total</t>
  </si>
  <si>
    <t>GF Total</t>
  </si>
  <si>
    <t>KW Total</t>
  </si>
  <si>
    <t>VANE =</t>
  </si>
  <si>
    <t>VAEFI</t>
  </si>
  <si>
    <t>IGV  de venta</t>
  </si>
  <si>
    <t>IGV Compra</t>
  </si>
  <si>
    <t>TEA 15%</t>
  </si>
  <si>
    <t>Proyeccion de ventas ( Chocolates endulzados )</t>
  </si>
  <si>
    <t xml:space="preserve">PRECIO </t>
  </si>
  <si>
    <t>Inflacion USA</t>
  </si>
  <si>
    <t>Inflacion en Peru</t>
  </si>
  <si>
    <t>AÑO 1</t>
  </si>
  <si>
    <t>N° DE CUOTAS</t>
  </si>
  <si>
    <t>SALDO CAPITAL</t>
  </si>
  <si>
    <t>AMORTIZACIÓN DE CAPITAL</t>
  </si>
  <si>
    <t>INTERÉS</t>
  </si>
  <si>
    <t>MONTO CUOTA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</si>
  <si>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</si>
  <si>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</si>
  <si>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</si>
  <si>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</si>
  <si>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</si>
  <si>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</si>
  <si>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</si>
  <si>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</si>
  <si>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</si>
  <si>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</si>
  <si>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</si>
  <si>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</si>
  <si>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</si>
  <si>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</si>
  <si>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</si>
  <si>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</si>
  <si>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</si>
  <si>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</si>
  <si>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</si>
  <si>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</si>
  <si>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</si>
  <si>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</si>
  <si>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</si>
  <si>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</si>
  <si>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</si>
  <si>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TOTALES</t>
  </si>
  <si>
    <t>Volantes (Millar)</t>
  </si>
  <si>
    <t>=</t>
  </si>
  <si>
    <t xml:space="preserve">Rf usa </t>
  </si>
  <si>
    <t xml:space="preserve">βu total ME </t>
  </si>
  <si>
    <t xml:space="preserve">(Rm-Rf) </t>
  </si>
  <si>
    <t xml:space="preserve">Rp </t>
  </si>
  <si>
    <t>Donde :</t>
  </si>
  <si>
    <t xml:space="preserve">Kurt   Nominal (Dolares)            </t>
  </si>
  <si>
    <t>Kurt   Nominal (soles)</t>
  </si>
  <si>
    <t>(Promedio 2010-2019)</t>
  </si>
  <si>
    <t>Porcentaje  de capital propio (Inversión)</t>
  </si>
  <si>
    <t>Financiamiento de terceros</t>
  </si>
  <si>
    <t>Porcentaje de Financiamiento (Prestamo)</t>
  </si>
  <si>
    <t>Desapalancado</t>
  </si>
  <si>
    <r>
      <rPr>
        <sz val="16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u total ME = </t>
    </r>
  </si>
  <si>
    <r>
      <rPr>
        <sz val="14"/>
        <color theme="1"/>
        <rFont val="Calibri"/>
        <family val="2"/>
        <scheme val="minor"/>
      </rPr>
      <t>D/E</t>
    </r>
    <r>
      <rPr>
        <sz val="11"/>
        <color theme="1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>PERU</t>
    </r>
    <r>
      <rPr>
        <sz val="11"/>
        <color theme="1"/>
        <rFont val="Calibri"/>
        <family val="2"/>
        <scheme val="minor"/>
      </rPr>
      <t xml:space="preserve"> = </t>
    </r>
  </si>
  <si>
    <t>B reapalancado para el proyecto</t>
  </si>
  <si>
    <t>Renta (Impuesto)</t>
  </si>
  <si>
    <t>Beta total desapalancado para procesamiento de alimentos (Damorada)</t>
  </si>
  <si>
    <t>COK nominal apalancado en dolares</t>
  </si>
  <si>
    <t xml:space="preserve">Rfusa </t>
  </si>
  <si>
    <t>brl total PERU</t>
  </si>
  <si>
    <t xml:space="preserve">(Rm – Rf)usa </t>
  </si>
  <si>
    <t xml:space="preserve">Kert </t>
  </si>
  <si>
    <t>COK nominal apalancado en Soles</t>
  </si>
  <si>
    <t>COK Real Apalancado en soles</t>
  </si>
  <si>
    <t xml:space="preserve">Kwacc nominal en dolares </t>
  </si>
  <si>
    <t xml:space="preserve">t* </t>
  </si>
  <si>
    <t xml:space="preserve">Kd </t>
  </si>
  <si>
    <t xml:space="preserve">D/V* </t>
  </si>
  <si>
    <t>Kert</t>
  </si>
  <si>
    <t>E/V*</t>
  </si>
  <si>
    <t>Kwacc nominal en soles</t>
  </si>
  <si>
    <t xml:space="preserve">Kwacc rt = E/V * Kert + D/V * Kd * (1 – t)                                                             </t>
  </si>
  <si>
    <t>Kwacc Real en soles</t>
  </si>
  <si>
    <t>Cuota Primer Año</t>
  </si>
  <si>
    <t xml:space="preserve">Cuota Segundo Año </t>
  </si>
  <si>
    <t>Intereses Primer Año</t>
  </si>
  <si>
    <t>Intereses Segundo Año</t>
  </si>
  <si>
    <t>EVALUACIÓN ECONÓMICA</t>
  </si>
  <si>
    <r>
      <rPr>
        <b/>
        <sz val="18"/>
        <color rgb="FF000000"/>
        <rFont val="Times New Roman"/>
        <family val="1"/>
      </rPr>
      <t>Ki</t>
    </r>
    <r>
      <rPr>
        <b/>
        <sz val="12"/>
        <color rgb="FF000000"/>
        <rFont val="Times New Roman"/>
        <family val="1"/>
      </rPr>
      <t xml:space="preserve"> real</t>
    </r>
    <r>
      <rPr>
        <b/>
        <sz val="18"/>
        <color rgb="FF000000"/>
        <rFont val="Times New Roman"/>
        <family val="1"/>
      </rPr>
      <t xml:space="preserve">  =  </t>
    </r>
    <r>
      <rPr>
        <b/>
        <u/>
        <sz val="18"/>
        <color rgb="FF000000"/>
        <rFont val="Times New Roman"/>
        <family val="1"/>
      </rPr>
      <t xml:space="preserve">(1+ Ki </t>
    </r>
    <r>
      <rPr>
        <b/>
        <u/>
        <sz val="12"/>
        <color rgb="FF000000"/>
        <rFont val="Times New Roman"/>
        <family val="1"/>
      </rPr>
      <t>nominal</t>
    </r>
    <r>
      <rPr>
        <b/>
        <sz val="18"/>
        <color rgb="FF000000"/>
        <rFont val="Times New Roman"/>
        <family val="1"/>
      </rPr>
      <t xml:space="preserve">) - 1                                                                               </t>
    </r>
  </si>
  <si>
    <r>
      <rPr>
        <b/>
        <sz val="18"/>
        <color rgb="FF000000"/>
        <rFont val="Times New Roman"/>
        <family val="1"/>
      </rPr>
      <t xml:space="preserve">                        (1 +  </t>
    </r>
    <r>
      <rPr>
        <b/>
        <sz val="20"/>
        <color rgb="FF000000"/>
        <rFont val="Times New Roman"/>
        <family val="1"/>
      </rPr>
      <t>π</t>
    </r>
    <r>
      <rPr>
        <b/>
        <sz val="18"/>
        <color rgb="FF000000"/>
        <rFont val="Times New Roman"/>
        <family val="1"/>
      </rPr>
      <t>)</t>
    </r>
  </si>
  <si>
    <t>COK  real</t>
  </si>
  <si>
    <r>
      <rPr>
        <b/>
        <sz val="18"/>
        <color rgb="FF000000"/>
        <rFont val="Times New Roman"/>
        <family val="1"/>
      </rPr>
      <t>Ki (s/.)  = Ki ($) X (</t>
    </r>
    <r>
      <rPr>
        <b/>
        <u/>
        <sz val="18"/>
        <color rgb="FF000000"/>
        <rFont val="Times New Roman"/>
        <family val="1"/>
      </rPr>
      <t>1+</t>
    </r>
    <r>
      <rPr>
        <b/>
        <u/>
        <sz val="20"/>
        <color rgb="FF000000"/>
        <rFont val="Times New Roman"/>
        <family val="1"/>
      </rPr>
      <t xml:space="preserve"> π</t>
    </r>
    <r>
      <rPr>
        <b/>
        <u/>
        <sz val="18"/>
        <color rgb="FF000000"/>
        <rFont val="Times New Roman"/>
        <family val="1"/>
      </rPr>
      <t xml:space="preserve"> </t>
    </r>
    <r>
      <rPr>
        <b/>
        <u/>
        <sz val="12"/>
        <color rgb="FF000000"/>
        <rFont val="Times New Roman"/>
        <family val="1"/>
      </rPr>
      <t>Perú</t>
    </r>
    <r>
      <rPr>
        <b/>
        <u/>
        <sz val="18"/>
        <color rgb="FF000000"/>
        <rFont val="Times New Roman"/>
        <family val="1"/>
      </rPr>
      <t xml:space="preserve">) </t>
    </r>
  </si>
  <si>
    <r>
      <rPr>
        <b/>
        <sz val="18"/>
        <color rgb="FF000000"/>
        <rFont val="Times New Roman"/>
        <family val="1"/>
      </rPr>
      <t xml:space="preserve">                                (1+</t>
    </r>
    <r>
      <rPr>
        <b/>
        <sz val="20"/>
        <color rgb="FF000000"/>
        <rFont val="Times New Roman"/>
        <family val="1"/>
      </rPr>
      <t>π</t>
    </r>
    <r>
      <rPr>
        <b/>
        <sz val="18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 xml:space="preserve">USA </t>
    </r>
    <r>
      <rPr>
        <b/>
        <sz val="18"/>
        <color rgb="FF000000"/>
        <rFont val="Times New Roman"/>
        <family val="1"/>
      </rPr>
      <t>)</t>
    </r>
  </si>
  <si>
    <t>TIRE =</t>
  </si>
  <si>
    <t>EVALUACIÓN FINANCIERA</t>
  </si>
  <si>
    <t>TEA nominal</t>
  </si>
  <si>
    <t>TEA real</t>
  </si>
  <si>
    <t>VAEFI =</t>
  </si>
  <si>
    <t>VAN Ajustado =VANF=</t>
  </si>
  <si>
    <t>TIRF Ajustado =</t>
  </si>
  <si>
    <t>Inflacion Peru</t>
  </si>
  <si>
    <t xml:space="preserve"> nominal anual</t>
  </si>
  <si>
    <t>WACC</t>
  </si>
  <si>
    <t>Laptop mas impresora</t>
  </si>
  <si>
    <t>Sueldos del personal</t>
  </si>
  <si>
    <t>Por  unidad de chocolate chocolate</t>
  </si>
  <si>
    <t>Cocinero 1</t>
  </si>
  <si>
    <t>cocinero 2</t>
  </si>
  <si>
    <t>Valor del Yacon</t>
  </si>
  <si>
    <t>Por Kilo</t>
  </si>
  <si>
    <t>Valor de la pasta de cacao</t>
  </si>
  <si>
    <t>400 gramos</t>
  </si>
  <si>
    <t>Variable</t>
  </si>
  <si>
    <t>Valor de Venta</t>
  </si>
  <si>
    <t>Valor de Mano de Obra</t>
  </si>
  <si>
    <t>Precio</t>
  </si>
  <si>
    <t>pesimista</t>
  </si>
  <si>
    <t xml:space="preserve">Probable </t>
  </si>
  <si>
    <t>Optimista</t>
  </si>
  <si>
    <t>P venta</t>
  </si>
  <si>
    <t>solo para el primer año</t>
  </si>
  <si>
    <t>variacion para el año cero</t>
  </si>
  <si>
    <t>2 trabajdores</t>
  </si>
  <si>
    <t>4 trabjadores</t>
  </si>
  <si>
    <t>6 trabajadpres</t>
  </si>
  <si>
    <t>n° trab</t>
  </si>
  <si>
    <t>prod</t>
  </si>
  <si>
    <t>sueldo</t>
  </si>
  <si>
    <t>Gratif</t>
  </si>
  <si>
    <t>CTS</t>
  </si>
  <si>
    <t>ESSALUD</t>
  </si>
  <si>
    <t>C.U.</t>
  </si>
  <si>
    <t>Costos de producción y GO</t>
  </si>
  <si>
    <t>1 AÑO</t>
  </si>
  <si>
    <t>2 AÑO</t>
  </si>
  <si>
    <t>ANUAL</t>
  </si>
  <si>
    <t>3 AÑO</t>
  </si>
  <si>
    <t>4 AÑO</t>
  </si>
  <si>
    <t>5 AÑO</t>
  </si>
  <si>
    <t>Produccion Anual</t>
  </si>
  <si>
    <t>Costo de mano de obra</t>
  </si>
  <si>
    <t>por chocolate</t>
  </si>
  <si>
    <t>pasta</t>
  </si>
  <si>
    <t>yacon</t>
  </si>
  <si>
    <t>costos de produccion mes 1 - 3600 unidades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</si>
  <si>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</si>
  <si>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</si>
  <si>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</si>
  <si>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</si>
  <si>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</si>
  <si>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</si>
  <si>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</si>
  <si>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</si>
  <si>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</si>
  <si>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</si>
  <si>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</si>
  <si>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</si>
  <si>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costos de produccion mes 5- 6000 unidades</t>
  </si>
  <si>
    <t>costos de produccion mes 6 - 6600 unidades</t>
  </si>
  <si>
    <t>costos de produccion mes 8 - 7800 unidades</t>
  </si>
  <si>
    <t>costos de produccion mes 10- 9000 unidades</t>
  </si>
  <si>
    <t>costos de produccion mes 11 - 9600 unidades</t>
  </si>
  <si>
    <t>costos de produccion mes 12 - 10200 unidades</t>
  </si>
  <si>
    <t>Un gas nos durara para proucir 3600 chocolates</t>
  </si>
  <si>
    <t>GAS</t>
  </si>
  <si>
    <t>cocinero 3</t>
  </si>
  <si>
    <t>cocinero 4</t>
  </si>
  <si>
    <t>cocimero 3</t>
  </si>
  <si>
    <t>cocinero 5</t>
  </si>
  <si>
    <t>cocinero3</t>
  </si>
  <si>
    <t>cocinero 6</t>
  </si>
  <si>
    <t>Mano Obra por chocolate</t>
  </si>
  <si>
    <t>OPTIMISTA</t>
  </si>
  <si>
    <t xml:space="preserve">
Modificado por HP el 22/02/2021
Modificado por Usuario el 24/02/2021</t>
  </si>
  <si>
    <t>PESIMISTA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</si>
  <si>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</si>
  <si>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</si>
  <si>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</si>
  <si>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</si>
  <si>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</si>
  <si>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</si>
  <si>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</si>
  <si>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Creado por Usuario el 24/02/2021
Modificado por Usuario el 24/02/2021</t>
  </si>
  <si>
    <t xml:space="preserve">Gastos administrativos </t>
  </si>
  <si>
    <t>Costos indirectos de fabricación</t>
  </si>
  <si>
    <t>Produccion de 3600 chocolates para el primer mes</t>
  </si>
  <si>
    <t>N° trab</t>
  </si>
  <si>
    <t>Cocineros</t>
  </si>
  <si>
    <t>Costos de produccion mes 3 - 4800 unidades</t>
  </si>
  <si>
    <t>Costos de produccion mes 4 - 5400 unidades</t>
  </si>
  <si>
    <t>Costos de produccion mes 2 - 4200 unidades</t>
  </si>
  <si>
    <t>costos de produccion mes 9 - 8400 unidades</t>
  </si>
  <si>
    <t>Produccion por mes de chocolates</t>
  </si>
  <si>
    <t>Chocolates endulzados con Yacon</t>
  </si>
  <si>
    <t>Por trabajador</t>
  </si>
  <si>
    <t>Al mes</t>
  </si>
  <si>
    <t>Al dia</t>
  </si>
  <si>
    <t>Minutos</t>
  </si>
  <si>
    <t>se producira un chocolate</t>
  </si>
  <si>
    <t>SENSIBILIDAD %</t>
  </si>
  <si>
    <t>PRECIO ORIGINAL</t>
  </si>
  <si>
    <t>del proyecto</t>
  </si>
  <si>
    <t>Mano de obra</t>
  </si>
  <si>
    <t>VALOR DE VENTA</t>
  </si>
  <si>
    <t>VALOR PASTA DE CACAO</t>
  </si>
  <si>
    <t>VALOR YACON</t>
  </si>
  <si>
    <t>VALOR MANO DE OBRA</t>
  </si>
  <si>
    <t>1. Sensibilidad de valor de venta</t>
  </si>
  <si>
    <t>2. Sensibilidad de valor de mano de obra.</t>
  </si>
  <si>
    <t>3. Sensibilidad de valor del Yacon</t>
  </si>
  <si>
    <t>2. Sensibilidad de valor de la pasta de cacao</t>
  </si>
  <si>
    <t>mp</t>
  </si>
  <si>
    <t>mod</t>
  </si>
  <si>
    <t>cif</t>
  </si>
  <si>
    <t>x mes</t>
  </si>
  <si>
    <t>NO CONSIDERA OTROS GASTOS OK</t>
  </si>
  <si>
    <t>NO SE CALCULA</t>
  </si>
  <si>
    <t>CAMC</t>
  </si>
  <si>
    <t>15 UIT ( Pagan el 10%) =</t>
  </si>
  <si>
    <t>EMPRESA NO DIVERSIFICADA</t>
  </si>
  <si>
    <t>anual</t>
  </si>
  <si>
    <t>Kurt nominal en soles</t>
  </si>
  <si>
    <t>Kurs nominal en soles</t>
  </si>
  <si>
    <t>Inflación en Perú</t>
  </si>
  <si>
    <t>Inflación USA</t>
  </si>
  <si>
    <t>Kurt nominal en dólares</t>
  </si>
  <si>
    <t>Kurs nominal en dólares</t>
  </si>
  <si>
    <t>COK CON RIESGO TOTAL</t>
  </si>
  <si>
    <t xml:space="preserve">βu ME </t>
  </si>
  <si>
    <t>Prom. 2018-2020</t>
  </si>
  <si>
    <t xml:space="preserve">Kurs   Nominal (Dolares)            </t>
  </si>
  <si>
    <t>Kurs   Nominal (soles)</t>
  </si>
  <si>
    <t>Activo fijo tangible</t>
  </si>
  <si>
    <t>Activo fijo intangible</t>
  </si>
  <si>
    <t>Capital de trabajo</t>
  </si>
  <si>
    <t>Recupero de capital de trabajo</t>
  </si>
  <si>
    <t>Recupero de activo fijo</t>
  </si>
  <si>
    <t>Flujo de Inversión y Liquidación</t>
  </si>
  <si>
    <t>Flujo Operativo</t>
  </si>
  <si>
    <t>Gastos operativos (*)</t>
  </si>
  <si>
    <t>Impuestos (**)</t>
  </si>
  <si>
    <t>(*) Régimen laboral de pequeña EMPRESA</t>
  </si>
  <si>
    <t>(**) Régimen tributario MYPE Tributario</t>
  </si>
  <si>
    <t>Tasas y Criterios</t>
  </si>
  <si>
    <t>Valor</t>
  </si>
  <si>
    <t>COK CON RIESGO SISTEMATICO</t>
  </si>
  <si>
    <t xml:space="preserve">Kurt = Rf usa+ bu ME* (Rm- Rf) usa+ Rp PERU </t>
  </si>
  <si>
    <t>Kurt Real Soles</t>
  </si>
  <si>
    <t>EMPRESA DIVERSIFICADA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</si>
</sst>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0.0%"/>
    <numFmt numFmtId="167" formatCode="_ * #,##0_ ;_ * \-#,##0_ ;_ * &quot;-&quot;??_ ;_ @_ "/>
    <numFmt numFmtId="168" formatCode="_-* #,##0_-;\-* #,##0_-;_-* &quot;-&quot;??_-;_-@_-"/>
    <numFmt numFmtId="169" formatCode="0.0"/>
    <numFmt numFmtId="170" formatCode="&quot;S/&quot;#,##0.00"/>
    <numFmt numFmtId="171" formatCode="0.00000"/>
    <numFmt numFmtId="172" formatCode="0.000"/>
    <numFmt numFmtId="173" formatCode="_ &quot;S/&quot;* #,##0.00_ ;_ &quot;S/&quot;* \-#,##0.00_ ;_ &quot;S/&quot;* &quot;-&quot;??_ ;_ @_ "/>
    <numFmt numFmtId="174" formatCode="0.000%"/>
    <numFmt numFmtId="175" formatCode="_-* #,##0\ _€_-;\-* #,##0\ _€_-;_-* &quot;-&quot;??\ _€_-;_-@"/>
    <numFmt numFmtId="176" formatCode="#,##0.0"/>
    <numFmt numFmtId="177" formatCode="&quot;S/.&quot;\ #,##0.00"/>
    <numFmt numFmtId="178" formatCode="&quot;S/.&quot;\ #,##0.0"/>
    <numFmt numFmtId="179" formatCode="_ * #,##0.0_ ;_ * \-#,##0.0_ ;_ * &quot;-&quot;??_ ;_ @_ "/>
  </numFmts>
  <fonts count="5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u/>
      <sz val="18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0"/>
      <color theme="1"/>
      <name val="Calibri"/>
      <family val="2"/>
    </font>
    <font>
      <b/>
      <u/>
      <sz val="20"/>
      <color rgb="FF000000"/>
      <name val="Times New Roman"/>
      <family val="1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rgb="FFFF0000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D8D8D8"/>
      </patternFill>
    </fill>
    <fill>
      <patternFill patternType="solid">
        <fgColor theme="4"/>
        <bgColor rgb="FFBFBFBF"/>
      </patternFill>
    </fill>
    <fill>
      <patternFill patternType="solid">
        <fgColor theme="4"/>
        <bgColor rgb="FF99CC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rgb="FFFBD4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rgb="FFB8CCE4"/>
      </patternFill>
    </fill>
    <fill>
      <patternFill patternType="solid">
        <fgColor theme="0"/>
        <bgColor rgb="FFD6E3BC"/>
      </patternFill>
    </fill>
    <fill>
      <patternFill patternType="solid">
        <fgColor theme="5" tint="0.79998168889431442"/>
        <bgColor rgb="FFD6E3B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/>
        <bgColor theme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rgb="FFC2D69B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8" tint="0.59999389629810485"/>
        <bgColor rgb="FFE5DFE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D6E3B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24"/>
      </patternFill>
    </fill>
    <fill>
      <patternFill patternType="solid">
        <fgColor theme="4" tint="0.79998168889431442"/>
        <bgColor indexed="7"/>
      </patternFill>
    </fill>
    <fill>
      <patternFill patternType="solid">
        <fgColor rgb="FFFFFF00"/>
        <bgColor rgb="FFFFFFFF"/>
      </patternFill>
    </fill>
  </fills>
  <borders count="7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2" fillId="0" borderId="0"/>
    <xf numFmtId="165" fontId="12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80">
    <xf numFmtId="0" fontId="0" fillId="0" borderId="0" xfId="0"/>
    <xf numFmtId="0" fontId="2" fillId="2" borderId="0" xfId="1" applyFont="1" applyFill="1"/>
    <xf numFmtId="0" fontId="0" fillId="0" borderId="0" xfId="1" applyFont="1"/>
    <xf numFmtId="3" fontId="2" fillId="2" borderId="11" xfId="1" applyNumberFormat="1" applyFont="1" applyFill="1" applyBorder="1"/>
    <xf numFmtId="3" fontId="8" fillId="2" borderId="11" xfId="1" applyNumberFormat="1" applyFont="1" applyFill="1" applyBorder="1"/>
    <xf numFmtId="3" fontId="2" fillId="2" borderId="12" xfId="1" applyNumberFormat="1" applyFont="1" applyFill="1" applyBorder="1" applyAlignment="1">
      <alignment horizontal="left"/>
    </xf>
    <xf numFmtId="3" fontId="2" fillId="2" borderId="13" xfId="1" applyNumberFormat="1" applyFont="1" applyFill="1" applyBorder="1"/>
    <xf numFmtId="3" fontId="2" fillId="2" borderId="13" xfId="1" applyNumberFormat="1" applyFont="1" applyFill="1" applyBorder="1" applyAlignment="1">
      <alignment horizontal="center"/>
    </xf>
    <xf numFmtId="0" fontId="2" fillId="2" borderId="14" xfId="1" applyFont="1" applyFill="1" applyBorder="1"/>
    <xf numFmtId="3" fontId="2" fillId="2" borderId="15" xfId="1" applyNumberFormat="1" applyFont="1" applyFill="1" applyBorder="1" applyAlignment="1">
      <alignment horizontal="left"/>
    </xf>
    <xf numFmtId="3" fontId="2" fillId="2" borderId="16" xfId="1" applyNumberFormat="1" applyFont="1" applyFill="1" applyBorder="1"/>
    <xf numFmtId="3" fontId="2" fillId="2" borderId="16" xfId="1" applyNumberFormat="1" applyFont="1" applyFill="1" applyBorder="1" applyAlignment="1">
      <alignment horizontal="center"/>
    </xf>
    <xf numFmtId="3" fontId="2" fillId="2" borderId="17" xfId="1" applyNumberFormat="1" applyFont="1" applyFill="1" applyBorder="1" applyAlignment="1">
      <alignment horizontal="left"/>
    </xf>
    <xf numFmtId="3" fontId="2" fillId="2" borderId="18" xfId="1" applyNumberFormat="1" applyFont="1" applyFill="1" applyBorder="1"/>
    <xf numFmtId="3" fontId="2" fillId="2" borderId="18" xfId="1" applyNumberFormat="1" applyFont="1" applyFill="1" applyBorder="1" applyAlignment="1">
      <alignment horizontal="center"/>
    </xf>
    <xf numFmtId="3" fontId="2" fillId="2" borderId="15" xfId="1" applyNumberFormat="1" applyFont="1" applyFill="1" applyBorder="1"/>
    <xf numFmtId="3" fontId="2" fillId="2" borderId="17" xfId="1" applyNumberFormat="1" applyFont="1" applyFill="1" applyBorder="1"/>
    <xf numFmtId="3" fontId="2" fillId="2" borderId="0" xfId="1" applyNumberFormat="1" applyFont="1" applyFill="1"/>
    <xf numFmtId="9" fontId="0" fillId="0" borderId="0" xfId="3" applyFont="1"/>
    <xf numFmtId="10" fontId="0" fillId="0" borderId="0" xfId="0" applyNumberFormat="1"/>
    <xf numFmtId="0" fontId="11" fillId="0" borderId="0" xfId="4" applyFont="1"/>
    <xf numFmtId="0" fontId="4" fillId="0" borderId="0" xfId="4"/>
    <xf numFmtId="0" fontId="4" fillId="3" borderId="0" xfId="4" applyFill="1"/>
    <xf numFmtId="0" fontId="4" fillId="0" borderId="20" xfId="4" applyBorder="1"/>
    <xf numFmtId="0" fontId="4" fillId="0" borderId="21" xfId="4" applyBorder="1"/>
    <xf numFmtId="0" fontId="12" fillId="0" borderId="22" xfId="4" applyFont="1" applyBorder="1"/>
    <xf numFmtId="1" fontId="4" fillId="0" borderId="23" xfId="4" applyNumberFormat="1" applyBorder="1"/>
    <xf numFmtId="0" fontId="4" fillId="0" borderId="24" xfId="4" applyBorder="1"/>
    <xf numFmtId="0" fontId="4" fillId="0" borderId="23" xfId="4" applyBorder="1"/>
    <xf numFmtId="0" fontId="11" fillId="0" borderId="25" xfId="4" applyFont="1" applyBorder="1"/>
    <xf numFmtId="1" fontId="11" fillId="0" borderId="26" xfId="4" applyNumberFormat="1" applyFont="1" applyBorder="1"/>
    <xf numFmtId="0" fontId="12" fillId="0" borderId="0" xfId="4" applyFont="1"/>
    <xf numFmtId="0" fontId="0" fillId="0" borderId="23" xfId="0" applyBorder="1"/>
    <xf numFmtId="0" fontId="11" fillId="0" borderId="0" xfId="5" applyFont="1"/>
    <xf numFmtId="0" fontId="12" fillId="0" borderId="0" xfId="5"/>
    <xf numFmtId="0" fontId="12" fillId="3" borderId="0" xfId="5" applyFill="1"/>
    <xf numFmtId="0" fontId="11" fillId="0" borderId="0" xfId="5" applyFont="1" applyAlignment="1">
      <alignment horizontal="center"/>
    </xf>
    <xf numFmtId="0" fontId="11" fillId="0" borderId="19" xfId="5" applyFont="1" applyBorder="1"/>
    <xf numFmtId="1" fontId="11" fillId="0" borderId="20" xfId="5" applyNumberFormat="1" applyFont="1" applyBorder="1"/>
    <xf numFmtId="0" fontId="12" fillId="0" borderId="22" xfId="5" applyBorder="1"/>
    <xf numFmtId="0" fontId="12" fillId="0" borderId="23" xfId="5" applyBorder="1"/>
    <xf numFmtId="0" fontId="12" fillId="0" borderId="30" xfId="5" applyBorder="1"/>
    <xf numFmtId="1" fontId="12" fillId="0" borderId="31" xfId="5" applyNumberFormat="1" applyBorder="1"/>
    <xf numFmtId="0" fontId="11" fillId="0" borderId="30" xfId="5" applyFont="1" applyBorder="1"/>
    <xf numFmtId="1" fontId="11" fillId="0" borderId="31" xfId="5" applyNumberFormat="1" applyFont="1" applyBorder="1"/>
    <xf numFmtId="1" fontId="12" fillId="0" borderId="0" xfId="5" applyNumberFormat="1"/>
    <xf numFmtId="9" fontId="12" fillId="0" borderId="0" xfId="5" applyNumberFormat="1"/>
    <xf numFmtId="0" fontId="0" fillId="0" borderId="23" xfId="0" applyBorder="1" applyAlignment="1">
      <alignment horizontal="center"/>
    </xf>
    <xf numFmtId="0" fontId="10" fillId="0" borderId="23" xfId="0" applyFont="1" applyBorder="1"/>
    <xf numFmtId="0" fontId="13" fillId="2" borderId="0" xfId="7" applyFont="1" applyFill="1"/>
    <xf numFmtId="0" fontId="14" fillId="0" borderId="0" xfId="7"/>
    <xf numFmtId="0" fontId="8" fillId="2" borderId="23" xfId="7" applyFont="1" applyFill="1" applyBorder="1" applyAlignment="1">
      <alignment horizontal="left"/>
    </xf>
    <xf numFmtId="4" fontId="13" fillId="2" borderId="23" xfId="7" applyNumberFormat="1" applyFont="1" applyFill="1" applyBorder="1" applyAlignment="1">
      <alignment horizontal="center"/>
    </xf>
    <xf numFmtId="0" fontId="13" fillId="2" borderId="23" xfId="7" applyFont="1" applyFill="1" applyBorder="1"/>
    <xf numFmtId="0" fontId="8" fillId="2" borderId="12" xfId="7" applyFont="1" applyFill="1" applyBorder="1" applyAlignment="1">
      <alignment horizontal="left"/>
    </xf>
    <xf numFmtId="4" fontId="13" fillId="2" borderId="13" xfId="7" applyNumberFormat="1" applyFont="1" applyFill="1" applyBorder="1" applyAlignment="1">
      <alignment horizontal="center"/>
    </xf>
    <xf numFmtId="3" fontId="13" fillId="2" borderId="23" xfId="7" applyNumberFormat="1" applyFont="1" applyFill="1" applyBorder="1"/>
    <xf numFmtId="3" fontId="13" fillId="2" borderId="23" xfId="7" applyNumberFormat="1" applyFont="1" applyFill="1" applyBorder="1" applyAlignment="1">
      <alignment horizontal="center"/>
    </xf>
    <xf numFmtId="43" fontId="13" fillId="2" borderId="23" xfId="8" applyFont="1" applyFill="1" applyBorder="1" applyAlignment="1"/>
    <xf numFmtId="3" fontId="13" fillId="2" borderId="15" xfId="7" applyNumberFormat="1" applyFont="1" applyFill="1" applyBorder="1"/>
    <xf numFmtId="43" fontId="13" fillId="2" borderId="40" xfId="8" applyFont="1" applyFill="1" applyBorder="1" applyAlignment="1"/>
    <xf numFmtId="4" fontId="13" fillId="2" borderId="23" xfId="7" applyNumberFormat="1" applyFont="1" applyFill="1" applyBorder="1"/>
    <xf numFmtId="3" fontId="13" fillId="2" borderId="0" xfId="7" applyNumberFormat="1" applyFont="1" applyFill="1"/>
    <xf numFmtId="0" fontId="16" fillId="2" borderId="0" xfId="7" applyFont="1" applyFill="1" applyAlignment="1">
      <alignment horizontal="center"/>
    </xf>
    <xf numFmtId="0" fontId="8" fillId="4" borderId="0" xfId="7" applyFont="1" applyFill="1" applyAlignment="1">
      <alignment horizontal="center"/>
    </xf>
    <xf numFmtId="4" fontId="13" fillId="0" borderId="14" xfId="7" applyNumberFormat="1" applyFont="1" applyBorder="1"/>
    <xf numFmtId="4" fontId="13" fillId="4" borderId="0" xfId="7" applyNumberFormat="1" applyFont="1" applyFill="1"/>
    <xf numFmtId="3" fontId="13" fillId="2" borderId="15" xfId="7" applyNumberFormat="1" applyFont="1" applyFill="1" applyBorder="1" applyAlignment="1">
      <alignment horizontal="left"/>
    </xf>
    <xf numFmtId="43" fontId="13" fillId="2" borderId="16" xfId="8" applyFont="1" applyFill="1" applyBorder="1" applyAlignment="1"/>
    <xf numFmtId="43" fontId="13" fillId="2" borderId="40" xfId="7" applyNumberFormat="1" applyFont="1" applyFill="1" applyBorder="1"/>
    <xf numFmtId="3" fontId="13" fillId="4" borderId="0" xfId="7" applyNumberFormat="1" applyFont="1" applyFill="1"/>
    <xf numFmtId="0" fontId="13" fillId="4" borderId="0" xfId="7" applyFont="1" applyFill="1"/>
    <xf numFmtId="0" fontId="8" fillId="4" borderId="43" xfId="7" applyFont="1" applyFill="1" applyBorder="1"/>
    <xf numFmtId="0" fontId="8" fillId="4" borderId="16" xfId="7" applyFont="1" applyFill="1" applyBorder="1"/>
    <xf numFmtId="0" fontId="13" fillId="4" borderId="12" xfId="7" applyFont="1" applyFill="1" applyBorder="1"/>
    <xf numFmtId="43" fontId="13" fillId="4" borderId="16" xfId="8" applyFont="1" applyFill="1" applyBorder="1" applyAlignment="1"/>
    <xf numFmtId="43" fontId="18" fillId="4" borderId="16" xfId="8" applyFont="1" applyFill="1" applyBorder="1" applyAlignment="1">
      <alignment horizontal="center"/>
    </xf>
    <xf numFmtId="0" fontId="13" fillId="4" borderId="15" xfId="7" applyFont="1" applyFill="1" applyBorder="1"/>
    <xf numFmtId="0" fontId="8" fillId="4" borderId="15" xfId="7" applyFont="1" applyFill="1" applyBorder="1"/>
    <xf numFmtId="43" fontId="15" fillId="4" borderId="16" xfId="8" applyFont="1" applyFill="1" applyBorder="1" applyAlignment="1">
      <alignment horizontal="center"/>
    </xf>
    <xf numFmtId="43" fontId="8" fillId="4" borderId="16" xfId="8" applyFont="1" applyFill="1" applyBorder="1" applyAlignment="1"/>
    <xf numFmtId="0" fontId="15" fillId="4" borderId="16" xfId="7" applyFont="1" applyFill="1" applyBorder="1" applyAlignment="1">
      <alignment horizontal="center"/>
    </xf>
    <xf numFmtId="0" fontId="20" fillId="2" borderId="0" xfId="7" applyFont="1" applyFill="1"/>
    <xf numFmtId="4" fontId="21" fillId="2" borderId="0" xfId="7" applyNumberFormat="1" applyFont="1" applyFill="1" applyAlignment="1">
      <alignment horizontal="center"/>
    </xf>
    <xf numFmtId="4" fontId="13" fillId="2" borderId="0" xfId="7" applyNumberFormat="1" applyFont="1" applyFill="1"/>
    <xf numFmtId="4" fontId="8" fillId="0" borderId="0" xfId="7" applyNumberFormat="1" applyFont="1" applyAlignment="1">
      <alignment horizontal="center"/>
    </xf>
    <xf numFmtId="4" fontId="8" fillId="4" borderId="0" xfId="7" applyNumberFormat="1" applyFont="1" applyFill="1"/>
    <xf numFmtId="3" fontId="8" fillId="0" borderId="0" xfId="7" applyNumberFormat="1" applyFont="1" applyAlignment="1">
      <alignment horizontal="center"/>
    </xf>
    <xf numFmtId="3" fontId="8" fillId="4" borderId="0" xfId="7" applyNumberFormat="1" applyFont="1" applyFill="1" applyAlignment="1">
      <alignment horizontal="center"/>
    </xf>
    <xf numFmtId="4" fontId="13" fillId="2" borderId="47" xfId="7" applyNumberFormat="1" applyFont="1" applyFill="1" applyBorder="1" applyAlignment="1">
      <alignment horizontal="right"/>
    </xf>
    <xf numFmtId="4" fontId="13" fillId="0" borderId="0" xfId="7" applyNumberFormat="1" applyFont="1" applyAlignment="1">
      <alignment horizontal="center"/>
    </xf>
    <xf numFmtId="4" fontId="13" fillId="4" borderId="0" xfId="7" applyNumberFormat="1" applyFont="1" applyFill="1" applyAlignment="1">
      <alignment horizontal="center"/>
    </xf>
    <xf numFmtId="4" fontId="13" fillId="2" borderId="16" xfId="7" applyNumberFormat="1" applyFont="1" applyFill="1" applyBorder="1" applyAlignment="1">
      <alignment horizontal="right"/>
    </xf>
    <xf numFmtId="0" fontId="8" fillId="2" borderId="17" xfId="7" applyFont="1" applyFill="1" applyBorder="1"/>
    <xf numFmtId="4" fontId="13" fillId="2" borderId="18" xfId="7" applyNumberFormat="1" applyFont="1" applyFill="1" applyBorder="1" applyAlignment="1">
      <alignment horizontal="right"/>
    </xf>
    <xf numFmtId="4" fontId="8" fillId="4" borderId="0" xfId="7" applyNumberFormat="1" applyFont="1" applyFill="1" applyAlignment="1">
      <alignment horizontal="center"/>
    </xf>
    <xf numFmtId="0" fontId="13" fillId="0" borderId="0" xfId="7" applyFont="1"/>
    <xf numFmtId="0" fontId="13" fillId="0" borderId="0" xfId="7" applyFont="1" applyAlignment="1">
      <alignment horizontal="left"/>
    </xf>
    <xf numFmtId="0" fontId="13" fillId="0" borderId="15" xfId="7" applyFont="1" applyBorder="1"/>
    <xf numFmtId="0" fontId="13" fillId="0" borderId="52" xfId="7" applyFont="1" applyBorder="1" applyAlignment="1">
      <alignment horizontal="center"/>
    </xf>
    <xf numFmtId="0" fontId="13" fillId="0" borderId="0" xfId="7" applyFont="1" applyAlignment="1">
      <alignment horizontal="center"/>
    </xf>
    <xf numFmtId="0" fontId="13" fillId="0" borderId="43" xfId="7" applyFont="1" applyBorder="1"/>
    <xf numFmtId="0" fontId="8" fillId="0" borderId="0" xfId="7" applyFont="1"/>
    <xf numFmtId="0" fontId="13" fillId="0" borderId="41" xfId="7" applyFont="1" applyBorder="1"/>
    <xf numFmtId="0" fontId="8" fillId="0" borderId="0" xfId="7" applyFont="1" applyAlignment="1">
      <alignment horizontal="center" vertical="center" wrapText="1"/>
    </xf>
    <xf numFmtId="0" fontId="8" fillId="0" borderId="6" xfId="7" applyFont="1" applyBorder="1" applyAlignment="1">
      <alignment horizontal="center"/>
    </xf>
    <xf numFmtId="2" fontId="13" fillId="0" borderId="7" xfId="7" applyNumberFormat="1" applyFont="1" applyBorder="1"/>
    <xf numFmtId="2" fontId="13" fillId="0" borderId="9" xfId="7" applyNumberFormat="1" applyFont="1" applyBorder="1"/>
    <xf numFmtId="166" fontId="13" fillId="0" borderId="0" xfId="7" applyNumberFormat="1" applyFont="1"/>
    <xf numFmtId="0" fontId="13" fillId="4" borderId="0" xfId="7" applyFont="1" applyFill="1" applyAlignment="1">
      <alignment horizontal="left" vertical="center"/>
    </xf>
    <xf numFmtId="2" fontId="13" fillId="4" borderId="0" xfId="7" applyNumberFormat="1" applyFont="1" applyFill="1"/>
    <xf numFmtId="166" fontId="13" fillId="4" borderId="0" xfId="7" applyNumberFormat="1" applyFont="1" applyFill="1"/>
    <xf numFmtId="0" fontId="13" fillId="4" borderId="54" xfId="7" applyFont="1" applyFill="1" applyBorder="1"/>
    <xf numFmtId="0" fontId="13" fillId="4" borderId="49" xfId="7" applyFont="1" applyFill="1" applyBorder="1" applyAlignment="1">
      <alignment horizontal="center"/>
    </xf>
    <xf numFmtId="0" fontId="13" fillId="4" borderId="55" xfId="7" applyFont="1" applyFill="1" applyBorder="1"/>
    <xf numFmtId="0" fontId="13" fillId="4" borderId="56" xfId="7" applyFont="1" applyFill="1" applyBorder="1" applyAlignment="1">
      <alignment horizontal="center" vertical="center"/>
    </xf>
    <xf numFmtId="4" fontId="20" fillId="2" borderId="0" xfId="7" applyNumberFormat="1" applyFont="1" applyFill="1"/>
    <xf numFmtId="0" fontId="8" fillId="4" borderId="0" xfId="7" applyFont="1" applyFill="1"/>
    <xf numFmtId="0" fontId="14" fillId="0" borderId="23" xfId="7" applyBorder="1"/>
    <xf numFmtId="0" fontId="13" fillId="0" borderId="23" xfId="7" applyFont="1" applyBorder="1"/>
    <xf numFmtId="43" fontId="13" fillId="0" borderId="23" xfId="8" applyFont="1" applyBorder="1" applyAlignment="1">
      <alignment horizontal="center"/>
    </xf>
    <xf numFmtId="43" fontId="13" fillId="0" borderId="23" xfId="8" applyFont="1" applyBorder="1" applyAlignment="1"/>
    <xf numFmtId="0" fontId="8" fillId="0" borderId="23" xfId="7" applyFont="1" applyBorder="1"/>
    <xf numFmtId="43" fontId="8" fillId="0" borderId="23" xfId="8" applyFont="1" applyBorder="1" applyAlignment="1"/>
    <xf numFmtId="166" fontId="12" fillId="3" borderId="0" xfId="10" applyNumberFormat="1" applyFont="1" applyFill="1"/>
    <xf numFmtId="10" fontId="12" fillId="3" borderId="0" xfId="5" applyNumberFormat="1" applyFill="1"/>
    <xf numFmtId="169" fontId="12" fillId="3" borderId="0" xfId="5" applyNumberFormat="1" applyFill="1"/>
    <xf numFmtId="4" fontId="12" fillId="3" borderId="0" xfId="5" applyNumberFormat="1" applyFill="1"/>
    <xf numFmtId="0" fontId="10" fillId="0" borderId="0" xfId="0" applyFont="1"/>
    <xf numFmtId="170" fontId="0" fillId="0" borderId="23" xfId="0" applyNumberFormat="1" applyBorder="1" applyAlignment="1">
      <alignment horizontal="center"/>
    </xf>
    <xf numFmtId="0" fontId="12" fillId="3" borderId="0" xfId="5" applyFill="1" applyAlignment="1">
      <alignment horizontal="right"/>
    </xf>
    <xf numFmtId="43" fontId="13" fillId="2" borderId="0" xfId="7" applyNumberFormat="1" applyFont="1" applyFill="1"/>
    <xf numFmtId="44" fontId="12" fillId="0" borderId="0" xfId="5" applyNumberFormat="1"/>
    <xf numFmtId="170" fontId="12" fillId="0" borderId="23" xfId="5" applyNumberFormat="1" applyBorder="1" applyAlignment="1"/>
    <xf numFmtId="170" fontId="11" fillId="0" borderId="31" xfId="5" applyNumberFormat="1" applyFont="1" applyBorder="1" applyAlignment="1"/>
    <xf numFmtId="170" fontId="12" fillId="0" borderId="23" xfId="5" applyNumberFormat="1" applyFill="1" applyBorder="1" applyAlignment="1"/>
    <xf numFmtId="0" fontId="25" fillId="6" borderId="23" xfId="0" applyFont="1" applyFill="1" applyBorder="1" applyAlignment="1">
      <alignment horizontal="center"/>
    </xf>
    <xf numFmtId="0" fontId="26" fillId="0" borderId="0" xfId="0" applyFont="1"/>
    <xf numFmtId="0" fontId="27" fillId="0" borderId="0" xfId="0" applyFont="1"/>
    <xf numFmtId="43" fontId="0" fillId="0" borderId="23" xfId="0" applyNumberFormat="1" applyBorder="1"/>
    <xf numFmtId="43" fontId="10" fillId="0" borderId="23" xfId="11" applyFont="1" applyBorder="1"/>
    <xf numFmtId="43" fontId="0" fillId="0" borderId="23" xfId="11" applyFont="1" applyBorder="1"/>
    <xf numFmtId="169" fontId="0" fillId="0" borderId="0" xfId="0" applyNumberFormat="1"/>
    <xf numFmtId="43" fontId="0" fillId="0" borderId="0" xfId="0" applyNumberFormat="1"/>
    <xf numFmtId="169" fontId="0" fillId="0" borderId="23" xfId="0" applyNumberFormat="1" applyBorder="1"/>
    <xf numFmtId="0" fontId="0" fillId="0" borderId="0" xfId="0" applyAlignment="1">
      <alignment wrapText="1"/>
    </xf>
    <xf numFmtId="1" fontId="0" fillId="0" borderId="23" xfId="0" applyNumberFormat="1" applyBorder="1"/>
    <xf numFmtId="0" fontId="24" fillId="6" borderId="23" xfId="0" applyFont="1" applyFill="1" applyBorder="1"/>
    <xf numFmtId="0" fontId="28" fillId="6" borderId="23" xfId="0" applyFont="1" applyFill="1" applyBorder="1"/>
    <xf numFmtId="0" fontId="25" fillId="6" borderId="23" xfId="0" applyFont="1" applyFill="1" applyBorder="1"/>
    <xf numFmtId="43" fontId="25" fillId="6" borderId="23" xfId="0" applyNumberFormat="1" applyFont="1" applyFill="1" applyBorder="1"/>
    <xf numFmtId="0" fontId="2" fillId="0" borderId="23" xfId="0" applyFont="1" applyBorder="1"/>
    <xf numFmtId="0" fontId="2" fillId="0" borderId="37" xfId="0" applyFont="1" applyBorder="1"/>
    <xf numFmtId="43" fontId="0" fillId="0" borderId="0" xfId="11" applyFont="1"/>
    <xf numFmtId="43" fontId="26" fillId="0" borderId="0" xfId="11" applyFont="1"/>
    <xf numFmtId="2" fontId="5" fillId="7" borderId="42" xfId="7" applyNumberFormat="1" applyFont="1" applyFill="1" applyBorder="1" applyAlignment="1">
      <alignment horizontal="center"/>
    </xf>
    <xf numFmtId="0" fontId="5" fillId="7" borderId="43" xfId="7" applyFont="1" applyFill="1" applyBorder="1" applyAlignment="1">
      <alignment horizontal="center"/>
    </xf>
    <xf numFmtId="0" fontId="5" fillId="7" borderId="15" xfId="7" applyFont="1" applyFill="1" applyBorder="1" applyAlignment="1">
      <alignment horizontal="center"/>
    </xf>
    <xf numFmtId="0" fontId="5" fillId="7" borderId="48" xfId="7" applyFont="1" applyFill="1" applyBorder="1" applyAlignment="1">
      <alignment horizontal="center"/>
    </xf>
    <xf numFmtId="0" fontId="5" fillId="7" borderId="8" xfId="1" applyFont="1" applyFill="1" applyBorder="1" applyAlignment="1">
      <alignment horizontal="center"/>
    </xf>
    <xf numFmtId="3" fontId="5" fillId="7" borderId="10" xfId="1" applyNumberFormat="1" applyFont="1" applyFill="1" applyBorder="1"/>
    <xf numFmtId="3" fontId="5" fillId="7" borderId="11" xfId="1" applyNumberFormat="1" applyFont="1" applyFill="1" applyBorder="1"/>
    <xf numFmtId="0" fontId="17" fillId="7" borderId="16" xfId="7" applyFont="1" applyFill="1" applyBorder="1" applyAlignment="1">
      <alignment horizontal="center"/>
    </xf>
    <xf numFmtId="0" fontId="19" fillId="7" borderId="16" xfId="7" applyFont="1" applyFill="1" applyBorder="1"/>
    <xf numFmtId="43" fontId="19" fillId="7" borderId="16" xfId="8" applyFont="1" applyFill="1" applyBorder="1" applyAlignment="1"/>
    <xf numFmtId="43" fontId="17" fillId="7" borderId="16" xfId="8" applyFont="1" applyFill="1" applyBorder="1" applyAlignment="1"/>
    <xf numFmtId="3" fontId="5" fillId="7" borderId="8" xfId="7" applyNumberFormat="1" applyFont="1" applyFill="1" applyBorder="1" applyAlignment="1">
      <alignment horizontal="center" vertical="center"/>
    </xf>
    <xf numFmtId="3" fontId="5" fillId="7" borderId="8" xfId="7" applyNumberFormat="1" applyFont="1" applyFill="1" applyBorder="1" applyAlignment="1">
      <alignment horizontal="center"/>
    </xf>
    <xf numFmtId="3" fontId="5" fillId="7" borderId="46" xfId="7" applyNumberFormat="1" applyFont="1" applyFill="1" applyBorder="1" applyAlignment="1">
      <alignment horizontal="center"/>
    </xf>
    <xf numFmtId="0" fontId="5" fillId="7" borderId="10" xfId="7" applyFont="1" applyFill="1" applyBorder="1" applyAlignment="1">
      <alignment horizontal="center"/>
    </xf>
    <xf numFmtId="4" fontId="5" fillId="7" borderId="11" xfId="7" applyNumberFormat="1" applyFont="1" applyFill="1" applyBorder="1" applyAlignment="1">
      <alignment horizontal="right"/>
    </xf>
    <xf numFmtId="0" fontId="5" fillId="7" borderId="11" xfId="7" applyFont="1" applyFill="1" applyBorder="1" applyAlignment="1">
      <alignment horizontal="center"/>
    </xf>
    <xf numFmtId="0" fontId="5" fillId="7" borderId="42" xfId="7" applyFont="1" applyFill="1" applyBorder="1" applyAlignment="1">
      <alignment horizontal="center"/>
    </xf>
    <xf numFmtId="0" fontId="24" fillId="6" borderId="23" xfId="0" applyFont="1" applyFill="1" applyBorder="1" applyAlignment="1">
      <alignment horizontal="center" vertical="center" wrapText="1"/>
    </xf>
    <xf numFmtId="43" fontId="24" fillId="6" borderId="23" xfId="11" applyFont="1" applyFill="1" applyBorder="1"/>
    <xf numFmtId="0" fontId="0" fillId="10" borderId="23" xfId="0" applyFill="1" applyBorder="1" applyAlignment="1">
      <alignment horizontal="center"/>
    </xf>
    <xf numFmtId="0" fontId="8" fillId="0" borderId="0" xfId="7" applyFont="1" applyBorder="1" applyAlignment="1">
      <alignment horizontal="left"/>
    </xf>
    <xf numFmtId="0" fontId="14" fillId="0" borderId="0" xfId="7" applyAlignment="1">
      <alignment horizontal="right"/>
    </xf>
    <xf numFmtId="2" fontId="14" fillId="0" borderId="0" xfId="7" applyNumberFormat="1" applyAlignment="1">
      <alignment horizontal="right"/>
    </xf>
    <xf numFmtId="0" fontId="11" fillId="3" borderId="0" xfId="4" applyFont="1" applyFill="1" applyAlignment="1"/>
    <xf numFmtId="0" fontId="11" fillId="0" borderId="0" xfId="4" applyFont="1" applyAlignment="1"/>
    <xf numFmtId="0" fontId="11" fillId="0" borderId="23" xfId="0" applyFont="1" applyBorder="1"/>
    <xf numFmtId="173" fontId="11" fillId="11" borderId="23" xfId="12" applyFont="1" applyFill="1" applyBorder="1" applyAlignment="1"/>
    <xf numFmtId="173" fontId="11" fillId="0" borderId="23" xfId="12" applyFont="1" applyFill="1" applyBorder="1" applyAlignment="1"/>
    <xf numFmtId="0" fontId="12" fillId="0" borderId="0" xfId="5" applyFont="1"/>
    <xf numFmtId="0" fontId="12" fillId="0" borderId="19" xfId="5" applyFont="1" applyBorder="1"/>
    <xf numFmtId="170" fontId="12" fillId="0" borderId="20" xfId="5" applyNumberFormat="1" applyFont="1" applyBorder="1" applyAlignment="1"/>
    <xf numFmtId="0" fontId="11" fillId="0" borderId="22" xfId="5" applyFont="1" applyBorder="1"/>
    <xf numFmtId="170" fontId="11" fillId="0" borderId="23" xfId="5" applyNumberFormat="1" applyFont="1" applyBorder="1" applyAlignment="1"/>
    <xf numFmtId="43" fontId="0" fillId="0" borderId="23" xfId="11" applyFont="1" applyBorder="1" applyAlignment="1">
      <alignment horizontal="center"/>
    </xf>
    <xf numFmtId="0" fontId="14" fillId="0" borderId="0" xfId="7"/>
    <xf numFmtId="9" fontId="0" fillId="0" borderId="0" xfId="0" applyNumberFormat="1"/>
    <xf numFmtId="0" fontId="12" fillId="0" borderId="23" xfId="5" quotePrefix="1" applyBorder="1" applyAlignment="1">
      <alignment horizontal="center" vertical="center"/>
    </xf>
    <xf numFmtId="2" fontId="12" fillId="0" borderId="23" xfId="5" applyNumberFormat="1" applyBorder="1"/>
    <xf numFmtId="0" fontId="12" fillId="0" borderId="26" xfId="5" quotePrefix="1" applyBorder="1" applyAlignment="1">
      <alignment horizontal="center" vertical="center"/>
    </xf>
    <xf numFmtId="174" fontId="12" fillId="0" borderId="0" xfId="5" applyNumberFormat="1"/>
    <xf numFmtId="169" fontId="12" fillId="0" borderId="23" xfId="5" applyNumberFormat="1" applyBorder="1"/>
    <xf numFmtId="3" fontId="13" fillId="2" borderId="16" xfId="1" applyNumberFormat="1" applyFont="1" applyFill="1" applyBorder="1"/>
    <xf numFmtId="3" fontId="13" fillId="2" borderId="15" xfId="1" applyNumberFormat="1" applyFont="1" applyFill="1" applyBorder="1"/>
    <xf numFmtId="3" fontId="13" fillId="2" borderId="12" xfId="1" applyNumberFormat="1" applyFont="1" applyFill="1" applyBorder="1" applyAlignment="1">
      <alignment horizontal="left"/>
    </xf>
    <xf numFmtId="3" fontId="30" fillId="7" borderId="11" xfId="1" applyNumberFormat="1" applyFont="1" applyFill="1" applyBorder="1"/>
    <xf numFmtId="0" fontId="8" fillId="0" borderId="0" xfId="7" applyFont="1" applyAlignment="1"/>
    <xf numFmtId="0" fontId="14" fillId="0" borderId="0" xfId="7" applyAlignment="1"/>
    <xf numFmtId="171" fontId="23" fillId="0" borderId="0" xfId="7" applyNumberFormat="1" applyFont="1" applyBorder="1" applyAlignment="1">
      <alignment horizontal="center"/>
    </xf>
    <xf numFmtId="0" fontId="13" fillId="0" borderId="0" xfId="7" quotePrefix="1" applyFont="1" applyBorder="1" applyAlignment="1">
      <alignment horizontal="center"/>
    </xf>
    <xf numFmtId="2" fontId="13" fillId="0" borderId="60" xfId="7" applyNumberFormat="1" applyFont="1" applyBorder="1" applyAlignment="1">
      <alignment horizontal="center"/>
    </xf>
    <xf numFmtId="2" fontId="14" fillId="0" borderId="0" xfId="7" applyNumberFormat="1" applyAlignment="1">
      <alignment horizontal="left"/>
    </xf>
    <xf numFmtId="2" fontId="14" fillId="0" borderId="0" xfId="7" applyNumberFormat="1"/>
    <xf numFmtId="2" fontId="23" fillId="0" borderId="65" xfId="7" applyNumberFormat="1" applyFont="1" applyBorder="1" applyAlignment="1">
      <alignment horizontal="center"/>
    </xf>
    <xf numFmtId="0" fontId="0" fillId="0" borderId="0" xfId="0" quotePrefix="1"/>
    <xf numFmtId="0" fontId="0" fillId="0" borderId="32" xfId="0" applyBorder="1"/>
    <xf numFmtId="166" fontId="0" fillId="0" borderId="34" xfId="3" applyNumberFormat="1" applyFont="1" applyBorder="1" applyAlignment="1"/>
    <xf numFmtId="0" fontId="0" fillId="0" borderId="62" xfId="0" applyBorder="1"/>
    <xf numFmtId="166" fontId="0" fillId="0" borderId="64" xfId="3" applyNumberFormat="1" applyFont="1" applyBorder="1" applyAlignment="1"/>
    <xf numFmtId="0" fontId="32" fillId="0" borderId="0" xfId="0" applyFont="1"/>
    <xf numFmtId="0" fontId="0" fillId="0" borderId="35" xfId="0" applyBorder="1"/>
    <xf numFmtId="0" fontId="0" fillId="0" borderId="0" xfId="0" quotePrefix="1" applyBorder="1"/>
    <xf numFmtId="0" fontId="0" fillId="0" borderId="36" xfId="0" applyBorder="1" applyAlignment="1">
      <alignment horizontal="center"/>
    </xf>
    <xf numFmtId="0" fontId="0" fillId="10" borderId="35" xfId="0" applyFill="1" applyBorder="1"/>
    <xf numFmtId="0" fontId="24" fillId="6" borderId="36" xfId="0" applyFont="1" applyFill="1" applyBorder="1" applyAlignment="1">
      <alignment horizontal="center"/>
    </xf>
    <xf numFmtId="10" fontId="24" fillId="6" borderId="36" xfId="3" applyNumberFormat="1" applyFont="1" applyFill="1" applyBorder="1" applyAlignment="1">
      <alignment horizontal="center"/>
    </xf>
    <xf numFmtId="0" fontId="0" fillId="10" borderId="62" xfId="0" applyFill="1" applyBorder="1"/>
    <xf numFmtId="0" fontId="0" fillId="0" borderId="63" xfId="0" quotePrefix="1" applyBorder="1"/>
    <xf numFmtId="10" fontId="24" fillId="6" borderId="64" xfId="3" applyNumberFormat="1" applyFont="1" applyFill="1" applyBorder="1" applyAlignment="1">
      <alignment horizontal="center"/>
    </xf>
    <xf numFmtId="43" fontId="0" fillId="0" borderId="35" xfId="0" applyNumberFormat="1" applyBorder="1"/>
    <xf numFmtId="43" fontId="0" fillId="0" borderId="36" xfId="11" applyFont="1" applyBorder="1"/>
    <xf numFmtId="0" fontId="0" fillId="0" borderId="27" xfId="0" applyBorder="1"/>
    <xf numFmtId="0" fontId="0" fillId="0" borderId="28" xfId="0" quotePrefix="1" applyBorder="1"/>
    <xf numFmtId="0" fontId="24" fillId="6" borderId="23" xfId="0" applyFont="1" applyFill="1" applyBorder="1" applyAlignment="1">
      <alignment horizontal="center"/>
    </xf>
    <xf numFmtId="0" fontId="14" fillId="0" borderId="0" xfId="7"/>
    <xf numFmtId="0" fontId="10" fillId="0" borderId="32" xfId="0" applyFont="1" applyBorder="1"/>
    <xf numFmtId="0" fontId="10" fillId="0" borderId="33" xfId="0" applyFont="1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0" borderId="36" xfId="0" applyBorder="1"/>
    <xf numFmtId="10" fontId="0" fillId="0" borderId="0" xfId="3" applyNumberFormat="1" applyFont="1" applyBorder="1"/>
    <xf numFmtId="0" fontId="0" fillId="0" borderId="63" xfId="0" applyBorder="1"/>
    <xf numFmtId="0" fontId="0" fillId="0" borderId="64" xfId="0" applyBorder="1"/>
    <xf numFmtId="0" fontId="31" fillId="0" borderId="32" xfId="0" applyFont="1" applyFill="1" applyBorder="1"/>
    <xf numFmtId="0" fontId="31" fillId="0" borderId="33" xfId="0" applyFont="1" applyFill="1" applyBorder="1"/>
    <xf numFmtId="9" fontId="0" fillId="0" borderId="0" xfId="3" applyFont="1" applyBorder="1"/>
    <xf numFmtId="10" fontId="0" fillId="0" borderId="0" xfId="0" applyNumberFormat="1" applyBorder="1"/>
    <xf numFmtId="166" fontId="0" fillId="0" borderId="0" xfId="3" applyNumberFormat="1" applyFont="1" applyBorder="1"/>
    <xf numFmtId="172" fontId="0" fillId="0" borderId="0" xfId="0" applyNumberFormat="1" applyBorder="1"/>
    <xf numFmtId="0" fontId="12" fillId="0" borderId="23" xfId="5" applyFont="1" applyBorder="1"/>
    <xf numFmtId="170" fontId="12" fillId="0" borderId="23" xfId="5" applyNumberFormat="1" applyFont="1" applyBorder="1" applyAlignment="1"/>
    <xf numFmtId="0" fontId="7" fillId="0" borderId="0" xfId="1" applyFont="1"/>
    <xf numFmtId="0" fontId="1" fillId="0" borderId="0" xfId="1"/>
    <xf numFmtId="0" fontId="35" fillId="0" borderId="0" xfId="1" applyFont="1" applyAlignment="1">
      <alignment horizontal="left" vertical="center" readingOrder="1"/>
    </xf>
    <xf numFmtId="0" fontId="35" fillId="0" borderId="0" xfId="1" applyFont="1"/>
    <xf numFmtId="0" fontId="40" fillId="0" borderId="0" xfId="1" applyFont="1"/>
    <xf numFmtId="0" fontId="2" fillId="4" borderId="35" xfId="1" applyFont="1" applyFill="1" applyBorder="1"/>
    <xf numFmtId="0" fontId="2" fillId="4" borderId="36" xfId="1" applyFont="1" applyFill="1" applyBorder="1"/>
    <xf numFmtId="166" fontId="2" fillId="4" borderId="0" xfId="1" applyNumberFormat="1" applyFont="1" applyFill="1" applyBorder="1"/>
    <xf numFmtId="0" fontId="2" fillId="4" borderId="0" xfId="1" applyFont="1" applyFill="1" applyBorder="1"/>
    <xf numFmtId="175" fontId="2" fillId="4" borderId="0" xfId="1" applyNumberFormat="1" applyFont="1" applyFill="1" applyBorder="1"/>
    <xf numFmtId="0" fontId="1" fillId="0" borderId="62" xfId="1" applyBorder="1"/>
    <xf numFmtId="0" fontId="1" fillId="0" borderId="63" xfId="1" applyBorder="1"/>
    <xf numFmtId="0" fontId="1" fillId="0" borderId="64" xfId="1" applyBorder="1"/>
    <xf numFmtId="0" fontId="0" fillId="0" borderId="0" xfId="0" applyAlignment="1">
      <alignment horizontal="right"/>
    </xf>
    <xf numFmtId="169" fontId="12" fillId="13" borderId="23" xfId="5" applyNumberFormat="1" applyFill="1" applyBorder="1"/>
    <xf numFmtId="2" fontId="5" fillId="6" borderId="65" xfId="5" applyNumberFormat="1" applyFont="1" applyFill="1" applyBorder="1"/>
    <xf numFmtId="2" fontId="5" fillId="6" borderId="28" xfId="5" applyNumberFormat="1" applyFont="1" applyFill="1" applyBorder="1"/>
    <xf numFmtId="2" fontId="5" fillId="6" borderId="29" xfId="5" applyNumberFormat="1" applyFont="1" applyFill="1" applyBorder="1"/>
    <xf numFmtId="3" fontId="12" fillId="0" borderId="23" xfId="7" applyNumberFormat="1" applyFont="1" applyFill="1" applyBorder="1"/>
    <xf numFmtId="4" fontId="12" fillId="0" borderId="23" xfId="7" applyNumberFormat="1" applyFont="1" applyFill="1" applyBorder="1"/>
    <xf numFmtId="3" fontId="5" fillId="14" borderId="23" xfId="7" applyNumberFormat="1" applyFont="1" applyFill="1" applyBorder="1"/>
    <xf numFmtId="3" fontId="6" fillId="14" borderId="23" xfId="7" applyNumberFormat="1" applyFont="1" applyFill="1" applyBorder="1"/>
    <xf numFmtId="3" fontId="6" fillId="14" borderId="23" xfId="7" applyNumberFormat="1" applyFont="1" applyFill="1" applyBorder="1" applyAlignment="1">
      <alignment horizontal="center"/>
    </xf>
    <xf numFmtId="43" fontId="5" fillId="14" borderId="23" xfId="8" applyFont="1" applyFill="1" applyBorder="1" applyAlignment="1"/>
    <xf numFmtId="0" fontId="43" fillId="6" borderId="55" xfId="0" applyFont="1" applyFill="1" applyBorder="1" applyAlignment="1">
      <alignment horizontal="center"/>
    </xf>
    <xf numFmtId="0" fontId="29" fillId="6" borderId="23" xfId="0" applyFont="1" applyFill="1" applyBorder="1"/>
    <xf numFmtId="3" fontId="29" fillId="6" borderId="23" xfId="0" applyNumberFormat="1" applyFont="1" applyFill="1" applyBorder="1"/>
    <xf numFmtId="3" fontId="5" fillId="14" borderId="41" xfId="7" applyNumberFormat="1" applyFont="1" applyFill="1" applyBorder="1"/>
    <xf numFmtId="43" fontId="5" fillId="14" borderId="8" xfId="8" applyFont="1" applyFill="1" applyBorder="1" applyAlignment="1"/>
    <xf numFmtId="3" fontId="13" fillId="2" borderId="10" xfId="1" applyNumberFormat="1" applyFont="1" applyFill="1" applyBorder="1" applyAlignment="1">
      <alignment horizontal="left"/>
    </xf>
    <xf numFmtId="0" fontId="12" fillId="0" borderId="23" xfId="5" applyFill="1" applyBorder="1"/>
    <xf numFmtId="177" fontId="12" fillId="0" borderId="23" xfId="7" applyNumberFormat="1" applyFont="1" applyFill="1" applyBorder="1" applyAlignment="1">
      <alignment horizontal="center"/>
    </xf>
    <xf numFmtId="3" fontId="12" fillId="0" borderId="23" xfId="7" applyNumberFormat="1" applyFont="1" applyFill="1" applyBorder="1" applyAlignment="1">
      <alignment horizontal="center"/>
    </xf>
    <xf numFmtId="9" fontId="12" fillId="0" borderId="23" xfId="7" applyNumberFormat="1" applyFont="1" applyFill="1" applyBorder="1" applyAlignment="1">
      <alignment horizontal="center"/>
    </xf>
    <xf numFmtId="0" fontId="12" fillId="0" borderId="23" xfId="7" applyFont="1" applyFill="1" applyBorder="1" applyAlignment="1">
      <alignment horizontal="center" vertical="center"/>
    </xf>
    <xf numFmtId="10" fontId="12" fillId="0" borderId="23" xfId="3" applyNumberFormat="1" applyFont="1" applyFill="1" applyBorder="1" applyAlignment="1">
      <alignment horizontal="center" vertical="center"/>
    </xf>
    <xf numFmtId="0" fontId="5" fillId="15" borderId="23" xfId="7" applyFont="1" applyFill="1" applyBorder="1" applyAlignment="1">
      <alignment horizontal="center" vertical="center" wrapText="1"/>
    </xf>
    <xf numFmtId="0" fontId="5" fillId="15" borderId="23" xfId="7" applyFont="1" applyFill="1" applyBorder="1" applyAlignment="1">
      <alignment horizontal="center" vertical="center"/>
    </xf>
    <xf numFmtId="177" fontId="13" fillId="16" borderId="23" xfId="7" applyNumberFormat="1" applyFont="1" applyFill="1" applyBorder="1" applyAlignment="1">
      <alignment horizontal="center"/>
    </xf>
    <xf numFmtId="3" fontId="13" fillId="16" borderId="23" xfId="7" applyNumberFormat="1" applyFont="1" applyFill="1" applyBorder="1" applyAlignment="1">
      <alignment horizontal="center"/>
    </xf>
    <xf numFmtId="10" fontId="13" fillId="16" borderId="23" xfId="7" applyNumberFormat="1" applyFont="1" applyFill="1" applyBorder="1" applyAlignment="1">
      <alignment horizontal="center"/>
    </xf>
    <xf numFmtId="0" fontId="5" fillId="15" borderId="50" xfId="7" applyFont="1" applyFill="1" applyBorder="1" applyAlignment="1">
      <alignment horizontal="center" vertical="center"/>
    </xf>
    <xf numFmtId="0" fontId="5" fillId="15" borderId="53" xfId="7" applyFont="1" applyFill="1" applyBorder="1" applyAlignment="1">
      <alignment horizontal="center" vertical="center"/>
    </xf>
    <xf numFmtId="0" fontId="5" fillId="15" borderId="49" xfId="7" applyFont="1" applyFill="1" applyBorder="1" applyAlignment="1">
      <alignment horizontal="center" vertical="center"/>
    </xf>
    <xf numFmtId="3" fontId="13" fillId="17" borderId="66" xfId="7" applyNumberFormat="1" applyFont="1" applyFill="1" applyBorder="1" applyAlignment="1">
      <alignment horizontal="center"/>
    </xf>
    <xf numFmtId="10" fontId="13" fillId="17" borderId="13" xfId="7" applyNumberFormat="1" applyFont="1" applyFill="1" applyBorder="1" applyAlignment="1">
      <alignment horizontal="center"/>
    </xf>
    <xf numFmtId="176" fontId="13" fillId="17" borderId="13" xfId="7" applyNumberFormat="1" applyFont="1" applyFill="1" applyBorder="1" applyAlignment="1">
      <alignment horizontal="center"/>
    </xf>
    <xf numFmtId="10" fontId="13" fillId="17" borderId="14" xfId="7" applyNumberFormat="1" applyFont="1" applyFill="1" applyBorder="1" applyAlignment="1">
      <alignment horizontal="center"/>
    </xf>
    <xf numFmtId="177" fontId="13" fillId="0" borderId="23" xfId="7" applyNumberFormat="1" applyFont="1" applyFill="1" applyBorder="1" applyAlignment="1">
      <alignment horizontal="center"/>
    </xf>
    <xf numFmtId="3" fontId="13" fillId="0" borderId="23" xfId="7" applyNumberFormat="1" applyFont="1" applyFill="1" applyBorder="1" applyAlignment="1">
      <alignment horizontal="center"/>
    </xf>
    <xf numFmtId="9" fontId="13" fillId="0" borderId="23" xfId="7" applyNumberFormat="1" applyFont="1" applyFill="1" applyBorder="1" applyAlignment="1">
      <alignment horizontal="center"/>
    </xf>
    <xf numFmtId="166" fontId="13" fillId="0" borderId="23" xfId="7" applyNumberFormat="1" applyFont="1" applyFill="1" applyBorder="1" applyAlignment="1">
      <alignment horizontal="center"/>
    </xf>
    <xf numFmtId="0" fontId="14" fillId="0" borderId="0" xfId="7" applyFill="1"/>
    <xf numFmtId="177" fontId="13" fillId="11" borderId="23" xfId="7" applyNumberFormat="1" applyFont="1" applyFill="1" applyBorder="1" applyAlignment="1">
      <alignment horizontal="center"/>
    </xf>
    <xf numFmtId="3" fontId="13" fillId="11" borderId="23" xfId="7" applyNumberFormat="1" applyFont="1" applyFill="1" applyBorder="1" applyAlignment="1">
      <alignment horizontal="center"/>
    </xf>
    <xf numFmtId="10" fontId="12" fillId="11" borderId="23" xfId="3" applyNumberFormat="1" applyFont="1" applyFill="1" applyBorder="1" applyAlignment="1">
      <alignment horizontal="center" vertical="center"/>
    </xf>
    <xf numFmtId="0" fontId="6" fillId="6" borderId="23" xfId="5" applyFont="1" applyFill="1" applyBorder="1" applyAlignment="1">
      <alignment horizontal="center"/>
    </xf>
    <xf numFmtId="177" fontId="12" fillId="11" borderId="23" xfId="7" applyNumberFormat="1" applyFont="1" applyFill="1" applyBorder="1" applyAlignment="1">
      <alignment horizontal="center"/>
    </xf>
    <xf numFmtId="0" fontId="12" fillId="18" borderId="23" xfId="5" applyFont="1" applyFill="1" applyBorder="1"/>
    <xf numFmtId="0" fontId="8" fillId="4" borderId="0" xfId="7" applyFont="1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7" borderId="0" xfId="7" applyFont="1" applyFill="1" applyBorder="1" applyAlignment="1">
      <alignment horizontal="center" vertical="center"/>
    </xf>
    <xf numFmtId="0" fontId="13" fillId="2" borderId="0" xfId="7" applyFont="1" applyFill="1" applyBorder="1"/>
    <xf numFmtId="43" fontId="13" fillId="2" borderId="0" xfId="8" applyFont="1" applyFill="1" applyBorder="1" applyAlignment="1"/>
    <xf numFmtId="43" fontId="5" fillId="14" borderId="0" xfId="8" applyFont="1" applyFill="1" applyBorder="1" applyAlignment="1"/>
    <xf numFmtId="0" fontId="6" fillId="6" borderId="0" xfId="7" applyFont="1" applyFill="1" applyBorder="1"/>
    <xf numFmtId="0" fontId="5" fillId="7" borderId="23" xfId="7" applyFont="1" applyFill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23" xfId="0" applyFill="1" applyBorder="1"/>
    <xf numFmtId="43" fontId="0" fillId="0" borderId="23" xfId="11" applyFont="1" applyFill="1" applyBorder="1"/>
    <xf numFmtId="0" fontId="29" fillId="0" borderId="0" xfId="0" applyFont="1"/>
    <xf numFmtId="2" fontId="0" fillId="0" borderId="23" xfId="0" applyNumberFormat="1" applyFill="1" applyBorder="1"/>
    <xf numFmtId="3" fontId="0" fillId="0" borderId="23" xfId="0" applyNumberFormat="1" applyFill="1" applyBorder="1"/>
    <xf numFmtId="0" fontId="25" fillId="6" borderId="26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43" fontId="0" fillId="10" borderId="23" xfId="11" applyFont="1" applyFill="1" applyBorder="1"/>
    <xf numFmtId="0" fontId="0" fillId="10" borderId="23" xfId="0" applyFill="1" applyBorder="1"/>
    <xf numFmtId="0" fontId="14" fillId="0" borderId="0" xfId="7"/>
    <xf numFmtId="0" fontId="0" fillId="0" borderId="0" xfId="0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18" borderId="23" xfId="0" applyFill="1" applyBorder="1"/>
    <xf numFmtId="16" fontId="0" fillId="0" borderId="0" xfId="0" applyNumberFormat="1"/>
    <xf numFmtId="3" fontId="0" fillId="0" borderId="0" xfId="0" applyNumberFormat="1"/>
    <xf numFmtId="1" fontId="0" fillId="0" borderId="23" xfId="0" applyNumberFormat="1" applyBorder="1" applyAlignment="1">
      <alignment horizontal="center"/>
    </xf>
    <xf numFmtId="168" fontId="13" fillId="2" borderId="23" xfId="8" applyNumberFormat="1" applyFont="1" applyFill="1" applyBorder="1" applyAlignment="1"/>
    <xf numFmtId="43" fontId="6" fillId="14" borderId="16" xfId="8" applyFont="1" applyFill="1" applyBorder="1" applyAlignment="1"/>
    <xf numFmtId="0" fontId="13" fillId="0" borderId="67" xfId="7" applyFont="1" applyBorder="1"/>
    <xf numFmtId="0" fontId="13" fillId="0" borderId="68" xfId="7" applyFont="1" applyBorder="1"/>
    <xf numFmtId="0" fontId="8" fillId="5" borderId="67" xfId="7" applyFont="1" applyFill="1" applyBorder="1"/>
    <xf numFmtId="2" fontId="5" fillId="7" borderId="5" xfId="7" applyNumberFormat="1" applyFont="1" applyFill="1" applyBorder="1" applyAlignment="1">
      <alignment horizontal="center"/>
    </xf>
    <xf numFmtId="2" fontId="13" fillId="0" borderId="23" xfId="7" applyNumberFormat="1" applyFont="1" applyBorder="1"/>
    <xf numFmtId="2" fontId="8" fillId="5" borderId="23" xfId="7" applyNumberFormat="1" applyFont="1" applyFill="1" applyBorder="1"/>
    <xf numFmtId="0" fontId="8" fillId="5" borderId="69" xfId="7" applyFont="1" applyFill="1" applyBorder="1"/>
    <xf numFmtId="2" fontId="5" fillId="7" borderId="70" xfId="7" applyNumberFormat="1" applyFont="1" applyFill="1" applyBorder="1" applyAlignment="1">
      <alignment horizontal="center"/>
    </xf>
    <xf numFmtId="172" fontId="12" fillId="0" borderId="23" xfId="7" applyNumberFormat="1" applyFont="1" applyFill="1" applyBorder="1" applyAlignment="1">
      <alignment horizontal="center" vertical="center"/>
    </xf>
    <xf numFmtId="172" fontId="12" fillId="0" borderId="23" xfId="7" applyNumberFormat="1" applyFont="1" applyFill="1" applyBorder="1" applyAlignment="1">
      <alignment horizontal="center"/>
    </xf>
    <xf numFmtId="2" fontId="12" fillId="0" borderId="23" xfId="7" applyNumberFormat="1" applyFont="1" applyFill="1" applyBorder="1" applyAlignment="1">
      <alignment horizontal="center" vertical="center"/>
    </xf>
    <xf numFmtId="172" fontId="12" fillId="11" borderId="23" xfId="7" applyNumberFormat="1" applyFont="1" applyFill="1" applyBorder="1" applyAlignment="1">
      <alignment horizontal="center" vertical="center"/>
    </xf>
    <xf numFmtId="172" fontId="13" fillId="0" borderId="23" xfId="7" applyNumberFormat="1" applyFont="1" applyFill="1" applyBorder="1" applyAlignment="1">
      <alignment horizontal="center"/>
    </xf>
    <xf numFmtId="2" fontId="12" fillId="11" borderId="23" xfId="7" applyNumberFormat="1" applyFont="1" applyFill="1" applyBorder="1" applyAlignment="1">
      <alignment horizontal="center" vertical="center"/>
    </xf>
    <xf numFmtId="2" fontId="13" fillId="0" borderId="23" xfId="7" applyNumberFormat="1" applyFont="1" applyFill="1" applyBorder="1" applyAlignment="1">
      <alignment horizontal="center"/>
    </xf>
    <xf numFmtId="166" fontId="13" fillId="11" borderId="23" xfId="7" applyNumberFormat="1" applyFont="1" applyFill="1" applyBorder="1" applyAlignment="1">
      <alignment horizontal="center"/>
    </xf>
    <xf numFmtId="0" fontId="12" fillId="3" borderId="0" xfId="5" applyFont="1" applyFill="1" applyBorder="1"/>
    <xf numFmtId="0" fontId="12" fillId="3" borderId="0" xfId="5" applyFill="1" applyBorder="1"/>
    <xf numFmtId="169" fontId="12" fillId="0" borderId="0" xfId="5" applyNumberFormat="1" applyFill="1" applyBorder="1"/>
    <xf numFmtId="0" fontId="0" fillId="0" borderId="0" xfId="0" applyFill="1" applyBorder="1" applyAlignment="1"/>
    <xf numFmtId="169" fontId="0" fillId="0" borderId="0" xfId="0" applyNumberFormat="1" applyFill="1" applyBorder="1" applyAlignment="1"/>
    <xf numFmtId="4" fontId="0" fillId="0" borderId="0" xfId="0" applyNumberFormat="1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166" fontId="0" fillId="0" borderId="0" xfId="0" applyNumberFormat="1" applyFill="1" applyBorder="1" applyAlignment="1"/>
    <xf numFmtId="166" fontId="0" fillId="0" borderId="63" xfId="0" applyNumberFormat="1" applyFill="1" applyBorder="1" applyAlignment="1"/>
    <xf numFmtId="0" fontId="0" fillId="0" borderId="38" xfId="0" applyFill="1" applyBorder="1" applyAlignment="1"/>
    <xf numFmtId="0" fontId="32" fillId="0" borderId="0" xfId="0" applyFont="1" applyFill="1" applyBorder="1" applyAlignment="1">
      <alignment vertical="top" wrapText="1"/>
    </xf>
    <xf numFmtId="178" fontId="13" fillId="17" borderId="23" xfId="7" applyNumberFormat="1" applyFont="1" applyFill="1" applyBorder="1" applyAlignment="1">
      <alignment horizontal="center"/>
    </xf>
    <xf numFmtId="168" fontId="6" fillId="21" borderId="38" xfId="8" applyNumberFormat="1" applyFont="1" applyFill="1" applyBorder="1" applyAlignment="1"/>
    <xf numFmtId="168" fontId="6" fillId="21" borderId="58" xfId="7" applyNumberFormat="1" applyFont="1" applyFill="1" applyBorder="1"/>
    <xf numFmtId="0" fontId="6" fillId="21" borderId="59" xfId="7" applyFont="1" applyFill="1" applyBorder="1"/>
    <xf numFmtId="2" fontId="6" fillId="21" borderId="60" xfId="7" applyNumberFormat="1" applyFont="1" applyFill="1" applyBorder="1" applyAlignment="1"/>
    <xf numFmtId="0" fontId="6" fillId="21" borderId="61" xfId="7" applyFont="1" applyFill="1" applyBorder="1"/>
    <xf numFmtId="0" fontId="5" fillId="6" borderId="65" xfId="7" applyFont="1" applyFill="1" applyBorder="1" applyAlignment="1">
      <alignment horizontal="center"/>
    </xf>
    <xf numFmtId="0" fontId="5" fillId="6" borderId="0" xfId="7" applyFont="1" applyFill="1"/>
    <xf numFmtId="0" fontId="6" fillId="6" borderId="0" xfId="7" applyFont="1" applyFill="1" applyBorder="1"/>
    <xf numFmtId="0" fontId="29" fillId="6" borderId="0" xfId="0" applyFont="1" applyFill="1" applyAlignment="1">
      <alignment horizontal="center"/>
    </xf>
    <xf numFmtId="0" fontId="5" fillId="7" borderId="23" xfId="7" applyFont="1" applyFill="1" applyBorder="1" applyAlignment="1">
      <alignment horizontal="center" vertical="center"/>
    </xf>
    <xf numFmtId="0" fontId="6" fillId="6" borderId="23" xfId="7" applyFont="1" applyFill="1" applyBorder="1"/>
    <xf numFmtId="0" fontId="5" fillId="7" borderId="23" xfId="7" applyFont="1" applyFill="1" applyBorder="1" applyAlignment="1">
      <alignment horizontal="center" vertical="center" wrapText="1"/>
    </xf>
    <xf numFmtId="0" fontId="6" fillId="6" borderId="23" xfId="7" applyFont="1" applyFill="1" applyBorder="1" applyAlignment="1">
      <alignment horizontal="center" wrapText="1"/>
    </xf>
    <xf numFmtId="0" fontId="5" fillId="7" borderId="23" xfId="7" applyFont="1" applyFill="1" applyBorder="1" applyAlignment="1">
      <alignment horizontal="center"/>
    </xf>
    <xf numFmtId="169" fontId="13" fillId="0" borderId="7" xfId="7" applyNumberFormat="1" applyFont="1" applyBorder="1" applyAlignment="1">
      <alignment horizontal="center"/>
    </xf>
    <xf numFmtId="168" fontId="0" fillId="10" borderId="0" xfId="11" applyNumberFormat="1" applyFont="1" applyFill="1" applyBorder="1" applyAlignment="1">
      <alignment horizontal="center"/>
    </xf>
    <xf numFmtId="0" fontId="14" fillId="0" borderId="0" xfId="7"/>
    <xf numFmtId="43" fontId="13" fillId="0" borderId="23" xfId="11" applyFont="1" applyBorder="1"/>
    <xf numFmtId="43" fontId="13" fillId="0" borderId="51" xfId="11" applyFont="1" applyBorder="1"/>
    <xf numFmtId="43" fontId="13" fillId="0" borderId="40" xfId="11" applyFont="1" applyBorder="1"/>
    <xf numFmtId="43" fontId="13" fillId="0" borderId="46" xfId="11" applyFont="1" applyBorder="1"/>
    <xf numFmtId="10" fontId="29" fillId="6" borderId="29" xfId="0" applyNumberFormat="1" applyFont="1" applyFill="1" applyBorder="1"/>
    <xf numFmtId="2" fontId="10" fillId="18" borderId="0" xfId="3" applyNumberFormat="1" applyFont="1" applyFill="1" applyBorder="1"/>
    <xf numFmtId="0" fontId="0" fillId="0" borderId="33" xfId="0" quotePrefix="1" applyBorder="1"/>
    <xf numFmtId="2" fontId="0" fillId="18" borderId="0" xfId="0" applyNumberFormat="1" applyFill="1" applyBorder="1"/>
    <xf numFmtId="0" fontId="0" fillId="22" borderId="23" xfId="0" applyFill="1" applyBorder="1"/>
    <xf numFmtId="3" fontId="11" fillId="23" borderId="23" xfId="7" applyNumberFormat="1" applyFont="1" applyFill="1" applyBorder="1"/>
    <xf numFmtId="3" fontId="12" fillId="23" borderId="23" xfId="7" applyNumberFormat="1" applyFont="1" applyFill="1" applyBorder="1"/>
    <xf numFmtId="43" fontId="11" fillId="23" borderId="23" xfId="7" applyNumberFormat="1" applyFont="1" applyFill="1" applyBorder="1"/>
    <xf numFmtId="43" fontId="11" fillId="23" borderId="0" xfId="7" applyNumberFormat="1" applyFont="1" applyFill="1" applyBorder="1"/>
    <xf numFmtId="3" fontId="12" fillId="23" borderId="23" xfId="7" applyNumberFormat="1" applyFont="1" applyFill="1" applyBorder="1" applyAlignment="1">
      <alignment horizontal="center"/>
    </xf>
    <xf numFmtId="43" fontId="11" fillId="23" borderId="23" xfId="8" applyFont="1" applyFill="1" applyBorder="1" applyAlignment="1"/>
    <xf numFmtId="43" fontId="11" fillId="23" borderId="0" xfId="8" applyFont="1" applyFill="1" applyBorder="1" applyAlignment="1"/>
    <xf numFmtId="0" fontId="13" fillId="24" borderId="0" xfId="7" applyFont="1" applyFill="1"/>
    <xf numFmtId="0" fontId="13" fillId="24" borderId="0" xfId="7" applyFont="1" applyFill="1" applyAlignment="1">
      <alignment horizontal="right"/>
    </xf>
    <xf numFmtId="3" fontId="11" fillId="25" borderId="23" xfId="7" applyNumberFormat="1" applyFont="1" applyFill="1" applyBorder="1"/>
    <xf numFmtId="3" fontId="12" fillId="25" borderId="23" xfId="7" applyNumberFormat="1" applyFont="1" applyFill="1" applyBorder="1"/>
    <xf numFmtId="43" fontId="11" fillId="25" borderId="23" xfId="7" applyNumberFormat="1" applyFont="1" applyFill="1" applyBorder="1"/>
    <xf numFmtId="43" fontId="11" fillId="25" borderId="0" xfId="7" applyNumberFormat="1" applyFont="1" applyFill="1" applyBorder="1"/>
    <xf numFmtId="3" fontId="12" fillId="25" borderId="23" xfId="7" applyNumberFormat="1" applyFont="1" applyFill="1" applyBorder="1" applyAlignment="1">
      <alignment horizontal="center"/>
    </xf>
    <xf numFmtId="43" fontId="5" fillId="25" borderId="0" xfId="8" applyFont="1" applyFill="1" applyBorder="1" applyAlignment="1"/>
    <xf numFmtId="43" fontId="11" fillId="25" borderId="23" xfId="8" applyFont="1" applyFill="1" applyBorder="1" applyAlignment="1"/>
    <xf numFmtId="43" fontId="11" fillId="25" borderId="0" xfId="8" applyFont="1" applyFill="1" applyBorder="1" applyAlignment="1"/>
    <xf numFmtId="0" fontId="8" fillId="25" borderId="12" xfId="7" applyFont="1" applyFill="1" applyBorder="1" applyAlignment="1">
      <alignment horizontal="left"/>
    </xf>
    <xf numFmtId="3" fontId="13" fillId="25" borderId="15" xfId="7" applyNumberFormat="1" applyFont="1" applyFill="1" applyBorder="1" applyAlignment="1">
      <alignment horizontal="left"/>
    </xf>
    <xf numFmtId="3" fontId="13" fillId="25" borderId="15" xfId="7" applyNumberFormat="1" applyFont="1" applyFill="1" applyBorder="1"/>
    <xf numFmtId="0" fontId="11" fillId="26" borderId="43" xfId="7" applyFont="1" applyFill="1" applyBorder="1"/>
    <xf numFmtId="0" fontId="11" fillId="26" borderId="16" xfId="7" applyFont="1" applyFill="1" applyBorder="1"/>
    <xf numFmtId="43" fontId="47" fillId="26" borderId="16" xfId="7" applyNumberFormat="1" applyFont="1" applyFill="1" applyBorder="1" applyAlignment="1">
      <alignment horizontal="center"/>
    </xf>
    <xf numFmtId="0" fontId="11" fillId="26" borderId="15" xfId="7" applyFont="1" applyFill="1" applyBorder="1"/>
    <xf numFmtId="43" fontId="12" fillId="26" borderId="16" xfId="8" applyFont="1" applyFill="1" applyBorder="1" applyAlignment="1"/>
    <xf numFmtId="43" fontId="47" fillId="26" borderId="16" xfId="8" applyFont="1" applyFill="1" applyBorder="1" applyAlignment="1">
      <alignment horizontal="center"/>
    </xf>
    <xf numFmtId="3" fontId="31" fillId="13" borderId="23" xfId="0" applyNumberFormat="1" applyFont="1" applyFill="1" applyBorder="1"/>
    <xf numFmtId="0" fontId="0" fillId="27" borderId="23" xfId="0" applyFill="1" applyBorder="1"/>
    <xf numFmtId="0" fontId="31" fillId="18" borderId="23" xfId="0" applyFont="1" applyFill="1" applyBorder="1"/>
    <xf numFmtId="43" fontId="31" fillId="18" borderId="0" xfId="11" applyFont="1" applyFill="1"/>
    <xf numFmtId="43" fontId="31" fillId="18" borderId="23" xfId="11" applyFont="1" applyFill="1" applyBorder="1"/>
    <xf numFmtId="9" fontId="31" fillId="18" borderId="62" xfId="3" applyFont="1" applyFill="1" applyBorder="1"/>
    <xf numFmtId="9" fontId="31" fillId="18" borderId="64" xfId="3" applyFont="1" applyFill="1" applyBorder="1"/>
    <xf numFmtId="0" fontId="46" fillId="18" borderId="23" xfId="0" applyFont="1" applyFill="1" applyBorder="1"/>
    <xf numFmtId="3" fontId="11" fillId="25" borderId="10" xfId="1" applyNumberFormat="1" applyFont="1" applyFill="1" applyBorder="1"/>
    <xf numFmtId="3" fontId="11" fillId="25" borderId="11" xfId="1" applyNumberFormat="1" applyFont="1" applyFill="1" applyBorder="1"/>
    <xf numFmtId="0" fontId="5" fillId="8" borderId="0" xfId="7" applyFont="1" applyFill="1" applyBorder="1" applyAlignment="1">
      <alignment horizontal="center" vertical="center"/>
    </xf>
    <xf numFmtId="0" fontId="5" fillId="8" borderId="0" xfId="7" applyFont="1" applyFill="1" applyBorder="1" applyAlignment="1">
      <alignment horizontal="center" vertical="center" wrapText="1"/>
    </xf>
    <xf numFmtId="0" fontId="22" fillId="8" borderId="23" xfId="7" applyFont="1" applyFill="1" applyBorder="1" applyAlignment="1">
      <alignment horizontal="center" vertical="center"/>
    </xf>
    <xf numFmtId="0" fontId="22" fillId="8" borderId="23" xfId="7" applyFont="1" applyFill="1" applyBorder="1" applyAlignment="1">
      <alignment horizontal="center" vertical="center" wrapText="1"/>
    </xf>
    <xf numFmtId="2" fontId="13" fillId="2" borderId="23" xfId="7" applyNumberFormat="1" applyFont="1" applyFill="1" applyBorder="1" applyAlignment="1">
      <alignment horizontal="center" vertical="center" wrapText="1"/>
    </xf>
    <xf numFmtId="1" fontId="13" fillId="2" borderId="23" xfId="7" applyNumberFormat="1" applyFont="1" applyFill="1" applyBorder="1" applyAlignment="1">
      <alignment horizontal="center" vertical="center"/>
    </xf>
    <xf numFmtId="0" fontId="5" fillId="8" borderId="23" xfId="7" applyFont="1" applyFill="1" applyBorder="1" applyAlignment="1">
      <alignment horizontal="center" vertical="center"/>
    </xf>
    <xf numFmtId="0" fontId="5" fillId="8" borderId="23" xfId="7" applyFont="1" applyFill="1" applyBorder="1" applyAlignment="1">
      <alignment horizontal="center" vertical="center" wrapText="1"/>
    </xf>
    <xf numFmtId="164" fontId="13" fillId="2" borderId="23" xfId="7" applyNumberFormat="1" applyFont="1" applyFill="1" applyBorder="1" applyAlignment="1">
      <alignment horizontal="center" vertical="center"/>
    </xf>
    <xf numFmtId="164" fontId="13" fillId="0" borderId="23" xfId="7" applyNumberFormat="1" applyFont="1" applyBorder="1" applyAlignment="1">
      <alignment horizontal="center" vertical="center"/>
    </xf>
    <xf numFmtId="0" fontId="13" fillId="2" borderId="23" xfId="7" applyFont="1" applyFill="1" applyBorder="1" applyAlignment="1">
      <alignment horizontal="center" vertical="center" wrapText="1"/>
    </xf>
    <xf numFmtId="0" fontId="5" fillId="21" borderId="57" xfId="7" applyFont="1" applyFill="1" applyBorder="1"/>
    <xf numFmtId="164" fontId="14" fillId="0" borderId="29" xfId="7" applyNumberFormat="1" applyBorder="1"/>
    <xf numFmtId="0" fontId="5" fillId="6" borderId="0" xfId="7" applyFont="1" applyFill="1" applyBorder="1"/>
    <xf numFmtId="0" fontId="8" fillId="0" borderId="20" xfId="7" applyFont="1" applyBorder="1" applyAlignment="1">
      <alignment horizontal="center"/>
    </xf>
    <xf numFmtId="0" fontId="5" fillId="7" borderId="0" xfId="7" applyFont="1" applyFill="1" applyBorder="1" applyAlignment="1">
      <alignment horizontal="center"/>
    </xf>
    <xf numFmtId="0" fontId="13" fillId="0" borderId="20" xfId="7" applyFont="1" applyBorder="1" applyAlignment="1">
      <alignment horizontal="left"/>
    </xf>
    <xf numFmtId="0" fontId="14" fillId="0" borderId="20" xfId="7" applyBorder="1"/>
    <xf numFmtId="0" fontId="13" fillId="0" borderId="26" xfId="7" applyFont="1" applyBorder="1"/>
    <xf numFmtId="43" fontId="5" fillId="7" borderId="0" xfId="8" applyFont="1" applyFill="1" applyBorder="1" applyAlignment="1">
      <alignment horizontal="right"/>
    </xf>
    <xf numFmtId="10" fontId="31" fillId="13" borderId="63" xfId="0" applyNumberFormat="1" applyFont="1" applyFill="1" applyBorder="1"/>
    <xf numFmtId="2" fontId="31" fillId="13" borderId="0" xfId="0" applyNumberFormat="1" applyFont="1" applyFill="1" applyBorder="1"/>
    <xf numFmtId="0" fontId="12" fillId="0" borderId="19" xfId="5" applyBorder="1"/>
    <xf numFmtId="1" fontId="12" fillId="0" borderId="20" xfId="5" applyNumberFormat="1" applyBorder="1"/>
    <xf numFmtId="0" fontId="5" fillId="6" borderId="0" xfId="5" applyFont="1" applyFill="1" applyBorder="1" applyAlignment="1">
      <alignment horizontal="center"/>
    </xf>
    <xf numFmtId="170" fontId="12" fillId="0" borderId="20" xfId="5" applyNumberFormat="1" applyBorder="1" applyAlignment="1"/>
    <xf numFmtId="170" fontId="5" fillId="6" borderId="0" xfId="5" applyNumberFormat="1" applyFont="1" applyFill="1" applyBorder="1" applyAlignment="1">
      <alignment horizontal="center"/>
    </xf>
    <xf numFmtId="0" fontId="5" fillId="6" borderId="0" xfId="4" applyFont="1" applyFill="1" applyBorder="1"/>
    <xf numFmtId="1" fontId="5" fillId="6" borderId="0" xfId="4" applyNumberFormat="1" applyFont="1" applyFill="1" applyBorder="1"/>
    <xf numFmtId="168" fontId="12" fillId="29" borderId="0" xfId="11" applyNumberFormat="1" applyFont="1" applyFill="1" applyBorder="1"/>
    <xf numFmtId="0" fontId="12" fillId="6" borderId="0" xfId="5" applyFill="1" applyBorder="1"/>
    <xf numFmtId="0" fontId="11" fillId="6" borderId="0" xfId="5" applyFont="1" applyFill="1" applyBorder="1" applyAlignment="1">
      <alignment horizontal="center"/>
    </xf>
    <xf numFmtId="166" fontId="12" fillId="3" borderId="39" xfId="5" applyNumberFormat="1" applyFill="1" applyBorder="1"/>
    <xf numFmtId="166" fontId="12" fillId="0" borderId="39" xfId="5" applyNumberFormat="1" applyBorder="1"/>
    <xf numFmtId="0" fontId="12" fillId="0" borderId="39" xfId="5" applyBorder="1"/>
    <xf numFmtId="9" fontId="12" fillId="0" borderId="39" xfId="5" applyNumberFormat="1" applyBorder="1"/>
    <xf numFmtId="166" fontId="12" fillId="0" borderId="0" xfId="5" applyNumberFormat="1"/>
    <xf numFmtId="0" fontId="12" fillId="0" borderId="20" xfId="5" quotePrefix="1" applyBorder="1" applyAlignment="1">
      <alignment horizontal="center" vertical="center"/>
    </xf>
    <xf numFmtId="2" fontId="11" fillId="0" borderId="20" xfId="5" applyNumberFormat="1" applyFont="1" applyBorder="1"/>
    <xf numFmtId="2" fontId="12" fillId="0" borderId="20" xfId="5" applyNumberFormat="1" applyBorder="1"/>
    <xf numFmtId="2" fontId="12" fillId="13" borderId="20" xfId="5" applyNumberFormat="1" applyFill="1" applyBorder="1"/>
    <xf numFmtId="0" fontId="42" fillId="6" borderId="0" xfId="5" applyFont="1" applyFill="1" applyBorder="1" applyAlignment="1">
      <alignment horizontal="center" vertical="center" wrapText="1"/>
    </xf>
    <xf numFmtId="169" fontId="42" fillId="6" borderId="0" xfId="5" applyNumberFormat="1" applyFont="1" applyFill="1" applyBorder="1" applyAlignment="1">
      <alignment horizontal="center" vertical="center" wrapText="1"/>
    </xf>
    <xf numFmtId="169" fontId="12" fillId="0" borderId="20" xfId="5" applyNumberFormat="1" applyBorder="1"/>
    <xf numFmtId="0" fontId="6" fillId="6" borderId="0" xfId="5" applyFont="1" applyFill="1" applyBorder="1" applyAlignment="1">
      <alignment horizontal="center" vertical="center" wrapText="1"/>
    </xf>
    <xf numFmtId="43" fontId="13" fillId="11" borderId="40" xfId="11" applyFont="1" applyFill="1" applyBorder="1"/>
    <xf numFmtId="0" fontId="0" fillId="10" borderId="0" xfId="0" applyFill="1"/>
    <xf numFmtId="0" fontId="0" fillId="0" borderId="74" xfId="0" applyFill="1" applyBorder="1" applyAlignment="1">
      <alignment horizontal="center"/>
    </xf>
    <xf numFmtId="43" fontId="0" fillId="10" borderId="0" xfId="0" applyNumberFormat="1" applyFill="1"/>
    <xf numFmtId="0" fontId="14" fillId="0" borderId="0" xfId="7" applyAlignment="1">
      <alignment horizontal="center"/>
    </xf>
    <xf numFmtId="2" fontId="14" fillId="19" borderId="0" xfId="7" applyNumberFormat="1" applyFill="1" applyAlignment="1">
      <alignment horizontal="center"/>
    </xf>
    <xf numFmtId="0" fontId="14" fillId="0" borderId="0" xfId="7" applyFill="1" applyAlignment="1">
      <alignment horizontal="center"/>
    </xf>
    <xf numFmtId="2" fontId="12" fillId="11" borderId="23" xfId="3" applyNumberFormat="1" applyFont="1" applyFill="1" applyBorder="1" applyAlignment="1">
      <alignment horizontal="center" vertical="center"/>
    </xf>
    <xf numFmtId="179" fontId="0" fillId="0" borderId="0" xfId="0" applyNumberFormat="1" applyFill="1" applyBorder="1" applyAlignment="1"/>
    <xf numFmtId="0" fontId="51" fillId="20" borderId="0" xfId="0" applyFont="1" applyFill="1" applyBorder="1" applyAlignment="1">
      <alignment horizontal="left"/>
    </xf>
    <xf numFmtId="0" fontId="15" fillId="30" borderId="0" xfId="7" applyFont="1" applyFill="1" applyBorder="1"/>
    <xf numFmtId="0" fontId="14" fillId="0" borderId="0" xfId="7"/>
    <xf numFmtId="177" fontId="11" fillId="32" borderId="23" xfId="7" applyNumberFormat="1" applyFont="1" applyFill="1" applyBorder="1" applyAlignment="1">
      <alignment horizontal="center"/>
    </xf>
    <xf numFmtId="4" fontId="11" fillId="32" borderId="23" xfId="7" applyNumberFormat="1" applyFont="1" applyFill="1" applyBorder="1" applyAlignment="1">
      <alignment horizontal="center"/>
    </xf>
    <xf numFmtId="10" fontId="11" fillId="32" borderId="23" xfId="3" applyNumberFormat="1" applyFont="1" applyFill="1" applyBorder="1" applyAlignment="1">
      <alignment horizontal="center"/>
    </xf>
    <xf numFmtId="177" fontId="11" fillId="10" borderId="23" xfId="7" applyNumberFormat="1" applyFont="1" applyFill="1" applyBorder="1" applyAlignment="1">
      <alignment horizontal="center"/>
    </xf>
    <xf numFmtId="43" fontId="14" fillId="0" borderId="0" xfId="7" applyNumberFormat="1"/>
    <xf numFmtId="43" fontId="14" fillId="0" borderId="0" xfId="11" applyFont="1"/>
    <xf numFmtId="43" fontId="0" fillId="33" borderId="0" xfId="0" applyNumberFormat="1" applyFill="1"/>
    <xf numFmtId="10" fontId="12" fillId="3" borderId="0" xfId="10" applyNumberFormat="1" applyFont="1" applyFill="1"/>
    <xf numFmtId="0" fontId="44" fillId="34" borderId="33" xfId="0" applyFont="1" applyFill="1" applyBorder="1" applyAlignment="1">
      <alignment horizontal="center"/>
    </xf>
    <xf numFmtId="0" fontId="44" fillId="34" borderId="60" xfId="0" applyFont="1" applyFill="1" applyBorder="1" applyAlignment="1">
      <alignment horizontal="center"/>
    </xf>
    <xf numFmtId="0" fontId="52" fillId="0" borderId="38" xfId="0" applyFont="1" applyFill="1" applyBorder="1" applyAlignment="1">
      <alignment horizontal="left"/>
    </xf>
    <xf numFmtId="179" fontId="0" fillId="35" borderId="0" xfId="0" applyNumberFormat="1" applyFill="1" applyBorder="1" applyAlignment="1"/>
    <xf numFmtId="169" fontId="0" fillId="35" borderId="0" xfId="0" applyNumberFormat="1" applyFill="1" applyBorder="1" applyAlignment="1"/>
    <xf numFmtId="4" fontId="0" fillId="35" borderId="0" xfId="0" applyNumberFormat="1" applyFill="1" applyBorder="1" applyAlignment="1"/>
    <xf numFmtId="2" fontId="0" fillId="35" borderId="0" xfId="0" applyNumberFormat="1" applyFill="1" applyBorder="1" applyAlignment="1"/>
    <xf numFmtId="1" fontId="0" fillId="18" borderId="0" xfId="0" applyNumberFormat="1" applyFill="1" applyBorder="1" applyAlignment="1"/>
    <xf numFmtId="166" fontId="0" fillId="18" borderId="0" xfId="0" applyNumberFormat="1" applyFill="1" applyBorder="1" applyAlignment="1"/>
    <xf numFmtId="2" fontId="0" fillId="18" borderId="0" xfId="0" applyNumberFormat="1" applyFill="1" applyBorder="1" applyAlignment="1"/>
    <xf numFmtId="166" fontId="0" fillId="18" borderId="63" xfId="0" applyNumberFormat="1" applyFill="1" applyBorder="1" applyAlignment="1"/>
    <xf numFmtId="179" fontId="0" fillId="13" borderId="39" xfId="6" applyNumberFormat="1" applyFont="1" applyFill="1" applyBorder="1" applyAlignment="1">
      <alignment horizontal="right"/>
    </xf>
    <xf numFmtId="169" fontId="12" fillId="13" borderId="39" xfId="5" applyNumberFormat="1" applyFill="1" applyBorder="1" applyAlignment="1">
      <alignment horizontal="right"/>
    </xf>
    <xf numFmtId="4" fontId="12" fillId="13" borderId="39" xfId="5" applyNumberFormat="1" applyFill="1" applyBorder="1" applyAlignment="1">
      <alignment horizontal="right"/>
    </xf>
    <xf numFmtId="2" fontId="12" fillId="13" borderId="39" xfId="5" applyNumberFormat="1" applyFill="1" applyBorder="1" applyAlignment="1">
      <alignment horizontal="right"/>
    </xf>
    <xf numFmtId="1" fontId="0" fillId="0" borderId="23" xfId="0" applyNumberFormat="1" applyFill="1" applyBorder="1"/>
    <xf numFmtId="3" fontId="2" fillId="36" borderId="13" xfId="1" applyNumberFormat="1" applyFont="1" applyFill="1" applyBorder="1"/>
    <xf numFmtId="0" fontId="12" fillId="33" borderId="0" xfId="5" applyFill="1"/>
    <xf numFmtId="0" fontId="53" fillId="0" borderId="0" xfId="7" applyFont="1"/>
    <xf numFmtId="43" fontId="13" fillId="0" borderId="16" xfId="8" applyFont="1" applyFill="1" applyBorder="1" applyAlignment="1"/>
    <xf numFmtId="3" fontId="13" fillId="0" borderId="0" xfId="7" applyNumberFormat="1" applyFont="1" applyFill="1"/>
    <xf numFmtId="0" fontId="13" fillId="0" borderId="0" xfId="7" applyFont="1" applyFill="1"/>
    <xf numFmtId="0" fontId="12" fillId="3" borderId="0" xfId="5" applyFill="1" applyAlignment="1">
      <alignment horizontal="left"/>
    </xf>
    <xf numFmtId="0" fontId="4" fillId="0" borderId="23" xfId="5" applyFont="1" applyBorder="1"/>
    <xf numFmtId="10" fontId="12" fillId="0" borderId="39" xfId="5" applyNumberFormat="1" applyBorder="1"/>
    <xf numFmtId="0" fontId="1" fillId="0" borderId="0" xfId="7" applyFont="1"/>
    <xf numFmtId="168" fontId="13" fillId="3" borderId="26" xfId="8" applyNumberFormat="1" applyFont="1" applyFill="1" applyBorder="1" applyAlignment="1"/>
    <xf numFmtId="10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9" fontId="2" fillId="4" borderId="0" xfId="1" applyNumberFormat="1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0" fontId="12" fillId="29" borderId="0" xfId="1" applyNumberFormat="1" applyFont="1" applyFill="1" applyBorder="1" applyAlignment="1">
      <alignment horizontal="center"/>
    </xf>
    <xf numFmtId="9" fontId="12" fillId="29" borderId="0" xfId="1" applyNumberFormat="1" applyFont="1" applyFill="1" applyBorder="1" applyAlignment="1">
      <alignment horizontal="center"/>
    </xf>
    <xf numFmtId="0" fontId="11" fillId="13" borderId="27" xfId="4" applyFont="1" applyFill="1" applyBorder="1"/>
    <xf numFmtId="1" fontId="11" fillId="13" borderId="28" xfId="4" applyNumberFormat="1" applyFont="1" applyFill="1" applyBorder="1"/>
    <xf numFmtId="1" fontId="11" fillId="13" borderId="29" xfId="4" applyNumberFormat="1" applyFont="1" applyFill="1" applyBorder="1"/>
    <xf numFmtId="0" fontId="12" fillId="0" borderId="19" xfId="4" applyFont="1" applyBorder="1"/>
    <xf numFmtId="1" fontId="4" fillId="0" borderId="20" xfId="4" applyNumberFormat="1" applyBorder="1"/>
    <xf numFmtId="0" fontId="4" fillId="0" borderId="0" xfId="4" applyBorder="1"/>
    <xf numFmtId="0" fontId="11" fillId="0" borderId="0" xfId="4" applyFont="1" applyBorder="1"/>
    <xf numFmtId="0" fontId="5" fillId="3" borderId="0" xfId="4" applyFont="1" applyFill="1" applyBorder="1"/>
    <xf numFmtId="1" fontId="5" fillId="3" borderId="0" xfId="4" applyNumberFormat="1" applyFont="1" applyFill="1" applyBorder="1"/>
    <xf numFmtId="0" fontId="55" fillId="3" borderId="0" xfId="4" applyFont="1" applyFill="1" applyBorder="1"/>
    <xf numFmtId="1" fontId="55" fillId="3" borderId="0" xfId="4" applyNumberFormat="1" applyFont="1" applyFill="1" applyBorder="1" applyAlignment="1">
      <alignment horizontal="center"/>
    </xf>
    <xf numFmtId="0" fontId="56" fillId="3" borderId="0" xfId="4" applyFont="1" applyFill="1" applyBorder="1"/>
    <xf numFmtId="1" fontId="56" fillId="3" borderId="0" xfId="4" applyNumberFormat="1" applyFont="1" applyFill="1" applyBorder="1" applyAlignment="1">
      <alignment horizontal="center"/>
    </xf>
    <xf numFmtId="0" fontId="56" fillId="3" borderId="0" xfId="4" applyFont="1" applyFill="1" applyBorder="1" applyAlignment="1">
      <alignment horizontal="center"/>
    </xf>
    <xf numFmtId="2" fontId="56" fillId="3" borderId="0" xfId="4" applyNumberFormat="1" applyFont="1" applyFill="1" applyBorder="1" applyAlignment="1">
      <alignment horizontal="center"/>
    </xf>
    <xf numFmtId="168" fontId="56" fillId="3" borderId="0" xfId="4" applyNumberFormat="1" applyFont="1" applyFill="1" applyBorder="1" applyAlignment="1">
      <alignment horizontal="center"/>
    </xf>
    <xf numFmtId="0" fontId="57" fillId="3" borderId="0" xfId="4" applyFont="1" applyFill="1" applyBorder="1"/>
    <xf numFmtId="0" fontId="55" fillId="3" borderId="38" xfId="4" applyFont="1" applyFill="1" applyBorder="1" applyAlignment="1">
      <alignment horizontal="center"/>
    </xf>
    <xf numFmtId="0" fontId="55" fillId="3" borderId="38" xfId="4" applyFont="1" applyFill="1" applyBorder="1"/>
    <xf numFmtId="1" fontId="55" fillId="3" borderId="38" xfId="4" applyNumberFormat="1" applyFont="1" applyFill="1" applyBorder="1" applyAlignment="1">
      <alignment horizontal="center"/>
    </xf>
    <xf numFmtId="0" fontId="54" fillId="3" borderId="0" xfId="4" applyFont="1" applyFill="1" applyBorder="1"/>
    <xf numFmtId="1" fontId="58" fillId="3" borderId="0" xfId="4" applyNumberFormat="1" applyFont="1" applyFill="1" applyBorder="1"/>
    <xf numFmtId="0" fontId="5" fillId="3" borderId="0" xfId="1" applyFont="1" applyFill="1" applyBorder="1" applyAlignment="1">
      <alignment horizontal="center"/>
    </xf>
    <xf numFmtId="0" fontId="1" fillId="3" borderId="0" xfId="1" applyFill="1" applyBorder="1"/>
    <xf numFmtId="0" fontId="4" fillId="3" borderId="0" xfId="1" applyFont="1" applyFill="1" applyBorder="1"/>
    <xf numFmtId="0" fontId="40" fillId="3" borderId="0" xfId="1" applyFont="1" applyFill="1" applyBorder="1"/>
    <xf numFmtId="10" fontId="1" fillId="3" borderId="0" xfId="1" applyNumberFormat="1" applyFill="1" applyBorder="1"/>
    <xf numFmtId="10" fontId="12" fillId="3" borderId="0" xfId="1" applyNumberFormat="1" applyFont="1" applyFill="1" applyBorder="1" applyAlignment="1">
      <alignment horizontal="center"/>
    </xf>
    <xf numFmtId="0" fontId="11" fillId="3" borderId="38" xfId="1" applyFont="1" applyFill="1" applyBorder="1" applyAlignment="1">
      <alignment horizontal="center"/>
    </xf>
    <xf numFmtId="0" fontId="11" fillId="4" borderId="38" xfId="1" applyFont="1" applyFill="1" applyBorder="1"/>
    <xf numFmtId="167" fontId="11" fillId="4" borderId="38" xfId="1" applyNumberFormat="1" applyFont="1" applyFill="1" applyBorder="1" applyAlignment="1">
      <alignment horizontal="center"/>
    </xf>
    <xf numFmtId="0" fontId="7" fillId="4" borderId="38" xfId="1" applyFont="1" applyFill="1" applyBorder="1"/>
    <xf numFmtId="10" fontId="11" fillId="3" borderId="38" xfId="1" applyNumberFormat="1" applyFont="1" applyFill="1" applyBorder="1" applyAlignment="1">
      <alignment horizontal="center"/>
    </xf>
    <xf numFmtId="167" fontId="11" fillId="4" borderId="38" xfId="1" applyNumberFormat="1" applyFont="1" applyFill="1" applyBorder="1" applyAlignment="1">
      <alignment horizontal="left"/>
    </xf>
    <xf numFmtId="0" fontId="12" fillId="10" borderId="23" xfId="0" applyFont="1" applyFill="1" applyBorder="1"/>
    <xf numFmtId="0" fontId="12" fillId="10" borderId="23" xfId="5" applyFont="1" applyFill="1" applyBorder="1"/>
    <xf numFmtId="0" fontId="12" fillId="13" borderId="23" xfId="5" applyFont="1" applyFill="1" applyBorder="1" applyAlignment="1">
      <alignment horizontal="center"/>
    </xf>
    <xf numFmtId="1" fontId="12" fillId="3" borderId="23" xfId="5" applyNumberFormat="1" applyFill="1" applyBorder="1"/>
    <xf numFmtId="2" fontId="12" fillId="3" borderId="23" xfId="5" applyNumberFormat="1" applyFill="1" applyBorder="1"/>
    <xf numFmtId="0" fontId="12" fillId="3" borderId="23" xfId="5" applyFill="1" applyBorder="1"/>
    <xf numFmtId="166" fontId="12" fillId="3" borderId="23" xfId="5" applyNumberFormat="1" applyFill="1" applyBorder="1" applyAlignment="1">
      <alignment horizontal="center"/>
    </xf>
    <xf numFmtId="168" fontId="12" fillId="29" borderId="0" xfId="11" applyNumberFormat="1" applyFont="1" applyFill="1" applyBorder="1" applyAlignment="1">
      <alignment vertical="center"/>
    </xf>
    <xf numFmtId="0" fontId="50" fillId="34" borderId="33" xfId="0" applyFont="1" applyFill="1" applyBorder="1" applyAlignment="1">
      <alignment horizontal="center" vertical="center" wrapText="1"/>
    </xf>
    <xf numFmtId="0" fontId="50" fillId="34" borderId="60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/>
    </xf>
    <xf numFmtId="0" fontId="51" fillId="0" borderId="63" xfId="0" applyFont="1" applyFill="1" applyBorder="1" applyAlignment="1">
      <alignment horizontal="center"/>
    </xf>
    <xf numFmtId="0" fontId="51" fillId="0" borderId="73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/>
    </xf>
    <xf numFmtId="0" fontId="51" fillId="0" borderId="60" xfId="0" applyFont="1" applyFill="1" applyBorder="1" applyAlignment="1">
      <alignment horizontal="left"/>
    </xf>
    <xf numFmtId="0" fontId="51" fillId="0" borderId="73" xfId="0" applyFont="1" applyFill="1" applyBorder="1" applyAlignment="1">
      <alignment horizontal="center"/>
    </xf>
    <xf numFmtId="0" fontId="5" fillId="15" borderId="71" xfId="7" applyFont="1" applyFill="1" applyBorder="1" applyAlignment="1">
      <alignment horizontal="center" vertical="center" wrapText="1"/>
    </xf>
    <xf numFmtId="0" fontId="5" fillId="15" borderId="72" xfId="7" applyFont="1" applyFill="1" applyBorder="1" applyAlignment="1">
      <alignment horizontal="center" vertical="center" wrapText="1"/>
    </xf>
    <xf numFmtId="0" fontId="47" fillId="30" borderId="0" xfId="7" applyFont="1" applyFill="1" applyBorder="1" applyAlignment="1">
      <alignment horizontal="left"/>
    </xf>
    <xf numFmtId="0" fontId="47" fillId="31" borderId="0" xfId="7" applyFont="1" applyFill="1" applyBorder="1"/>
    <xf numFmtId="0" fontId="11" fillId="18" borderId="0" xfId="5" applyFont="1" applyFill="1" applyBorder="1" applyAlignment="1">
      <alignment horizontal="center"/>
    </xf>
    <xf numFmtId="0" fontId="5" fillId="6" borderId="0" xfId="5" applyFont="1" applyFill="1" applyBorder="1" applyAlignment="1">
      <alignment horizontal="center"/>
    </xf>
    <xf numFmtId="0" fontId="5" fillId="6" borderId="0" xfId="5" applyFont="1" applyFill="1" applyBorder="1" applyAlignment="1">
      <alignment horizontal="center" vertical="center"/>
    </xf>
    <xf numFmtId="0" fontId="29" fillId="6" borderId="32" xfId="0" applyFont="1" applyFill="1" applyBorder="1" applyAlignment="1">
      <alignment horizontal="center" vertical="center"/>
    </xf>
    <xf numFmtId="0" fontId="29" fillId="6" borderId="35" xfId="0" applyFont="1" applyFill="1" applyBorder="1" applyAlignment="1">
      <alignment horizontal="center" vertical="center"/>
    </xf>
    <xf numFmtId="168" fontId="45" fillId="6" borderId="34" xfId="0" applyNumberFormat="1" applyFont="1" applyFill="1" applyBorder="1" applyAlignment="1">
      <alignment horizontal="center" wrapText="1"/>
    </xf>
    <xf numFmtId="168" fontId="45" fillId="6" borderId="36" xfId="0" applyNumberFormat="1" applyFont="1" applyFill="1" applyBorder="1" applyAlignment="1">
      <alignment horizontal="center" wrapText="1"/>
    </xf>
    <xf numFmtId="0" fontId="29" fillId="6" borderId="23" xfId="0" applyFont="1" applyFill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9" fillId="6" borderId="0" xfId="0" applyFont="1" applyFill="1" applyAlignment="1">
      <alignment horizontal="center"/>
    </xf>
    <xf numFmtId="0" fontId="24" fillId="6" borderId="23" xfId="0" applyFont="1" applyFill="1" applyBorder="1" applyAlignment="1">
      <alignment horizontal="center"/>
    </xf>
    <xf numFmtId="0" fontId="24" fillId="6" borderId="23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/>
    </xf>
    <xf numFmtId="0" fontId="24" fillId="6" borderId="39" xfId="0" applyFont="1" applyFill="1" applyBorder="1" applyAlignment="1">
      <alignment horizontal="center"/>
    </xf>
    <xf numFmtId="0" fontId="24" fillId="6" borderId="26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24" fillId="6" borderId="38" xfId="0" applyFont="1" applyFill="1" applyBorder="1" applyAlignment="1">
      <alignment horizontal="center"/>
    </xf>
    <xf numFmtId="0" fontId="15" fillId="4" borderId="0" xfId="7" applyFont="1" applyFill="1" applyAlignment="1">
      <alignment horizontal="center"/>
    </xf>
    <xf numFmtId="0" fontId="12" fillId="0" borderId="0" xfId="7" applyFont="1"/>
    <xf numFmtId="0" fontId="8" fillId="4" borderId="0" xfId="7" applyFont="1" applyFill="1" applyAlignment="1">
      <alignment horizontal="center"/>
    </xf>
    <xf numFmtId="4" fontId="21" fillId="2" borderId="0" xfId="7" applyNumberFormat="1" applyFont="1" applyFill="1" applyAlignment="1">
      <alignment horizontal="center"/>
    </xf>
    <xf numFmtId="0" fontId="15" fillId="2" borderId="0" xfId="7" applyFont="1" applyFill="1" applyAlignment="1">
      <alignment horizontal="center"/>
    </xf>
    <xf numFmtId="0" fontId="5" fillId="7" borderId="1" xfId="7" applyFont="1" applyFill="1" applyBorder="1" applyAlignment="1">
      <alignment horizontal="center" vertical="center"/>
    </xf>
    <xf numFmtId="0" fontId="6" fillId="6" borderId="6" xfId="7" applyFont="1" applyFill="1" applyBorder="1"/>
    <xf numFmtId="4" fontId="5" fillId="7" borderId="3" xfId="7" applyNumberFormat="1" applyFont="1" applyFill="1" applyBorder="1" applyAlignment="1">
      <alignment horizontal="center"/>
    </xf>
    <xf numFmtId="0" fontId="6" fillId="6" borderId="44" xfId="7" applyFont="1" applyFill="1" applyBorder="1"/>
    <xf numFmtId="0" fontId="6" fillId="6" borderId="45" xfId="7" applyFont="1" applyFill="1" applyBorder="1"/>
    <xf numFmtId="0" fontId="26" fillId="18" borderId="0" xfId="0" applyFont="1" applyFill="1" applyAlignment="1">
      <alignment horizontal="center" wrapText="1"/>
    </xf>
    <xf numFmtId="0" fontId="29" fillId="6" borderId="26" xfId="0" applyFont="1" applyFill="1" applyBorder="1" applyAlignment="1">
      <alignment horizontal="center"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29" fillId="6" borderId="20" xfId="0" applyFont="1" applyFill="1" applyBorder="1" applyAlignment="1">
      <alignment horizontal="center" vertical="center" wrapText="1"/>
    </xf>
    <xf numFmtId="0" fontId="26" fillId="18" borderId="0" xfId="0" applyFont="1" applyFill="1" applyAlignment="1">
      <alignment horizontal="center" vertical="center" wrapText="1"/>
    </xf>
    <xf numFmtId="0" fontId="5" fillId="7" borderId="23" xfId="7" applyFont="1" applyFill="1" applyBorder="1" applyAlignment="1">
      <alignment horizontal="center" vertical="center"/>
    </xf>
    <xf numFmtId="0" fontId="6" fillId="6" borderId="23" xfId="7" applyFont="1" applyFill="1" applyBorder="1"/>
    <xf numFmtId="0" fontId="5" fillId="7" borderId="23" xfId="7" applyFont="1" applyFill="1" applyBorder="1" applyAlignment="1">
      <alignment horizontal="center" vertical="center" wrapText="1"/>
    </xf>
    <xf numFmtId="0" fontId="6" fillId="6" borderId="23" xfId="7" applyFont="1" applyFill="1" applyBorder="1" applyAlignment="1">
      <alignment horizontal="center" wrapText="1"/>
    </xf>
    <xf numFmtId="0" fontId="5" fillId="7" borderId="23" xfId="7" applyFont="1" applyFill="1" applyBorder="1" applyAlignment="1">
      <alignment horizontal="center"/>
    </xf>
    <xf numFmtId="0" fontId="46" fillId="18" borderId="0" xfId="0" applyFont="1" applyFill="1" applyAlignment="1">
      <alignment horizontal="center" wrapText="1"/>
    </xf>
    <xf numFmtId="0" fontId="46" fillId="22" borderId="0" xfId="0" applyFont="1" applyFill="1" applyAlignment="1">
      <alignment horizontal="center" wrapText="1"/>
    </xf>
    <xf numFmtId="0" fontId="26" fillId="22" borderId="0" xfId="0" applyFont="1" applyFill="1" applyAlignment="1">
      <alignment horizontal="center" wrapText="1"/>
    </xf>
    <xf numFmtId="0" fontId="26" fillId="18" borderId="23" xfId="0" applyFont="1" applyFill="1" applyBorder="1" applyAlignment="1">
      <alignment horizontal="center" wrapText="1"/>
    </xf>
    <xf numFmtId="0" fontId="5" fillId="7" borderId="20" xfId="7" applyFont="1" applyFill="1" applyBorder="1" applyAlignment="1">
      <alignment horizontal="center" vertical="center"/>
    </xf>
    <xf numFmtId="0" fontId="5" fillId="7" borderId="20" xfId="7" applyFont="1" applyFill="1" applyBorder="1" applyAlignment="1">
      <alignment horizontal="center" vertical="center" wrapText="1"/>
    </xf>
    <xf numFmtId="0" fontId="5" fillId="7" borderId="20" xfId="7" applyFont="1" applyFill="1" applyBorder="1" applyAlignment="1">
      <alignment horizontal="center"/>
    </xf>
    <xf numFmtId="0" fontId="6" fillId="6" borderId="20" xfId="7" applyFont="1" applyFill="1" applyBorder="1"/>
    <xf numFmtId="3" fontId="8" fillId="2" borderId="0" xfId="7" applyNumberFormat="1" applyFont="1" applyFill="1" applyAlignment="1">
      <alignment horizontal="left"/>
    </xf>
    <xf numFmtId="0" fontId="2" fillId="36" borderId="68" xfId="1" applyFont="1" applyFill="1" applyBorder="1" applyAlignment="1">
      <alignment horizontal="center"/>
    </xf>
    <xf numFmtId="0" fontId="2" fillId="36" borderId="0" xfId="1" applyFont="1" applyFill="1" applyAlignment="1">
      <alignment horizontal="center"/>
    </xf>
    <xf numFmtId="3" fontId="7" fillId="2" borderId="0" xfId="1" applyNumberFormat="1" applyFont="1" applyFill="1" applyAlignment="1">
      <alignment horizontal="left"/>
    </xf>
    <xf numFmtId="0" fontId="4" fillId="0" borderId="0" xfId="1" applyFont="1"/>
    <xf numFmtId="0" fontId="3" fillId="2" borderId="0" xfId="1" applyFont="1" applyFill="1" applyAlignment="1">
      <alignment horizontal="center"/>
    </xf>
    <xf numFmtId="0" fontId="5" fillId="7" borderId="1" xfId="1" applyFont="1" applyFill="1" applyBorder="1" applyAlignment="1">
      <alignment horizontal="center" vertical="center"/>
    </xf>
    <xf numFmtId="0" fontId="6" fillId="6" borderId="6" xfId="1" applyFont="1" applyFill="1" applyBorder="1"/>
    <xf numFmtId="0" fontId="5" fillId="7" borderId="2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wrapText="1"/>
    </xf>
    <xf numFmtId="0" fontId="5" fillId="7" borderId="3" xfId="1" applyFont="1" applyFill="1" applyBorder="1" applyAlignment="1">
      <alignment horizontal="center"/>
    </xf>
    <xf numFmtId="0" fontId="6" fillId="6" borderId="4" xfId="1" applyFont="1" applyFill="1" applyBorder="1"/>
    <xf numFmtId="0" fontId="5" fillId="7" borderId="5" xfId="1" applyFont="1" applyFill="1" applyBorder="1" applyAlignment="1">
      <alignment horizontal="center"/>
    </xf>
    <xf numFmtId="0" fontId="6" fillId="6" borderId="9" xfId="1" applyFont="1" applyFill="1" applyBorder="1"/>
    <xf numFmtId="166" fontId="5" fillId="3" borderId="0" xfId="5" applyNumberFormat="1" applyFont="1" applyFill="1" applyBorder="1" applyAlignment="1">
      <alignment horizontal="center" vertical="center"/>
    </xf>
    <xf numFmtId="0" fontId="5" fillId="6" borderId="27" xfId="5" quotePrefix="1" applyFont="1" applyFill="1" applyBorder="1" applyAlignment="1">
      <alignment horizontal="center"/>
    </xf>
    <xf numFmtId="0" fontId="5" fillId="6" borderId="29" xfId="5" quotePrefix="1" applyFont="1" applyFill="1" applyBorder="1" applyAlignment="1">
      <alignment horizontal="center"/>
    </xf>
    <xf numFmtId="0" fontId="5" fillId="3" borderId="0" xfId="5" applyFont="1" applyFill="1" applyBorder="1" applyAlignment="1">
      <alignment horizontal="center" vertical="center" wrapText="1"/>
    </xf>
    <xf numFmtId="0" fontId="8" fillId="0" borderId="0" xfId="7" applyFont="1" applyAlignment="1">
      <alignment horizontal="center"/>
    </xf>
    <xf numFmtId="0" fontId="14" fillId="0" borderId="0" xfId="7"/>
    <xf numFmtId="0" fontId="22" fillId="9" borderId="48" xfId="7" applyFont="1" applyFill="1" applyBorder="1" applyAlignment="1">
      <alignment horizontal="center"/>
    </xf>
    <xf numFmtId="0" fontId="6" fillId="6" borderId="49" xfId="7" applyFont="1" applyFill="1" applyBorder="1"/>
    <xf numFmtId="0" fontId="48" fillId="12" borderId="0" xfId="7" applyFont="1" applyFill="1" applyBorder="1" applyAlignment="1">
      <alignment horizontal="center"/>
    </xf>
    <xf numFmtId="0" fontId="49" fillId="6" borderId="0" xfId="7" applyFont="1" applyFill="1" applyBorder="1"/>
    <xf numFmtId="0" fontId="5" fillId="28" borderId="0" xfId="7" applyFont="1" applyFill="1" applyBorder="1" applyAlignment="1">
      <alignment horizontal="center"/>
    </xf>
    <xf numFmtId="0" fontId="6" fillId="6" borderId="0" xfId="7" applyFont="1" applyFill="1" applyBorder="1"/>
    <xf numFmtId="0" fontId="11" fillId="3" borderId="0" xfId="5" applyFont="1" applyFill="1" applyAlignment="1">
      <alignment horizontal="center"/>
    </xf>
    <xf numFmtId="0" fontId="10" fillId="33" borderId="27" xfId="0" applyFont="1" applyFill="1" applyBorder="1" applyAlignment="1">
      <alignment horizontal="center"/>
    </xf>
    <xf numFmtId="0" fontId="10" fillId="33" borderId="28" xfId="0" applyFont="1" applyFill="1" applyBorder="1" applyAlignment="1">
      <alignment horizontal="center"/>
    </xf>
    <xf numFmtId="0" fontId="10" fillId="33" borderId="29" xfId="0" applyFont="1" applyFill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applyBorder="1" applyAlignment="1">
      <alignment horizontal="center"/>
    </xf>
    <xf numFmtId="0" fontId="24" fillId="6" borderId="27" xfId="0" applyFont="1" applyFill="1" applyBorder="1" applyAlignment="1">
      <alignment horizontal="center"/>
    </xf>
    <xf numFmtId="0" fontId="24" fillId="6" borderId="28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28" fillId="6" borderId="35" xfId="0" applyFont="1" applyFill="1" applyBorder="1" applyAlignment="1">
      <alignment horizontal="left" vertical="center"/>
    </xf>
    <xf numFmtId="0" fontId="28" fillId="6" borderId="0" xfId="0" applyFont="1" applyFill="1" applyBorder="1" applyAlignment="1">
      <alignment horizontal="left" vertical="center"/>
    </xf>
    <xf numFmtId="0" fontId="28" fillId="6" borderId="36" xfId="0" applyFont="1" applyFill="1" applyBorder="1" applyAlignment="1">
      <alignment horizontal="left" vertical="center"/>
    </xf>
    <xf numFmtId="0" fontId="29" fillId="6" borderId="35" xfId="0" applyFont="1" applyFill="1" applyBorder="1" applyAlignment="1">
      <alignment horizontal="left"/>
    </xf>
    <xf numFmtId="0" fontId="29" fillId="6" borderId="0" xfId="0" applyFont="1" applyFill="1" applyBorder="1" applyAlignment="1">
      <alignment horizontal="left"/>
    </xf>
    <xf numFmtId="0" fontId="29" fillId="6" borderId="36" xfId="0" applyFont="1" applyFill="1" applyBorder="1" applyAlignment="1">
      <alignment horizontal="left"/>
    </xf>
    <xf numFmtId="0" fontId="28" fillId="6" borderId="35" xfId="0" applyFont="1" applyFill="1" applyBorder="1" applyAlignment="1"/>
    <xf numFmtId="0" fontId="28" fillId="6" borderId="0" xfId="0" applyFont="1" applyFill="1" applyBorder="1" applyAlignment="1"/>
    <xf numFmtId="0" fontId="28" fillId="6" borderId="36" xfId="0" applyFont="1" applyFill="1" applyBorder="1" applyAlignment="1"/>
    <xf numFmtId="0" fontId="32" fillId="0" borderId="0" xfId="0" applyFont="1" applyBorder="1" applyAlignment="1">
      <alignment horizontal="left" wrapText="1"/>
    </xf>
    <xf numFmtId="0" fontId="32" fillId="0" borderId="36" xfId="0" applyFont="1" applyBorder="1" applyAlignment="1">
      <alignment horizontal="left" wrapText="1"/>
    </xf>
    <xf numFmtId="0" fontId="11" fillId="3" borderId="0" xfId="4" applyFont="1" applyFill="1" applyAlignment="1">
      <alignment horizontal="center"/>
    </xf>
    <xf numFmtId="0" fontId="5" fillId="6" borderId="32" xfId="1" applyFont="1" applyFill="1" applyBorder="1" applyAlignment="1">
      <alignment horizontal="center"/>
    </xf>
    <xf numFmtId="0" fontId="5" fillId="6" borderId="33" xfId="1" applyFont="1" applyFill="1" applyBorder="1" applyAlignment="1">
      <alignment horizontal="center"/>
    </xf>
    <xf numFmtId="0" fontId="5" fillId="6" borderId="34" xfId="1" applyFont="1" applyFill="1" applyBorder="1" applyAlignment="1">
      <alignment horizontal="center"/>
    </xf>
    <xf numFmtId="0" fontId="23" fillId="33" borderId="27" xfId="1" applyFont="1" applyFill="1" applyBorder="1" applyAlignment="1">
      <alignment horizontal="center"/>
    </xf>
    <xf numFmtId="0" fontId="23" fillId="33" borderId="28" xfId="1" applyFont="1" applyFill="1" applyBorder="1" applyAlignment="1">
      <alignment horizontal="center"/>
    </xf>
    <xf numFmtId="0" fontId="23" fillId="33" borderId="29" xfId="1" applyFont="1" applyFill="1" applyBorder="1" applyAlignment="1">
      <alignment horizontal="center"/>
    </xf>
    <xf numFmtId="1" fontId="56" fillId="0" borderId="0" xfId="4" applyNumberFormat="1" applyFont="1" applyFill="1" applyBorder="1" applyAlignment="1">
      <alignment horizontal="center"/>
    </xf>
  </cellXfs>
  <cellStyles count="14">
    <cellStyle name="Millares" xfId="11" builtinId="3"/>
    <cellStyle name="Millares 2" xfId="2" xr:uid="{00000000-0005-0000-0000-000001000000}"/>
    <cellStyle name="Millares 3" xfId="6" xr:uid="{00000000-0005-0000-0000-000002000000}"/>
    <cellStyle name="Millares 4" xfId="8" xr:uid="{00000000-0005-0000-0000-000003000000}"/>
    <cellStyle name="Moneda 2" xfId="12" xr:uid="{00000000-0005-0000-0000-000004000000}"/>
    <cellStyle name="Normal" xfId="0" builtinId="0"/>
    <cellStyle name="Normal 2" xfId="1" xr:uid="{00000000-0005-0000-0000-000006000000}"/>
    <cellStyle name="Normal 3" xfId="4" xr:uid="{00000000-0005-0000-0000-000007000000}"/>
    <cellStyle name="Normal 4" xfId="5" xr:uid="{00000000-0005-0000-0000-000008000000}"/>
    <cellStyle name="Normal 5" xfId="7" xr:uid="{00000000-0005-0000-0000-000009000000}"/>
    <cellStyle name="Porcentaje" xfId="3" builtinId="5"/>
    <cellStyle name="Porcentaje 2" xfId="9" xr:uid="{00000000-0005-0000-0000-00000B000000}"/>
    <cellStyle name="Porcentaje 3" xfId="10" xr:uid="{00000000-0005-0000-0000-00000C000000}"/>
    <cellStyle name="Porcentaje 4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hel\Downloads\PLANTILLA_FINALIZADA_VER.%20BETA%201.2%20xD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CIÓN"/>
      <sheetName val="INDICE"/>
      <sheetName val="Planteamiento"/>
      <sheetName val="Resumen"/>
      <sheetName val="Ventas_Unidades"/>
      <sheetName val="Inversion_Inicial"/>
      <sheetName val="Depreciacion"/>
      <sheetName val="Costos_operativos"/>
      <sheetName val="Costos_Unitarios"/>
      <sheetName val="Capital Trabajo"/>
      <sheetName val="Proyeccion_de_ventas"/>
      <sheetName val="Punto de equilibrio"/>
      <sheetName val="Ganancias y Perdidas"/>
      <sheetName val="Flujo_Deuda"/>
      <sheetName val="Flujos de Caja"/>
      <sheetName val="Rentabilidad"/>
      <sheetName val="Sensibilidad"/>
      <sheetName val="ESCENARIOS"/>
    </sheetNames>
    <sheetDataSet>
      <sheetData sheetId="0" refreshError="1"/>
      <sheetData sheetId="1" refreshError="1"/>
      <sheetData sheetId="2" refreshError="1"/>
      <sheetData sheetId="3">
        <row r="12">
          <cell r="H12" t="str">
            <v>Precio  de venta</v>
          </cell>
        </row>
        <row r="13">
          <cell r="H13" t="str">
            <v>Costo de mano obra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/>
  </sheetPr>
  <dimension ref="B1:F17"/>
  <sheetViews>
    <sheetView showGridLines="0" workbookViewId="0">
      <selection activeCell="G11" sqref="G11"/>
    </sheetView>
  </sheetViews>
  <sheetFormatPr baseColWidth="10" defaultRowHeight="15" outlineLevelRow="1" outlineLevelCol="1" x14ac:dyDescent="0.25"/>
  <cols>
    <col min="3" max="3" width="11.7109375" customWidth="1"/>
    <col min="4" max="6" width="14.140625" bestFit="1" customWidth="1" outlineLevel="1"/>
  </cols>
  <sheetData>
    <row r="1" spans="2:6" ht="15.75" thickBot="1" x14ac:dyDescent="0.3"/>
    <row r="2" spans="2:6" ht="15.75" customHeight="1" x14ac:dyDescent="0.25">
      <c r="B2" s="567" t="s">
        <v>453</v>
      </c>
      <c r="C2" s="567"/>
      <c r="D2" s="491"/>
      <c r="E2" s="491"/>
      <c r="F2" s="491"/>
    </row>
    <row r="3" spans="2:6" ht="15.75" customHeight="1" collapsed="1" x14ac:dyDescent="0.25">
      <c r="B3" s="568"/>
      <c r="C3" s="568"/>
      <c r="D3" s="492" t="s">
        <v>455</v>
      </c>
      <c r="E3" s="492" t="s">
        <v>450</v>
      </c>
      <c r="F3" s="492" t="s">
        <v>452</v>
      </c>
    </row>
    <row r="4" spans="2:6" ht="67.5" hidden="1" outlineLevel="1" x14ac:dyDescent="0.25">
      <c r="B4" s="480"/>
      <c r="C4" s="480"/>
      <c r="D4" s="354"/>
      <c r="E4" s="362" t="s">
        <v>451</v>
      </c>
      <c r="F4" s="362" t="s">
        <v>460</v>
      </c>
    </row>
    <row r="5" spans="2:6" x14ac:dyDescent="0.25">
      <c r="B5" s="493" t="s">
        <v>454</v>
      </c>
      <c r="C5" s="493"/>
      <c r="D5" s="361"/>
      <c r="E5" s="361"/>
      <c r="F5" s="361"/>
    </row>
    <row r="6" spans="2:6" outlineLevel="1" x14ac:dyDescent="0.25">
      <c r="B6" s="571" t="s">
        <v>481</v>
      </c>
      <c r="C6" s="571"/>
      <c r="D6" s="479">
        <v>10</v>
      </c>
      <c r="E6" s="494">
        <v>11.5</v>
      </c>
      <c r="F6" s="494">
        <v>9</v>
      </c>
    </row>
    <row r="7" spans="2:6" outlineLevel="1" x14ac:dyDescent="0.25">
      <c r="B7" s="572" t="s">
        <v>484</v>
      </c>
      <c r="C7" s="572"/>
      <c r="D7" s="355">
        <v>0.7</v>
      </c>
      <c r="E7" s="495">
        <v>0.6</v>
      </c>
      <c r="F7" s="495">
        <v>1</v>
      </c>
    </row>
    <row r="8" spans="2:6" outlineLevel="1" x14ac:dyDescent="0.25">
      <c r="B8" s="572" t="s">
        <v>483</v>
      </c>
      <c r="C8" s="572"/>
      <c r="D8" s="356">
        <v>3</v>
      </c>
      <c r="E8" s="496">
        <v>2.7</v>
      </c>
      <c r="F8" s="496">
        <v>3.5</v>
      </c>
    </row>
    <row r="9" spans="2:6" outlineLevel="1" x14ac:dyDescent="0.25">
      <c r="B9" s="573" t="s">
        <v>482</v>
      </c>
      <c r="C9" s="573"/>
      <c r="D9" s="357">
        <v>20</v>
      </c>
      <c r="E9" s="497">
        <v>19</v>
      </c>
      <c r="F9" s="497">
        <v>21</v>
      </c>
    </row>
    <row r="10" spans="2:6" x14ac:dyDescent="0.25">
      <c r="B10" s="493" t="s">
        <v>456</v>
      </c>
      <c r="C10" s="493"/>
      <c r="D10" s="361"/>
      <c r="E10" s="361"/>
      <c r="F10" s="361"/>
    </row>
    <row r="11" spans="2:6" outlineLevel="1" x14ac:dyDescent="0.25">
      <c r="B11" s="574" t="s">
        <v>251</v>
      </c>
      <c r="C11" s="574"/>
      <c r="D11" s="358">
        <v>811329.798397679</v>
      </c>
      <c r="E11" s="498">
        <v>1226154.071675</v>
      </c>
      <c r="F11" s="498">
        <v>463209.64511126</v>
      </c>
    </row>
    <row r="12" spans="2:6" outlineLevel="1" x14ac:dyDescent="0.25">
      <c r="B12" s="569" t="s">
        <v>254</v>
      </c>
      <c r="C12" s="569"/>
      <c r="D12" s="359">
        <v>3.7195013737826801</v>
      </c>
      <c r="E12" s="499">
        <v>5.6973924592371903</v>
      </c>
      <c r="F12" s="499">
        <v>2.1023540374548002</v>
      </c>
    </row>
    <row r="13" spans="2:6" outlineLevel="1" x14ac:dyDescent="0.25">
      <c r="B13" s="569" t="s">
        <v>252</v>
      </c>
      <c r="C13" s="569"/>
      <c r="D13" s="357">
        <v>1018.83897011284</v>
      </c>
      <c r="E13" s="500">
        <v>1018.83897011284</v>
      </c>
      <c r="F13" s="500">
        <v>1018.83897011284</v>
      </c>
    </row>
    <row r="14" spans="2:6" ht="15.75" outlineLevel="1" thickBot="1" x14ac:dyDescent="0.3">
      <c r="B14" s="570" t="s">
        <v>255</v>
      </c>
      <c r="C14" s="570"/>
      <c r="D14" s="360">
        <v>3.7295985472668698</v>
      </c>
      <c r="E14" s="501">
        <v>5.7085844878928</v>
      </c>
      <c r="F14" s="501">
        <v>2.11084234783397</v>
      </c>
    </row>
    <row r="15" spans="2:6" x14ac:dyDescent="0.25">
      <c r="B15" t="s">
        <v>457</v>
      </c>
    </row>
    <row r="16" spans="2:6" x14ac:dyDescent="0.25">
      <c r="B16" t="s">
        <v>458</v>
      </c>
    </row>
    <row r="17" spans="2:2" x14ac:dyDescent="0.25">
      <c r="B17" t="s">
        <v>459</v>
      </c>
    </row>
  </sheetData>
  <mergeCells count="9">
    <mergeCell ref="B2:C3"/>
    <mergeCell ref="B13:C13"/>
    <mergeCell ref="B14:C14"/>
    <mergeCell ref="B6:C6"/>
    <mergeCell ref="B7:C7"/>
    <mergeCell ref="B8:C8"/>
    <mergeCell ref="B9:C9"/>
    <mergeCell ref="B11:C11"/>
    <mergeCell ref="B12:C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B1:AV272"/>
  <sheetViews>
    <sheetView topLeftCell="A130" zoomScale="80" zoomScaleNormal="80" workbookViewId="0">
      <selection activeCell="C271" sqref="C271"/>
    </sheetView>
  </sheetViews>
  <sheetFormatPr baseColWidth="10" defaultRowHeight="15" x14ac:dyDescent="0.25"/>
  <cols>
    <col min="2" max="2" width="20.28515625" customWidth="1"/>
    <col min="3" max="3" width="17.28515625" customWidth="1"/>
    <col min="4" max="4" width="13.28515625" customWidth="1"/>
    <col min="5" max="5" width="13.5703125" customWidth="1"/>
    <col min="6" max="6" width="14.85546875" customWidth="1"/>
    <col min="7" max="7" width="16.7109375" customWidth="1"/>
    <col min="12" max="12" width="21.7109375" customWidth="1"/>
    <col min="13" max="13" width="14.42578125" customWidth="1"/>
    <col min="17" max="17" width="15.5703125" customWidth="1"/>
    <col min="32" max="32" width="17.5703125" customWidth="1"/>
    <col min="42" max="42" width="16.28515625" customWidth="1"/>
    <col min="52" max="52" width="20.5703125" customWidth="1"/>
    <col min="63" max="63" width="34.7109375" customWidth="1"/>
    <col min="64" max="64" width="15.28515625" customWidth="1"/>
    <col min="65" max="65" width="14.7109375" customWidth="1"/>
    <col min="66" max="66" width="14.85546875" customWidth="1"/>
    <col min="67" max="67" width="15.7109375" customWidth="1"/>
    <col min="68" max="68" width="15.5703125" customWidth="1"/>
  </cols>
  <sheetData>
    <row r="1" spans="2:48" x14ac:dyDescent="0.25">
      <c r="B1" s="593" t="s">
        <v>403</v>
      </c>
      <c r="C1" s="328" t="s">
        <v>423</v>
      </c>
      <c r="D1" s="328" t="s">
        <v>424</v>
      </c>
      <c r="E1" s="328" t="s">
        <v>425</v>
      </c>
      <c r="F1" s="328" t="s">
        <v>426</v>
      </c>
      <c r="G1" s="328" t="s">
        <v>427</v>
      </c>
      <c r="H1" s="328" t="s">
        <v>428</v>
      </c>
      <c r="I1" s="328" t="s">
        <v>429</v>
      </c>
      <c r="J1" s="328" t="s">
        <v>430</v>
      </c>
      <c r="K1" s="328" t="s">
        <v>431</v>
      </c>
      <c r="L1" s="328" t="s">
        <v>432</v>
      </c>
      <c r="M1" s="328" t="s">
        <v>433</v>
      </c>
      <c r="N1" s="328" t="s">
        <v>434</v>
      </c>
    </row>
    <row r="2" spans="2:48" x14ac:dyDescent="0.25">
      <c r="B2" s="594"/>
      <c r="C2" s="47">
        <v>2</v>
      </c>
      <c r="D2" s="332">
        <v>2.3333333333333335</v>
      </c>
      <c r="E2" s="332">
        <v>2.6666666666666665</v>
      </c>
      <c r="F2" s="47">
        <v>3</v>
      </c>
      <c r="G2" s="332">
        <v>3.3333333333333335</v>
      </c>
      <c r="H2" s="332">
        <v>3.6666666666666665</v>
      </c>
      <c r="I2" s="47">
        <v>4</v>
      </c>
      <c r="J2" s="332">
        <v>4.333333333333333</v>
      </c>
      <c r="K2" s="332">
        <v>4.666666666666667</v>
      </c>
      <c r="L2" s="332">
        <v>5</v>
      </c>
      <c r="M2" s="332">
        <v>5.333333333333333</v>
      </c>
      <c r="N2" s="332">
        <v>5.666666666666667</v>
      </c>
    </row>
    <row r="3" spans="2:48" x14ac:dyDescent="0.25"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</row>
    <row r="4" spans="2:48" ht="36.75" customHeight="1" x14ac:dyDescent="0.25">
      <c r="B4" s="173" t="s">
        <v>470</v>
      </c>
      <c r="C4" s="328" t="s">
        <v>423</v>
      </c>
      <c r="D4" s="328" t="s">
        <v>5</v>
      </c>
      <c r="E4" s="328" t="s">
        <v>6</v>
      </c>
      <c r="F4" s="328" t="s">
        <v>7</v>
      </c>
      <c r="G4" s="328" t="s">
        <v>8</v>
      </c>
      <c r="H4" s="328" t="s">
        <v>9</v>
      </c>
      <c r="I4" s="328" t="s">
        <v>10</v>
      </c>
      <c r="J4" s="328" t="s">
        <v>11</v>
      </c>
      <c r="K4" s="328" t="s">
        <v>12</v>
      </c>
      <c r="L4" s="328" t="s">
        <v>13</v>
      </c>
      <c r="M4" s="328" t="s">
        <v>14</v>
      </c>
      <c r="N4" s="328" t="s">
        <v>15</v>
      </c>
      <c r="O4" s="329" t="s">
        <v>16</v>
      </c>
    </row>
    <row r="5" spans="2:48" x14ac:dyDescent="0.25">
      <c r="B5" s="47">
        <v>1</v>
      </c>
      <c r="C5" s="47">
        <v>3600</v>
      </c>
      <c r="D5" s="47">
        <v>4200</v>
      </c>
      <c r="E5" s="47">
        <v>4800</v>
      </c>
      <c r="F5" s="47">
        <v>5400</v>
      </c>
      <c r="G5" s="47">
        <v>6000</v>
      </c>
      <c r="H5" s="47">
        <v>6600</v>
      </c>
      <c r="I5" s="47">
        <v>7200</v>
      </c>
      <c r="J5" s="47">
        <v>7800</v>
      </c>
      <c r="K5" s="47">
        <v>8400</v>
      </c>
      <c r="L5" s="47">
        <v>9000</v>
      </c>
      <c r="M5" s="47">
        <v>9600</v>
      </c>
      <c r="N5" s="47">
        <v>10200</v>
      </c>
      <c r="O5" s="32">
        <v>82800</v>
      </c>
    </row>
    <row r="6" spans="2:48" x14ac:dyDescent="0.25">
      <c r="B6" s="47">
        <v>2</v>
      </c>
      <c r="C6" s="47">
        <v>10200</v>
      </c>
      <c r="D6" s="47">
        <v>10200</v>
      </c>
      <c r="E6" s="47">
        <v>10200</v>
      </c>
      <c r="F6" s="47">
        <v>10200</v>
      </c>
      <c r="G6" s="47">
        <v>10200</v>
      </c>
      <c r="H6" s="47">
        <v>10200</v>
      </c>
      <c r="I6" s="47">
        <v>10200</v>
      </c>
      <c r="J6" s="47">
        <v>10200</v>
      </c>
      <c r="K6" s="47">
        <v>10200</v>
      </c>
      <c r="L6" s="47">
        <v>10200</v>
      </c>
      <c r="M6" s="47">
        <v>10200</v>
      </c>
      <c r="N6" s="47">
        <v>10200</v>
      </c>
      <c r="O6" s="32">
        <v>122400</v>
      </c>
    </row>
    <row r="7" spans="2:48" x14ac:dyDescent="0.25">
      <c r="B7" s="327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234"/>
    </row>
    <row r="8" spans="2:48" x14ac:dyDescent="0.25"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234"/>
    </row>
    <row r="9" spans="2:48" x14ac:dyDescent="0.25">
      <c r="B9" s="607" t="s">
        <v>442</v>
      </c>
      <c r="C9" s="389" t="s">
        <v>4</v>
      </c>
      <c r="D9" s="389" t="s">
        <v>5</v>
      </c>
      <c r="E9" s="389" t="s">
        <v>6</v>
      </c>
      <c r="F9" s="389" t="s">
        <v>7</v>
      </c>
      <c r="G9" s="389" t="s">
        <v>8</v>
      </c>
      <c r="H9" s="389" t="s">
        <v>9</v>
      </c>
      <c r="I9" s="389" t="s">
        <v>10</v>
      </c>
      <c r="J9" s="389" t="s">
        <v>11</v>
      </c>
      <c r="K9" s="389" t="s">
        <v>12</v>
      </c>
      <c r="L9" s="389" t="s">
        <v>13</v>
      </c>
      <c r="M9" s="389" t="s">
        <v>14</v>
      </c>
      <c r="N9" s="389" t="s">
        <v>15</v>
      </c>
      <c r="O9" s="234"/>
    </row>
    <row r="10" spans="2:48" x14ac:dyDescent="0.25">
      <c r="B10" s="608"/>
      <c r="C10" s="47">
        <f>300*12</f>
        <v>3600</v>
      </c>
      <c r="D10" s="47">
        <f>350*12</f>
        <v>4200</v>
      </c>
      <c r="E10" s="47">
        <f>400*12</f>
        <v>4800</v>
      </c>
      <c r="F10" s="47">
        <f>450*12</f>
        <v>5400</v>
      </c>
      <c r="G10" s="47">
        <f>500*12</f>
        <v>6000</v>
      </c>
      <c r="H10" s="47">
        <f>550*12</f>
        <v>6600</v>
      </c>
      <c r="I10" s="47">
        <f>600*12</f>
        <v>7200</v>
      </c>
      <c r="J10" s="47">
        <f>650*12</f>
        <v>7800</v>
      </c>
      <c r="K10" s="47">
        <f>700*12</f>
        <v>8400</v>
      </c>
      <c r="L10" s="47">
        <f>750*12</f>
        <v>9000</v>
      </c>
      <c r="M10" s="47">
        <f>800*12</f>
        <v>9600</v>
      </c>
      <c r="N10" s="47">
        <f>850*12</f>
        <v>10200</v>
      </c>
      <c r="O10" s="234"/>
    </row>
    <row r="11" spans="2:48" x14ac:dyDescent="0.25">
      <c r="B11" s="609"/>
      <c r="C11" s="146">
        <f t="shared" ref="C11:N11" si="0">C10/$C$12</f>
        <v>1</v>
      </c>
      <c r="D11" s="146">
        <f t="shared" si="0"/>
        <v>1.1666666666666667</v>
      </c>
      <c r="E11" s="146">
        <f t="shared" si="0"/>
        <v>1.3333333333333333</v>
      </c>
      <c r="F11" s="146">
        <f t="shared" si="0"/>
        <v>1.5</v>
      </c>
      <c r="G11" s="146">
        <f t="shared" si="0"/>
        <v>1.6666666666666667</v>
      </c>
      <c r="H11" s="146">
        <f t="shared" si="0"/>
        <v>1.8333333333333333</v>
      </c>
      <c r="I11" s="146">
        <f t="shared" si="0"/>
        <v>2</v>
      </c>
      <c r="J11" s="146">
        <f t="shared" si="0"/>
        <v>2.1666666666666665</v>
      </c>
      <c r="K11" s="146">
        <f t="shared" si="0"/>
        <v>2.3333333333333335</v>
      </c>
      <c r="L11" s="146">
        <f t="shared" si="0"/>
        <v>2.5</v>
      </c>
      <c r="M11" s="146">
        <f t="shared" si="0"/>
        <v>2.6666666666666665</v>
      </c>
      <c r="N11" s="146">
        <f t="shared" si="0"/>
        <v>2.8333333333333335</v>
      </c>
      <c r="O11" s="234"/>
    </row>
    <row r="12" spans="2:48" x14ac:dyDescent="0.25">
      <c r="C12">
        <v>3600</v>
      </c>
      <c r="E12" t="s">
        <v>441</v>
      </c>
      <c r="O12" s="234"/>
      <c r="AB12" s="47"/>
      <c r="AC12" s="47"/>
      <c r="AD12" s="47"/>
      <c r="AE12" s="47"/>
      <c r="AF12" s="47">
        <v>8400</v>
      </c>
      <c r="AG12" s="47">
        <v>9000</v>
      </c>
      <c r="AH12" s="47">
        <v>9600</v>
      </c>
      <c r="AI12" s="47">
        <v>10200</v>
      </c>
      <c r="AS12" s="47">
        <v>8400</v>
      </c>
      <c r="AT12" s="47">
        <v>9000</v>
      </c>
      <c r="AU12" s="47">
        <v>9600</v>
      </c>
      <c r="AV12" s="47">
        <v>10200</v>
      </c>
    </row>
    <row r="13" spans="2:48" x14ac:dyDescent="0.25">
      <c r="O13" s="234"/>
      <c r="AB13" s="327"/>
      <c r="AC13" s="327"/>
      <c r="AD13" s="327"/>
      <c r="AE13" s="327"/>
      <c r="AF13" s="327"/>
      <c r="AG13" s="327"/>
      <c r="AH13" s="327"/>
      <c r="AI13" s="327"/>
      <c r="AS13" s="327"/>
      <c r="AT13" s="327"/>
      <c r="AU13" s="327"/>
      <c r="AV13" s="327"/>
    </row>
    <row r="14" spans="2:48" x14ac:dyDescent="0.25">
      <c r="B14" s="327"/>
      <c r="C14" s="327"/>
      <c r="D14" s="327"/>
      <c r="E14" s="327"/>
      <c r="F14" s="327"/>
      <c r="G14" s="327"/>
      <c r="H14" s="327"/>
      <c r="I14" s="327"/>
      <c r="J14" s="327"/>
    </row>
    <row r="15" spans="2:48" ht="15.75" x14ac:dyDescent="0.25">
      <c r="B15" s="618" t="s">
        <v>422</v>
      </c>
      <c r="C15" s="618"/>
      <c r="D15" s="618"/>
      <c r="E15" s="618"/>
      <c r="F15" s="618"/>
      <c r="G15" s="618"/>
      <c r="H15" s="618"/>
    </row>
    <row r="16" spans="2:48" ht="15" customHeight="1" x14ac:dyDescent="0.25">
      <c r="B16" s="611" t="s">
        <v>26</v>
      </c>
      <c r="C16" s="613" t="s">
        <v>115</v>
      </c>
      <c r="D16" s="613" t="s">
        <v>273</v>
      </c>
      <c r="E16" s="615" t="s">
        <v>117</v>
      </c>
      <c r="F16" s="612"/>
      <c r="G16" s="611" t="s">
        <v>16</v>
      </c>
      <c r="H16" s="309"/>
    </row>
    <row r="17" spans="2:14" ht="43.15" customHeight="1" x14ac:dyDescent="0.25">
      <c r="B17" s="612"/>
      <c r="C17" s="614"/>
      <c r="D17" s="614"/>
      <c r="E17" s="314" t="s">
        <v>118</v>
      </c>
      <c r="F17" s="314" t="s">
        <v>119</v>
      </c>
      <c r="G17" s="612"/>
      <c r="H17" s="313"/>
    </row>
    <row r="18" spans="2:14" x14ac:dyDescent="0.25">
      <c r="B18" s="51" t="s">
        <v>256</v>
      </c>
      <c r="C18" s="52"/>
      <c r="D18" s="52"/>
      <c r="E18" s="52"/>
      <c r="F18" s="52"/>
      <c r="G18" s="53"/>
      <c r="H18" s="310"/>
      <c r="I18" t="s">
        <v>420</v>
      </c>
    </row>
    <row r="19" spans="2:14" x14ac:dyDescent="0.25">
      <c r="B19" s="390" t="s">
        <v>257</v>
      </c>
      <c r="C19" s="391"/>
      <c r="D19" s="391"/>
      <c r="E19" s="391"/>
      <c r="F19" s="391"/>
      <c r="G19" s="392">
        <f>G20+G21+G22</f>
        <v>19800</v>
      </c>
      <c r="H19" s="393"/>
      <c r="I19" s="397" t="s">
        <v>258</v>
      </c>
      <c r="J19" s="397" t="s">
        <v>134</v>
      </c>
    </row>
    <row r="20" spans="2:14" x14ac:dyDescent="0.25">
      <c r="B20" s="265" t="s">
        <v>259</v>
      </c>
      <c r="C20" s="266">
        <f>Resumen!H16</f>
        <v>20</v>
      </c>
      <c r="D20" s="265">
        <f>I25</f>
        <v>450</v>
      </c>
      <c r="E20" s="57"/>
      <c r="F20" s="57">
        <f>G20</f>
        <v>9000</v>
      </c>
      <c r="G20" s="58">
        <f>D20*C20</f>
        <v>9000</v>
      </c>
      <c r="H20" s="311"/>
      <c r="I20" s="397">
        <v>400</v>
      </c>
      <c r="J20" s="397">
        <v>20</v>
      </c>
    </row>
    <row r="21" spans="2:14" x14ac:dyDescent="0.25">
      <c r="B21" s="265" t="s">
        <v>260</v>
      </c>
      <c r="C21" s="266">
        <f>Resumen!H15</f>
        <v>3</v>
      </c>
      <c r="D21" s="265">
        <f>3600/2</f>
        <v>1800</v>
      </c>
      <c r="E21" s="57"/>
      <c r="F21" s="57">
        <f>G21</f>
        <v>5400</v>
      </c>
      <c r="G21" s="58">
        <f>C21*D21</f>
        <v>5400</v>
      </c>
      <c r="H21" s="311"/>
      <c r="I21" s="397">
        <v>50</v>
      </c>
      <c r="J21" s="397">
        <f>(I21*J20)/I20</f>
        <v>2.5</v>
      </c>
    </row>
    <row r="22" spans="2:14" x14ac:dyDescent="0.25">
      <c r="B22" s="56" t="s">
        <v>261</v>
      </c>
      <c r="C22" s="61">
        <v>1.5</v>
      </c>
      <c r="D22" s="56">
        <v>3600</v>
      </c>
      <c r="E22" s="57"/>
      <c r="F22" s="57">
        <f>G22</f>
        <v>5400</v>
      </c>
      <c r="G22" s="58">
        <f>C22*D22</f>
        <v>5400</v>
      </c>
      <c r="H22" s="311"/>
      <c r="I22" s="397"/>
      <c r="J22" s="397"/>
      <c r="K22" t="s">
        <v>489</v>
      </c>
      <c r="L22" s="489">
        <f>+G19+G38+G57+G77+G97+G117+G138+G159+G180+G202+G224+G246</f>
        <v>455400</v>
      </c>
      <c r="M22" s="143">
        <f>+'Presupuesto de ventas'!O7</f>
        <v>82800</v>
      </c>
      <c r="N22" s="143">
        <f>+L22/M22</f>
        <v>5.5</v>
      </c>
    </row>
    <row r="23" spans="2:14" x14ac:dyDescent="0.25">
      <c r="B23" s="56"/>
      <c r="C23" s="56"/>
      <c r="D23" s="56"/>
      <c r="E23" s="57"/>
      <c r="F23" s="57"/>
      <c r="G23" s="53"/>
      <c r="H23" s="310"/>
      <c r="I23" s="397">
        <f>I20/I21</f>
        <v>8</v>
      </c>
      <c r="J23" s="397">
        <v>1</v>
      </c>
      <c r="L23">
        <f>+L22/12</f>
        <v>37950</v>
      </c>
      <c r="M23" t="s">
        <v>492</v>
      </c>
    </row>
    <row r="24" spans="2:14" x14ac:dyDescent="0.25">
      <c r="B24" s="390" t="s">
        <v>262</v>
      </c>
      <c r="C24" s="391"/>
      <c r="D24" s="391"/>
      <c r="E24" s="394"/>
      <c r="F24" s="394"/>
      <c r="G24" s="392">
        <f>G25+G26</f>
        <v>1260</v>
      </c>
      <c r="H24" s="393"/>
      <c r="I24" s="397">
        <v>3600</v>
      </c>
      <c r="J24" s="398" t="s">
        <v>263</v>
      </c>
    </row>
    <row r="25" spans="2:14" x14ac:dyDescent="0.25">
      <c r="B25" s="56" t="s">
        <v>384</v>
      </c>
      <c r="C25" s="61">
        <f>Resumen!H14/2</f>
        <v>0.35</v>
      </c>
      <c r="D25" s="56">
        <f>'Presupuesto de ventas'!C7/2</f>
        <v>1800</v>
      </c>
      <c r="E25" s="118"/>
      <c r="F25" s="57">
        <f>G25</f>
        <v>630</v>
      </c>
      <c r="G25" s="58">
        <f>C25*D25</f>
        <v>630</v>
      </c>
      <c r="H25" s="311"/>
      <c r="I25" s="397">
        <f>I24/I23</f>
        <v>450</v>
      </c>
      <c r="J25" s="397"/>
    </row>
    <row r="26" spans="2:14" x14ac:dyDescent="0.25">
      <c r="B26" s="56" t="s">
        <v>385</v>
      </c>
      <c r="C26" s="61">
        <f>C25</f>
        <v>0.35</v>
      </c>
      <c r="D26" s="56">
        <f>D25</f>
        <v>1800</v>
      </c>
      <c r="E26" s="118"/>
      <c r="F26" s="57">
        <f>G26</f>
        <v>630</v>
      </c>
      <c r="G26" s="58">
        <f>C26*D26</f>
        <v>630</v>
      </c>
      <c r="H26" s="311"/>
    </row>
    <row r="27" spans="2:14" x14ac:dyDescent="0.25">
      <c r="B27" s="390" t="s">
        <v>264</v>
      </c>
      <c r="C27" s="391"/>
      <c r="D27" s="391"/>
      <c r="E27" s="394"/>
      <c r="F27" s="394"/>
      <c r="G27" s="395">
        <f>G28+G29</f>
        <v>100</v>
      </c>
      <c r="H27" s="396"/>
      <c r="I27" t="s">
        <v>421</v>
      </c>
      <c r="K27" t="s">
        <v>490</v>
      </c>
      <c r="L27" s="489">
        <f>+G24+G43+G62+G82+G102+G122+G143+G164+G185+G207+G229+G251</f>
        <v>15260</v>
      </c>
      <c r="M27" s="143">
        <f>+M22</f>
        <v>82800</v>
      </c>
      <c r="N27" s="143">
        <f>+L27/M27</f>
        <v>0.18429951690821256</v>
      </c>
    </row>
    <row r="28" spans="2:14" x14ac:dyDescent="0.25">
      <c r="B28" s="56" t="s">
        <v>76</v>
      </c>
      <c r="C28" s="56">
        <v>100</v>
      </c>
      <c r="D28" s="56">
        <v>1</v>
      </c>
      <c r="E28" s="57"/>
      <c r="F28" s="57">
        <f>G28</f>
        <v>100</v>
      </c>
      <c r="G28" s="58">
        <f>C28*D28</f>
        <v>100</v>
      </c>
      <c r="H28" s="311"/>
      <c r="I28" s="330"/>
      <c r="J28">
        <v>1</v>
      </c>
      <c r="L28">
        <f>+L27/12</f>
        <v>1271.6666666666667</v>
      </c>
      <c r="M28" t="s">
        <v>492</v>
      </c>
    </row>
    <row r="29" spans="2:14" x14ac:dyDescent="0.25">
      <c r="B29" s="56"/>
      <c r="C29" s="56"/>
      <c r="D29" s="56"/>
      <c r="E29" s="57"/>
      <c r="F29" s="57"/>
      <c r="G29" s="58">
        <f>C29*D29</f>
        <v>0</v>
      </c>
      <c r="H29" s="311"/>
      <c r="J29" s="331">
        <v>3600</v>
      </c>
    </row>
    <row r="30" spans="2:14" x14ac:dyDescent="0.25">
      <c r="B30" s="56"/>
      <c r="C30" s="56"/>
      <c r="D30" s="56"/>
      <c r="E30" s="57"/>
      <c r="F30" s="57"/>
      <c r="G30" s="58"/>
      <c r="H30" s="311"/>
      <c r="K30" t="s">
        <v>491</v>
      </c>
      <c r="L30" s="489">
        <f t="shared" ref="L30" si="1">+G27+G46+G65+G85+G105+G125+G146+G167+G188+G210+G232+G254</f>
        <v>3359.3333333333335</v>
      </c>
      <c r="M30" s="143">
        <f>+M27</f>
        <v>82800</v>
      </c>
      <c r="N30" s="143">
        <f>+L30/M30</f>
        <v>4.0571658615136875E-2</v>
      </c>
    </row>
    <row r="31" spans="2:14" x14ac:dyDescent="0.25">
      <c r="B31" s="267" t="s">
        <v>265</v>
      </c>
      <c r="C31" s="268"/>
      <c r="D31" s="268"/>
      <c r="E31" s="269">
        <f>SUM(E18:E30)</f>
        <v>0</v>
      </c>
      <c r="F31" s="269">
        <f>SUM(F18:F30)</f>
        <v>21160</v>
      </c>
      <c r="G31" s="270">
        <f>G19+G24+G27</f>
        <v>21160</v>
      </c>
      <c r="H31" s="312"/>
      <c r="L31" s="143">
        <f>+L30/12</f>
        <v>279.94444444444446</v>
      </c>
      <c r="M31" t="s">
        <v>492</v>
      </c>
    </row>
    <row r="32" spans="2:14" x14ac:dyDescent="0.25">
      <c r="L32" s="143"/>
    </row>
    <row r="33" spans="2:12" x14ac:dyDescent="0.25">
      <c r="L33" s="143"/>
    </row>
    <row r="34" spans="2:12" ht="15.6" customHeight="1" x14ac:dyDescent="0.25">
      <c r="B34" s="619" t="s">
        <v>468</v>
      </c>
      <c r="C34" s="619"/>
      <c r="D34" s="619"/>
      <c r="E34" s="619"/>
      <c r="F34" s="619"/>
      <c r="G34" s="619"/>
      <c r="H34" s="619"/>
    </row>
    <row r="35" spans="2:12" ht="15.6" customHeight="1" x14ac:dyDescent="0.25">
      <c r="B35" s="620" t="s">
        <v>26</v>
      </c>
      <c r="C35" s="621" t="s">
        <v>115</v>
      </c>
      <c r="D35" s="621" t="s">
        <v>273</v>
      </c>
      <c r="E35" s="622" t="s">
        <v>117</v>
      </c>
      <c r="F35" s="623"/>
      <c r="G35" s="620" t="s">
        <v>16</v>
      </c>
      <c r="H35" s="309"/>
    </row>
    <row r="36" spans="2:12" ht="31.9" customHeight="1" x14ac:dyDescent="0.25">
      <c r="B36" s="612"/>
      <c r="C36" s="614"/>
      <c r="D36" s="614"/>
      <c r="E36" s="314" t="s">
        <v>118</v>
      </c>
      <c r="F36" s="314" t="s">
        <v>119</v>
      </c>
      <c r="G36" s="612"/>
      <c r="H36" s="313"/>
    </row>
    <row r="37" spans="2:12" ht="15" customHeight="1" x14ac:dyDescent="0.25">
      <c r="B37" s="51" t="s">
        <v>256</v>
      </c>
      <c r="C37" s="52"/>
      <c r="D37" s="52"/>
      <c r="E37" s="52"/>
      <c r="F37" s="52"/>
      <c r="G37" s="53"/>
      <c r="H37" s="310"/>
      <c r="I37" t="s">
        <v>420</v>
      </c>
    </row>
    <row r="38" spans="2:12" x14ac:dyDescent="0.25">
      <c r="B38" s="399" t="s">
        <v>257</v>
      </c>
      <c r="C38" s="400"/>
      <c r="D38" s="400"/>
      <c r="E38" s="400"/>
      <c r="F38" s="400"/>
      <c r="G38" s="401">
        <f>G39+G40+G41</f>
        <v>23100</v>
      </c>
      <c r="H38" s="402"/>
      <c r="I38" s="397" t="s">
        <v>258</v>
      </c>
      <c r="J38" s="397" t="s">
        <v>134</v>
      </c>
    </row>
    <row r="39" spans="2:12" x14ac:dyDescent="0.25">
      <c r="B39" s="265" t="s">
        <v>259</v>
      </c>
      <c r="C39" s="266">
        <f>C20</f>
        <v>20</v>
      </c>
      <c r="D39" s="265">
        <f>I44</f>
        <v>525</v>
      </c>
      <c r="E39" s="57"/>
      <c r="F39" s="57">
        <f>G39</f>
        <v>10500</v>
      </c>
      <c r="G39" s="58">
        <f>D39*C39</f>
        <v>10500</v>
      </c>
      <c r="H39" s="311"/>
      <c r="I39" s="397">
        <v>400</v>
      </c>
      <c r="J39" s="397">
        <v>20</v>
      </c>
    </row>
    <row r="40" spans="2:12" x14ac:dyDescent="0.25">
      <c r="B40" s="265" t="s">
        <v>260</v>
      </c>
      <c r="C40" s="266">
        <f>C21</f>
        <v>3</v>
      </c>
      <c r="D40" s="265">
        <f>J46</f>
        <v>2100</v>
      </c>
      <c r="E40" s="57"/>
      <c r="F40" s="57">
        <f>G40</f>
        <v>6300</v>
      </c>
      <c r="G40" s="58">
        <f>C40*D40</f>
        <v>6300</v>
      </c>
      <c r="H40" s="311"/>
      <c r="I40" s="397">
        <v>50</v>
      </c>
      <c r="J40" s="397">
        <f>(I40*J39)/I39</f>
        <v>2.5</v>
      </c>
    </row>
    <row r="41" spans="2:12" x14ac:dyDescent="0.25">
      <c r="B41" s="56" t="s">
        <v>261</v>
      </c>
      <c r="C41" s="61">
        <v>1.5</v>
      </c>
      <c r="D41" s="56">
        <f>I43</f>
        <v>4200</v>
      </c>
      <c r="E41" s="57"/>
      <c r="F41" s="57">
        <f>G41</f>
        <v>6300</v>
      </c>
      <c r="G41" s="58">
        <f>C41*D41</f>
        <v>6300</v>
      </c>
      <c r="H41" s="311"/>
      <c r="I41" s="397"/>
      <c r="J41" s="397"/>
    </row>
    <row r="42" spans="2:12" x14ac:dyDescent="0.25">
      <c r="B42" s="56"/>
      <c r="C42" s="56"/>
      <c r="D42" s="56"/>
      <c r="E42" s="57"/>
      <c r="F42" s="57"/>
      <c r="G42" s="53"/>
      <c r="H42" s="310"/>
      <c r="I42" s="397">
        <f>I39/I40</f>
        <v>8</v>
      </c>
      <c r="J42" s="397">
        <v>1</v>
      </c>
    </row>
    <row r="43" spans="2:12" x14ac:dyDescent="0.25">
      <c r="B43" s="399" t="s">
        <v>262</v>
      </c>
      <c r="C43" s="400"/>
      <c r="D43" s="400"/>
      <c r="E43" s="403"/>
      <c r="F43" s="403"/>
      <c r="G43" s="401">
        <f>G44+G45</f>
        <v>1470</v>
      </c>
      <c r="H43" s="402"/>
      <c r="I43" s="397">
        <v>4200</v>
      </c>
      <c r="J43" s="398" t="s">
        <v>263</v>
      </c>
    </row>
    <row r="44" spans="2:12" x14ac:dyDescent="0.25">
      <c r="B44" s="56" t="s">
        <v>384</v>
      </c>
      <c r="C44" s="61">
        <f>Resumen!H14/2</f>
        <v>0.35</v>
      </c>
      <c r="D44" s="56">
        <f>'Presupuesto de ventas'!D7/2</f>
        <v>2100</v>
      </c>
      <c r="E44" s="118"/>
      <c r="F44" s="57">
        <f>G44</f>
        <v>735</v>
      </c>
      <c r="G44" s="58">
        <f>C44*D44</f>
        <v>735</v>
      </c>
      <c r="H44" s="311"/>
      <c r="I44" s="397">
        <f>I43/I42</f>
        <v>525</v>
      </c>
      <c r="J44" s="397"/>
    </row>
    <row r="45" spans="2:12" x14ac:dyDescent="0.25">
      <c r="B45" s="56" t="s">
        <v>385</v>
      </c>
      <c r="C45" s="61">
        <f>C44</f>
        <v>0.35</v>
      </c>
      <c r="D45" s="56">
        <f>D44</f>
        <v>2100</v>
      </c>
      <c r="E45" s="118"/>
      <c r="F45" s="57">
        <f>G45</f>
        <v>735</v>
      </c>
      <c r="G45" s="58">
        <f>C45*D45</f>
        <v>735</v>
      </c>
      <c r="H45" s="311"/>
    </row>
    <row r="46" spans="2:12" x14ac:dyDescent="0.25">
      <c r="B46" s="399" t="s">
        <v>264</v>
      </c>
      <c r="C46" s="400"/>
      <c r="D46" s="400"/>
      <c r="E46" s="403"/>
      <c r="F46" s="403"/>
      <c r="G46" s="405">
        <f>G47+G48</f>
        <v>100</v>
      </c>
      <c r="H46" s="406"/>
      <c r="I46" t="s">
        <v>421</v>
      </c>
      <c r="J46">
        <f>I43/2</f>
        <v>2100</v>
      </c>
    </row>
    <row r="47" spans="2:12" x14ac:dyDescent="0.25">
      <c r="B47" s="56" t="s">
        <v>76</v>
      </c>
      <c r="C47" s="56">
        <v>100</v>
      </c>
      <c r="D47" s="56">
        <v>1</v>
      </c>
      <c r="E47" s="57"/>
      <c r="F47" s="57">
        <f>G47</f>
        <v>100</v>
      </c>
      <c r="G47" s="58">
        <f>C47*D47</f>
        <v>100</v>
      </c>
      <c r="H47" s="311"/>
      <c r="I47" s="330"/>
    </row>
    <row r="48" spans="2:12" x14ac:dyDescent="0.25">
      <c r="B48" s="56"/>
      <c r="C48" s="56"/>
      <c r="D48" s="56"/>
      <c r="E48" s="57"/>
      <c r="F48" s="57"/>
      <c r="G48" s="58"/>
      <c r="H48" s="311"/>
      <c r="J48" s="331"/>
    </row>
    <row r="49" spans="2:10" x14ac:dyDescent="0.25">
      <c r="B49" s="56"/>
      <c r="C49" s="56"/>
      <c r="D49" s="56"/>
      <c r="E49" s="57"/>
      <c r="F49" s="57"/>
      <c r="G49" s="58"/>
      <c r="H49" s="311"/>
    </row>
    <row r="50" spans="2:10" x14ac:dyDescent="0.25">
      <c r="B50" s="267" t="s">
        <v>265</v>
      </c>
      <c r="C50" s="268"/>
      <c r="D50" s="268"/>
      <c r="E50" s="269">
        <f>SUM(E37:E49)</f>
        <v>0</v>
      </c>
      <c r="F50" s="269">
        <f>SUM(F37:F49)</f>
        <v>24670</v>
      </c>
      <c r="G50" s="270">
        <f>G38+G43+G46</f>
        <v>24670</v>
      </c>
      <c r="H50" s="312">
        <f>SUM(H38:H49)</f>
        <v>0</v>
      </c>
    </row>
    <row r="53" spans="2:10" ht="15.75" x14ac:dyDescent="0.25">
      <c r="B53" s="617" t="s">
        <v>466</v>
      </c>
      <c r="C53" s="617"/>
      <c r="D53" s="617"/>
      <c r="E53" s="617"/>
      <c r="F53" s="617"/>
      <c r="G53" s="617"/>
      <c r="H53" s="617"/>
    </row>
    <row r="54" spans="2:10" ht="38.25" x14ac:dyDescent="0.25">
      <c r="B54" s="373" t="s">
        <v>26</v>
      </c>
      <c r="C54" s="375" t="s">
        <v>115</v>
      </c>
      <c r="D54" s="375" t="s">
        <v>273</v>
      </c>
      <c r="E54" s="377" t="s">
        <v>117</v>
      </c>
      <c r="F54" s="374"/>
      <c r="G54" s="373" t="s">
        <v>16</v>
      </c>
      <c r="H54" s="309"/>
    </row>
    <row r="55" spans="2:10" x14ac:dyDescent="0.25">
      <c r="B55" s="374"/>
      <c r="C55" s="376"/>
      <c r="D55" s="376"/>
      <c r="E55" s="377" t="s">
        <v>118</v>
      </c>
      <c r="F55" s="377" t="s">
        <v>119</v>
      </c>
      <c r="G55" s="374"/>
      <c r="H55" s="371"/>
    </row>
    <row r="56" spans="2:10" x14ac:dyDescent="0.25">
      <c r="B56" s="51" t="s">
        <v>256</v>
      </c>
      <c r="C56" s="52"/>
      <c r="D56" s="52"/>
      <c r="E56" s="52"/>
      <c r="F56" s="52"/>
      <c r="G56" s="53"/>
      <c r="H56" s="310"/>
      <c r="I56" t="s">
        <v>420</v>
      </c>
    </row>
    <row r="57" spans="2:10" x14ac:dyDescent="0.25">
      <c r="B57" s="390" t="s">
        <v>257</v>
      </c>
      <c r="C57" s="391"/>
      <c r="D57" s="391"/>
      <c r="E57" s="391"/>
      <c r="F57" s="391"/>
      <c r="G57" s="392">
        <f>G58+G59+G60</f>
        <v>26400</v>
      </c>
      <c r="H57" s="393"/>
      <c r="I57" s="397" t="s">
        <v>258</v>
      </c>
      <c r="J57" s="397" t="s">
        <v>134</v>
      </c>
    </row>
    <row r="58" spans="2:10" x14ac:dyDescent="0.25">
      <c r="B58" s="265" t="s">
        <v>259</v>
      </c>
      <c r="C58" s="266">
        <f>C20</f>
        <v>20</v>
      </c>
      <c r="D58" s="265">
        <f>I63</f>
        <v>600</v>
      </c>
      <c r="E58" s="57"/>
      <c r="F58" s="57">
        <f>G58</f>
        <v>12000</v>
      </c>
      <c r="G58" s="58">
        <f>D58*C58</f>
        <v>12000</v>
      </c>
      <c r="H58" s="311"/>
      <c r="I58" s="397">
        <v>400</v>
      </c>
      <c r="J58" s="397">
        <v>20</v>
      </c>
    </row>
    <row r="59" spans="2:10" x14ac:dyDescent="0.25">
      <c r="B59" s="265" t="s">
        <v>260</v>
      </c>
      <c r="C59" s="266">
        <f>C21</f>
        <v>3</v>
      </c>
      <c r="D59" s="265">
        <f>J65</f>
        <v>2400</v>
      </c>
      <c r="E59" s="57"/>
      <c r="F59" s="57">
        <f>G59</f>
        <v>7200</v>
      </c>
      <c r="G59" s="58">
        <f>C59*D59</f>
        <v>7200</v>
      </c>
      <c r="H59" s="311"/>
      <c r="I59" s="397">
        <v>50</v>
      </c>
      <c r="J59" s="397">
        <f>(I59*J58)/I58</f>
        <v>2.5</v>
      </c>
    </row>
    <row r="60" spans="2:10" x14ac:dyDescent="0.25">
      <c r="B60" s="56" t="s">
        <v>261</v>
      </c>
      <c r="C60" s="61">
        <v>1.5</v>
      </c>
      <c r="D60" s="56">
        <f>I62</f>
        <v>4800</v>
      </c>
      <c r="E60" s="57"/>
      <c r="F60" s="57">
        <f>G60</f>
        <v>7200</v>
      </c>
      <c r="G60" s="58">
        <f>C60*D60</f>
        <v>7200</v>
      </c>
      <c r="H60" s="311"/>
      <c r="I60" s="397"/>
      <c r="J60" s="397"/>
    </row>
    <row r="61" spans="2:10" x14ac:dyDescent="0.25">
      <c r="B61" s="56"/>
      <c r="C61" s="56"/>
      <c r="D61" s="56"/>
      <c r="E61" s="57"/>
      <c r="F61" s="57"/>
      <c r="G61" s="53"/>
      <c r="H61" s="310"/>
      <c r="I61" s="397">
        <f>I58/I59</f>
        <v>8</v>
      </c>
      <c r="J61" s="397">
        <v>1</v>
      </c>
    </row>
    <row r="62" spans="2:10" x14ac:dyDescent="0.25">
      <c r="B62" s="390" t="s">
        <v>262</v>
      </c>
      <c r="C62" s="391"/>
      <c r="D62" s="391"/>
      <c r="E62" s="394"/>
      <c r="F62" s="394"/>
      <c r="G62" s="392">
        <f>G63+G64+G65</f>
        <v>1120</v>
      </c>
      <c r="H62" s="393"/>
      <c r="I62" s="397">
        <v>4800</v>
      </c>
      <c r="J62" s="398" t="s">
        <v>263</v>
      </c>
    </row>
    <row r="63" spans="2:10" x14ac:dyDescent="0.25">
      <c r="B63" s="56" t="s">
        <v>384</v>
      </c>
      <c r="C63" s="61">
        <f>Resumen!H14/3</f>
        <v>0.23333333333333331</v>
      </c>
      <c r="D63" s="56">
        <f>'Presupuesto de ventas'!E7/3</f>
        <v>1600</v>
      </c>
      <c r="E63" s="118"/>
      <c r="F63" s="57">
        <f>G63</f>
        <v>373.33333333333331</v>
      </c>
      <c r="G63" s="58">
        <f>C63*D63</f>
        <v>373.33333333333331</v>
      </c>
      <c r="H63" s="311"/>
      <c r="I63" s="397">
        <f>I62/I61</f>
        <v>600</v>
      </c>
      <c r="J63" s="397"/>
    </row>
    <row r="64" spans="2:10" x14ac:dyDescent="0.25">
      <c r="B64" s="56" t="s">
        <v>385</v>
      </c>
      <c r="C64" s="61">
        <f>C63</f>
        <v>0.23333333333333331</v>
      </c>
      <c r="D64" s="56">
        <f>D63</f>
        <v>1600</v>
      </c>
      <c r="E64" s="118"/>
      <c r="F64" s="57">
        <f>G64</f>
        <v>373.33333333333331</v>
      </c>
      <c r="G64" s="58">
        <f>C64*D64</f>
        <v>373.33333333333331</v>
      </c>
      <c r="H64" s="311"/>
    </row>
    <row r="65" spans="2:10" x14ac:dyDescent="0.25">
      <c r="B65" s="56" t="s">
        <v>443</v>
      </c>
      <c r="C65" s="61">
        <f>C64</f>
        <v>0.23333333333333331</v>
      </c>
      <c r="D65" s="56">
        <f>D64</f>
        <v>1600</v>
      </c>
      <c r="E65" s="118"/>
      <c r="F65" s="57">
        <f>G65</f>
        <v>373.33333333333331</v>
      </c>
      <c r="G65" s="58">
        <f>C65*D65</f>
        <v>373.33333333333331</v>
      </c>
      <c r="H65" s="311"/>
      <c r="I65" t="s">
        <v>421</v>
      </c>
      <c r="J65">
        <f>I62/2</f>
        <v>2400</v>
      </c>
    </row>
    <row r="66" spans="2:10" x14ac:dyDescent="0.25">
      <c r="B66" s="390" t="s">
        <v>264</v>
      </c>
      <c r="C66" s="391"/>
      <c r="D66" s="391"/>
      <c r="E66" s="394"/>
      <c r="F66" s="394"/>
      <c r="G66" s="395">
        <f>G67+G68</f>
        <v>100</v>
      </c>
      <c r="H66" s="396"/>
      <c r="I66" s="330"/>
    </row>
    <row r="67" spans="2:10" x14ac:dyDescent="0.25">
      <c r="B67" s="56" t="s">
        <v>76</v>
      </c>
      <c r="C67" s="56">
        <v>100</v>
      </c>
      <c r="D67" s="56">
        <v>1</v>
      </c>
      <c r="E67" s="57"/>
      <c r="F67" s="57">
        <f>G67</f>
        <v>100</v>
      </c>
      <c r="G67" s="333">
        <f>C67*D67</f>
        <v>100</v>
      </c>
      <c r="H67" s="311"/>
      <c r="J67" s="331"/>
    </row>
    <row r="68" spans="2:10" x14ac:dyDescent="0.25">
      <c r="B68" s="56"/>
      <c r="C68" s="56"/>
      <c r="D68" s="56"/>
      <c r="E68" s="57"/>
      <c r="F68" s="57"/>
      <c r="G68" s="58"/>
      <c r="H68" s="311"/>
    </row>
    <row r="69" spans="2:10" x14ac:dyDescent="0.25">
      <c r="B69" s="56"/>
      <c r="C69" s="56"/>
      <c r="D69" s="56"/>
      <c r="E69" s="57"/>
      <c r="F69" s="57"/>
      <c r="G69" s="58"/>
      <c r="H69" s="311"/>
    </row>
    <row r="70" spans="2:10" x14ac:dyDescent="0.25">
      <c r="B70" s="267" t="s">
        <v>265</v>
      </c>
      <c r="C70" s="268"/>
      <c r="D70" s="268"/>
      <c r="E70" s="269">
        <f>SUM(E56:E69)</f>
        <v>0</v>
      </c>
      <c r="F70" s="269">
        <f>SUM(F56:F69)</f>
        <v>27619.999999999996</v>
      </c>
      <c r="G70" s="270">
        <f>G57+G62+G66</f>
        <v>27620</v>
      </c>
      <c r="H70" s="312"/>
    </row>
    <row r="73" spans="2:10" ht="21.75" customHeight="1" x14ac:dyDescent="0.25">
      <c r="B73" s="610" t="s">
        <v>467</v>
      </c>
      <c r="C73" s="610"/>
      <c r="D73" s="610"/>
      <c r="E73" s="610"/>
      <c r="F73" s="610"/>
      <c r="G73" s="610"/>
      <c r="H73" s="610"/>
    </row>
    <row r="74" spans="2:10" ht="38.25" x14ac:dyDescent="0.25">
      <c r="B74" s="373" t="s">
        <v>26</v>
      </c>
      <c r="C74" s="375" t="s">
        <v>115</v>
      </c>
      <c r="D74" s="375" t="s">
        <v>273</v>
      </c>
      <c r="E74" s="377" t="s">
        <v>117</v>
      </c>
      <c r="F74" s="374"/>
      <c r="G74" s="373" t="s">
        <v>16</v>
      </c>
      <c r="H74" s="309"/>
    </row>
    <row r="75" spans="2:10" x14ac:dyDescent="0.25">
      <c r="B75" s="374"/>
      <c r="C75" s="376"/>
      <c r="D75" s="376"/>
      <c r="E75" s="377" t="s">
        <v>118</v>
      </c>
      <c r="F75" s="377" t="s">
        <v>119</v>
      </c>
      <c r="G75" s="374"/>
      <c r="H75" s="371"/>
      <c r="I75" t="s">
        <v>420</v>
      </c>
    </row>
    <row r="76" spans="2:10" x14ac:dyDescent="0.25">
      <c r="B76" s="51" t="s">
        <v>256</v>
      </c>
      <c r="C76" s="52"/>
      <c r="D76" s="52"/>
      <c r="E76" s="52"/>
      <c r="F76" s="52"/>
      <c r="G76" s="53"/>
      <c r="H76" s="310"/>
      <c r="I76" s="397" t="s">
        <v>258</v>
      </c>
      <c r="J76" s="397" t="s">
        <v>134</v>
      </c>
    </row>
    <row r="77" spans="2:10" x14ac:dyDescent="0.25">
      <c r="B77" s="399" t="s">
        <v>257</v>
      </c>
      <c r="C77" s="400"/>
      <c r="D77" s="400"/>
      <c r="E77" s="400"/>
      <c r="F77" s="400"/>
      <c r="G77" s="401">
        <f>G78+G79+G80</f>
        <v>29700</v>
      </c>
      <c r="H77" s="402"/>
      <c r="I77" s="397">
        <v>400</v>
      </c>
      <c r="J77" s="397">
        <v>20</v>
      </c>
    </row>
    <row r="78" spans="2:10" x14ac:dyDescent="0.25">
      <c r="B78" s="265" t="s">
        <v>259</v>
      </c>
      <c r="C78" s="266">
        <f>C58</f>
        <v>20</v>
      </c>
      <c r="D78" s="265">
        <f>I82</f>
        <v>675</v>
      </c>
      <c r="E78" s="57"/>
      <c r="F78" s="57">
        <f>G78</f>
        <v>13500</v>
      </c>
      <c r="G78" s="58">
        <f>D78*C78</f>
        <v>13500</v>
      </c>
      <c r="H78" s="311"/>
      <c r="I78" s="397">
        <v>50</v>
      </c>
      <c r="J78" s="397">
        <f>(I78*J77)/I77</f>
        <v>2.5</v>
      </c>
    </row>
    <row r="79" spans="2:10" x14ac:dyDescent="0.25">
      <c r="B79" s="265" t="s">
        <v>260</v>
      </c>
      <c r="C79" s="266">
        <f>C59</f>
        <v>3</v>
      </c>
      <c r="D79" s="265">
        <f>J84</f>
        <v>2700</v>
      </c>
      <c r="E79" s="57"/>
      <c r="F79" s="57">
        <f>G79</f>
        <v>8100</v>
      </c>
      <c r="G79" s="58">
        <f>C79*D79</f>
        <v>8100</v>
      </c>
      <c r="H79" s="311"/>
      <c r="I79" s="397"/>
      <c r="J79" s="397"/>
    </row>
    <row r="80" spans="2:10" x14ac:dyDescent="0.25">
      <c r="B80" s="56" t="s">
        <v>261</v>
      </c>
      <c r="C80" s="61">
        <v>1.5</v>
      </c>
      <c r="D80" s="56">
        <f>I81</f>
        <v>5400</v>
      </c>
      <c r="E80" s="57"/>
      <c r="F80" s="57">
        <f>G80</f>
        <v>8100</v>
      </c>
      <c r="G80" s="58">
        <f>C80*D80</f>
        <v>8100</v>
      </c>
      <c r="H80" s="311"/>
      <c r="I80" s="397">
        <f>I77/I78</f>
        <v>8</v>
      </c>
      <c r="J80" s="397">
        <v>1</v>
      </c>
    </row>
    <row r="81" spans="2:10" x14ac:dyDescent="0.25">
      <c r="B81" s="56"/>
      <c r="C81" s="56"/>
      <c r="D81" s="56"/>
      <c r="E81" s="57"/>
      <c r="F81" s="57"/>
      <c r="G81" s="53"/>
      <c r="H81" s="310"/>
      <c r="I81" s="397">
        <v>5400</v>
      </c>
      <c r="J81" s="398" t="s">
        <v>263</v>
      </c>
    </row>
    <row r="82" spans="2:10" x14ac:dyDescent="0.25">
      <c r="B82" s="399" t="s">
        <v>262</v>
      </c>
      <c r="C82" s="400"/>
      <c r="D82" s="400"/>
      <c r="E82" s="403"/>
      <c r="F82" s="403"/>
      <c r="G82" s="401">
        <f>G83+G84+G85</f>
        <v>1259.9999999999998</v>
      </c>
      <c r="H82" s="402"/>
      <c r="I82" s="397">
        <f>I81/I80</f>
        <v>675</v>
      </c>
      <c r="J82" s="397"/>
    </row>
    <row r="83" spans="2:10" x14ac:dyDescent="0.25">
      <c r="B83" s="56" t="s">
        <v>384</v>
      </c>
      <c r="C83" s="61">
        <f>Resumen!H14/3</f>
        <v>0.23333333333333331</v>
      </c>
      <c r="D83" s="56">
        <f>'Presupuesto de ventas'!F7/3</f>
        <v>1800</v>
      </c>
      <c r="E83" s="118"/>
      <c r="F83" s="57">
        <f>G83</f>
        <v>419.99999999999994</v>
      </c>
      <c r="G83" s="58">
        <f>C83*D83</f>
        <v>419.99999999999994</v>
      </c>
      <c r="H83" s="311"/>
    </row>
    <row r="84" spans="2:10" x14ac:dyDescent="0.25">
      <c r="B84" s="56" t="s">
        <v>385</v>
      </c>
      <c r="C84" s="61">
        <f>C83</f>
        <v>0.23333333333333331</v>
      </c>
      <c r="D84" s="56">
        <f>D83</f>
        <v>1800</v>
      </c>
      <c r="E84" s="118"/>
      <c r="F84" s="57">
        <f>G84</f>
        <v>419.99999999999994</v>
      </c>
      <c r="G84" s="58">
        <f>C84*D84</f>
        <v>419.99999999999994</v>
      </c>
      <c r="H84" s="311"/>
      <c r="I84" t="s">
        <v>421</v>
      </c>
      <c r="J84">
        <f>I81/2</f>
        <v>2700</v>
      </c>
    </row>
    <row r="85" spans="2:10" x14ac:dyDescent="0.25">
      <c r="B85" s="56" t="s">
        <v>443</v>
      </c>
      <c r="C85" s="61">
        <f>C84</f>
        <v>0.23333333333333331</v>
      </c>
      <c r="D85" s="56">
        <f>D84</f>
        <v>1800</v>
      </c>
      <c r="E85" s="118"/>
      <c r="F85" s="57">
        <f>G85</f>
        <v>419.99999999999994</v>
      </c>
      <c r="G85" s="58">
        <f>C85*D85</f>
        <v>419.99999999999994</v>
      </c>
      <c r="H85" s="311"/>
      <c r="I85" s="330"/>
    </row>
    <row r="86" spans="2:10" x14ac:dyDescent="0.25">
      <c r="B86" s="399" t="s">
        <v>264</v>
      </c>
      <c r="C86" s="400"/>
      <c r="D86" s="400"/>
      <c r="E86" s="403"/>
      <c r="F86" s="403"/>
      <c r="G86" s="405">
        <f>G87+G88</f>
        <v>200</v>
      </c>
      <c r="H86" s="406"/>
      <c r="J86" s="331"/>
    </row>
    <row r="87" spans="2:10" x14ac:dyDescent="0.25">
      <c r="B87" s="56" t="s">
        <v>76</v>
      </c>
      <c r="C87" s="56">
        <v>100</v>
      </c>
      <c r="D87" s="56">
        <v>2</v>
      </c>
      <c r="E87" s="57"/>
      <c r="F87" s="57">
        <f>G87</f>
        <v>200</v>
      </c>
      <c r="G87" s="58">
        <f>C87*D87</f>
        <v>200</v>
      </c>
      <c r="H87" s="311"/>
    </row>
    <row r="88" spans="2:10" x14ac:dyDescent="0.25">
      <c r="B88" s="56"/>
      <c r="C88" s="56"/>
      <c r="D88" s="56"/>
      <c r="E88" s="57"/>
      <c r="F88" s="57"/>
      <c r="G88" s="58"/>
      <c r="H88" s="311"/>
    </row>
    <row r="89" spans="2:10" x14ac:dyDescent="0.25">
      <c r="B89" s="56"/>
      <c r="C89" s="56"/>
      <c r="D89" s="56"/>
      <c r="E89" s="57"/>
      <c r="F89" s="57"/>
      <c r="G89" s="58"/>
      <c r="H89" s="311"/>
    </row>
    <row r="90" spans="2:10" x14ac:dyDescent="0.25">
      <c r="B90" s="267" t="s">
        <v>265</v>
      </c>
      <c r="C90" s="268"/>
      <c r="D90" s="268"/>
      <c r="E90" s="269">
        <f>SUM(E76:E89)</f>
        <v>0</v>
      </c>
      <c r="F90" s="269">
        <f>SUM(F76:F89)</f>
        <v>31160</v>
      </c>
      <c r="G90" s="270">
        <f>G77+G82+G86</f>
        <v>31160</v>
      </c>
      <c r="H90" s="312"/>
    </row>
    <row r="93" spans="2:10" ht="15.75" x14ac:dyDescent="0.25">
      <c r="B93" s="606" t="s">
        <v>435</v>
      </c>
      <c r="C93" s="606"/>
      <c r="D93" s="606"/>
      <c r="E93" s="606"/>
      <c r="F93" s="606"/>
      <c r="G93" s="606"/>
      <c r="H93" s="606"/>
    </row>
    <row r="94" spans="2:10" x14ac:dyDescent="0.25">
      <c r="B94" s="611" t="s">
        <v>26</v>
      </c>
      <c r="C94" s="613" t="s">
        <v>115</v>
      </c>
      <c r="D94" s="613" t="s">
        <v>273</v>
      </c>
      <c r="E94" s="615" t="s">
        <v>117</v>
      </c>
      <c r="F94" s="612"/>
      <c r="G94" s="611" t="s">
        <v>16</v>
      </c>
      <c r="H94" s="309"/>
    </row>
    <row r="95" spans="2:10" x14ac:dyDescent="0.25">
      <c r="B95" s="612"/>
      <c r="C95" s="614"/>
      <c r="D95" s="614"/>
      <c r="E95" s="314" t="s">
        <v>118</v>
      </c>
      <c r="F95" s="314" t="s">
        <v>119</v>
      </c>
      <c r="G95" s="612"/>
      <c r="H95" s="313"/>
    </row>
    <row r="96" spans="2:10" x14ac:dyDescent="0.25">
      <c r="B96" s="51" t="s">
        <v>256</v>
      </c>
      <c r="C96" s="52"/>
      <c r="D96" s="52"/>
      <c r="E96" s="52"/>
      <c r="F96" s="52"/>
      <c r="G96" s="53"/>
      <c r="H96" s="310"/>
      <c r="I96" t="s">
        <v>420</v>
      </c>
    </row>
    <row r="97" spans="2:10" x14ac:dyDescent="0.25">
      <c r="B97" s="399" t="s">
        <v>257</v>
      </c>
      <c r="C97" s="400"/>
      <c r="D97" s="400"/>
      <c r="E97" s="400"/>
      <c r="F97" s="400"/>
      <c r="G97" s="401">
        <f>G98+G99+G100</f>
        <v>33000</v>
      </c>
      <c r="H97" s="402"/>
      <c r="I97" s="397" t="s">
        <v>258</v>
      </c>
      <c r="J97" s="397" t="s">
        <v>134</v>
      </c>
    </row>
    <row r="98" spans="2:10" x14ac:dyDescent="0.25">
      <c r="B98" s="265" t="s">
        <v>259</v>
      </c>
      <c r="C98" s="266">
        <f>C58</f>
        <v>20</v>
      </c>
      <c r="D98" s="265">
        <f>I103</f>
        <v>750</v>
      </c>
      <c r="E98" s="57"/>
      <c r="F98" s="57">
        <f>G98</f>
        <v>15000</v>
      </c>
      <c r="G98" s="58">
        <f>D98*C98</f>
        <v>15000</v>
      </c>
      <c r="H98" s="311"/>
      <c r="I98" s="397">
        <v>400</v>
      </c>
      <c r="J98" s="397">
        <v>20</v>
      </c>
    </row>
    <row r="99" spans="2:10" x14ac:dyDescent="0.25">
      <c r="B99" s="265" t="s">
        <v>260</v>
      </c>
      <c r="C99" s="266">
        <f>C59</f>
        <v>3</v>
      </c>
      <c r="D99" s="265">
        <f>J105</f>
        <v>3000</v>
      </c>
      <c r="E99" s="57"/>
      <c r="F99" s="57">
        <f>G99</f>
        <v>9000</v>
      </c>
      <c r="G99" s="58">
        <f>C99*D99</f>
        <v>9000</v>
      </c>
      <c r="H99" s="311"/>
      <c r="I99" s="397">
        <v>50</v>
      </c>
      <c r="J99" s="397">
        <f>(I99*J98)/I98</f>
        <v>2.5</v>
      </c>
    </row>
    <row r="100" spans="2:10" x14ac:dyDescent="0.25">
      <c r="B100" s="56" t="s">
        <v>261</v>
      </c>
      <c r="C100" s="61">
        <v>1.5</v>
      </c>
      <c r="D100" s="56">
        <f>I102</f>
        <v>6000</v>
      </c>
      <c r="E100" s="57"/>
      <c r="F100" s="57">
        <f>G100</f>
        <v>9000</v>
      </c>
      <c r="G100" s="58">
        <f>C100*D100</f>
        <v>9000</v>
      </c>
      <c r="H100" s="311"/>
      <c r="I100" s="397"/>
      <c r="J100" s="397"/>
    </row>
    <row r="101" spans="2:10" x14ac:dyDescent="0.25">
      <c r="B101" s="56"/>
      <c r="C101" s="56"/>
      <c r="D101" s="56"/>
      <c r="E101" s="57"/>
      <c r="F101" s="57"/>
      <c r="G101" s="53"/>
      <c r="H101" s="310"/>
      <c r="I101" s="397">
        <f>I98/I99</f>
        <v>8</v>
      </c>
      <c r="J101" s="397">
        <v>1</v>
      </c>
    </row>
    <row r="102" spans="2:10" x14ac:dyDescent="0.25">
      <c r="B102" s="399" t="s">
        <v>262</v>
      </c>
      <c r="C102" s="400"/>
      <c r="D102" s="400"/>
      <c r="E102" s="403"/>
      <c r="F102" s="403"/>
      <c r="G102" s="401">
        <f>G103+G104+G105</f>
        <v>1400</v>
      </c>
      <c r="H102" s="402"/>
      <c r="I102" s="397">
        <v>6000</v>
      </c>
      <c r="J102" s="398" t="s">
        <v>263</v>
      </c>
    </row>
    <row r="103" spans="2:10" x14ac:dyDescent="0.25">
      <c r="B103" s="56" t="s">
        <v>384</v>
      </c>
      <c r="C103" s="61">
        <f>Resumen!H14/3</f>
        <v>0.23333333333333331</v>
      </c>
      <c r="D103" s="56">
        <f>'Presupuesto de ventas'!G7/3</f>
        <v>2000</v>
      </c>
      <c r="E103" s="118"/>
      <c r="F103" s="57">
        <f>G103</f>
        <v>466.66666666666663</v>
      </c>
      <c r="G103" s="58">
        <f>C103*D103</f>
        <v>466.66666666666663</v>
      </c>
      <c r="H103" s="311"/>
      <c r="I103" s="397">
        <f>I102/I101</f>
        <v>750</v>
      </c>
      <c r="J103" s="397"/>
    </row>
    <row r="104" spans="2:10" x14ac:dyDescent="0.25">
      <c r="B104" s="56" t="s">
        <v>385</v>
      </c>
      <c r="C104" s="61">
        <f>C103</f>
        <v>0.23333333333333331</v>
      </c>
      <c r="D104" s="56">
        <f>D103</f>
        <v>2000</v>
      </c>
      <c r="E104" s="118"/>
      <c r="F104" s="57">
        <f>G104</f>
        <v>466.66666666666663</v>
      </c>
      <c r="G104" s="58">
        <f>C104*D104</f>
        <v>466.66666666666663</v>
      </c>
      <c r="H104" s="311"/>
    </row>
    <row r="105" spans="2:10" x14ac:dyDescent="0.25">
      <c r="B105" s="56" t="s">
        <v>443</v>
      </c>
      <c r="C105" s="61">
        <f>C104</f>
        <v>0.23333333333333331</v>
      </c>
      <c r="D105" s="56">
        <f>D104</f>
        <v>2000</v>
      </c>
      <c r="E105" s="118"/>
      <c r="F105" s="57">
        <f>G105</f>
        <v>466.66666666666663</v>
      </c>
      <c r="G105" s="58">
        <f>C105*D105</f>
        <v>466.66666666666663</v>
      </c>
      <c r="H105" s="311"/>
      <c r="I105" t="s">
        <v>421</v>
      </c>
      <c r="J105">
        <f>I102/2</f>
        <v>3000</v>
      </c>
    </row>
    <row r="106" spans="2:10" x14ac:dyDescent="0.25">
      <c r="B106" s="399" t="s">
        <v>264</v>
      </c>
      <c r="C106" s="400"/>
      <c r="D106" s="400"/>
      <c r="E106" s="403"/>
      <c r="F106" s="403"/>
      <c r="G106" s="405">
        <f>G107+G108</f>
        <v>200</v>
      </c>
      <c r="H106" s="406"/>
      <c r="I106" s="330"/>
    </row>
    <row r="107" spans="2:10" x14ac:dyDescent="0.25">
      <c r="B107" s="56" t="s">
        <v>76</v>
      </c>
      <c r="C107" s="56">
        <v>100</v>
      </c>
      <c r="D107" s="56">
        <v>2</v>
      </c>
      <c r="E107" s="57"/>
      <c r="F107" s="57">
        <f>G107</f>
        <v>200</v>
      </c>
      <c r="G107" s="58">
        <f>C107*D107</f>
        <v>200</v>
      </c>
      <c r="H107" s="311"/>
      <c r="J107" s="331"/>
    </row>
    <row r="108" spans="2:10" x14ac:dyDescent="0.25">
      <c r="B108" s="56"/>
      <c r="C108" s="56"/>
      <c r="D108" s="56"/>
      <c r="E108" s="57"/>
      <c r="F108" s="57"/>
      <c r="G108" s="58"/>
      <c r="H108" s="311"/>
    </row>
    <row r="109" spans="2:10" x14ac:dyDescent="0.25">
      <c r="B109" s="56"/>
      <c r="C109" s="56"/>
      <c r="D109" s="56"/>
      <c r="E109" s="57"/>
      <c r="F109" s="57"/>
      <c r="G109" s="58"/>
      <c r="H109" s="311"/>
    </row>
    <row r="110" spans="2:10" x14ac:dyDescent="0.25">
      <c r="B110" s="267" t="s">
        <v>265</v>
      </c>
      <c r="C110" s="268"/>
      <c r="D110" s="268"/>
      <c r="E110" s="269">
        <f>SUM(E96:E109)</f>
        <v>0</v>
      </c>
      <c r="F110" s="269">
        <f>SUM(F96:F109)</f>
        <v>34599.999999999993</v>
      </c>
      <c r="G110" s="270">
        <f>G97+G102+G106</f>
        <v>34600</v>
      </c>
      <c r="H110" s="312"/>
    </row>
    <row r="113" spans="2:10" ht="15.75" x14ac:dyDescent="0.25">
      <c r="B113" s="606" t="s">
        <v>436</v>
      </c>
      <c r="C113" s="606"/>
      <c r="D113" s="606"/>
      <c r="E113" s="606"/>
      <c r="F113" s="606"/>
      <c r="G113" s="606"/>
      <c r="H113" s="606"/>
    </row>
    <row r="114" spans="2:10" x14ac:dyDescent="0.25">
      <c r="B114" s="611" t="s">
        <v>26</v>
      </c>
      <c r="C114" s="613" t="s">
        <v>115</v>
      </c>
      <c r="D114" s="613" t="s">
        <v>273</v>
      </c>
      <c r="E114" s="615" t="s">
        <v>117</v>
      </c>
      <c r="F114" s="612"/>
      <c r="G114" s="611" t="s">
        <v>16</v>
      </c>
      <c r="H114" s="309"/>
    </row>
    <row r="115" spans="2:10" x14ac:dyDescent="0.25">
      <c r="B115" s="612"/>
      <c r="C115" s="614"/>
      <c r="D115" s="614"/>
      <c r="E115" s="314" t="s">
        <v>118</v>
      </c>
      <c r="F115" s="314" t="s">
        <v>119</v>
      </c>
      <c r="G115" s="612"/>
      <c r="H115" s="313"/>
      <c r="I115" t="s">
        <v>420</v>
      </c>
    </row>
    <row r="116" spans="2:10" x14ac:dyDescent="0.25">
      <c r="B116" s="51" t="s">
        <v>256</v>
      </c>
      <c r="C116" s="52"/>
      <c r="D116" s="52"/>
      <c r="E116" s="52"/>
      <c r="F116" s="52"/>
      <c r="G116" s="53"/>
      <c r="H116" s="310"/>
      <c r="I116" s="397" t="s">
        <v>258</v>
      </c>
      <c r="J116" s="397" t="s">
        <v>134</v>
      </c>
    </row>
    <row r="117" spans="2:10" x14ac:dyDescent="0.25">
      <c r="B117" s="399" t="s">
        <v>257</v>
      </c>
      <c r="C117" s="400"/>
      <c r="D117" s="400"/>
      <c r="E117" s="400"/>
      <c r="F117" s="400"/>
      <c r="G117" s="401">
        <f>G118+G119+G120</f>
        <v>36300</v>
      </c>
      <c r="H117" s="402"/>
      <c r="I117" s="397">
        <v>400</v>
      </c>
      <c r="J117" s="397">
        <v>20</v>
      </c>
    </row>
    <row r="118" spans="2:10" x14ac:dyDescent="0.25">
      <c r="B118" s="265" t="s">
        <v>259</v>
      </c>
      <c r="C118" s="266">
        <f>C98</f>
        <v>20</v>
      </c>
      <c r="D118" s="265">
        <f>I122</f>
        <v>825</v>
      </c>
      <c r="E118" s="57"/>
      <c r="F118" s="57">
        <f>G118</f>
        <v>16500</v>
      </c>
      <c r="G118" s="58">
        <f>D118*C118</f>
        <v>16500</v>
      </c>
      <c r="H118" s="311"/>
      <c r="I118" s="397">
        <v>50</v>
      </c>
      <c r="J118" s="397">
        <f>(I118*J117)/I117</f>
        <v>2.5</v>
      </c>
    </row>
    <row r="119" spans="2:10" x14ac:dyDescent="0.25">
      <c r="B119" s="265" t="s">
        <v>260</v>
      </c>
      <c r="C119" s="266">
        <f>C99</f>
        <v>3</v>
      </c>
      <c r="D119" s="265">
        <f>J124</f>
        <v>3300</v>
      </c>
      <c r="E119" s="57"/>
      <c r="F119" s="57">
        <f>G119</f>
        <v>9900</v>
      </c>
      <c r="G119" s="58">
        <f>C119*D119</f>
        <v>9900</v>
      </c>
      <c r="H119" s="311"/>
      <c r="I119" s="397"/>
      <c r="J119" s="397"/>
    </row>
    <row r="120" spans="2:10" x14ac:dyDescent="0.25">
      <c r="B120" s="56" t="s">
        <v>261</v>
      </c>
      <c r="C120" s="61">
        <v>1.5</v>
      </c>
      <c r="D120" s="56">
        <f>I121</f>
        <v>6600</v>
      </c>
      <c r="E120" s="57"/>
      <c r="F120" s="57">
        <f>G120</f>
        <v>9900</v>
      </c>
      <c r="G120" s="58">
        <f>C120*D120</f>
        <v>9900</v>
      </c>
      <c r="H120" s="311"/>
      <c r="I120" s="397">
        <f>I117/I118</f>
        <v>8</v>
      </c>
      <c r="J120" s="397">
        <v>1</v>
      </c>
    </row>
    <row r="121" spans="2:10" x14ac:dyDescent="0.25">
      <c r="B121" s="56"/>
      <c r="C121" s="56"/>
      <c r="D121" s="56"/>
      <c r="E121" s="57"/>
      <c r="F121" s="57"/>
      <c r="G121" s="53"/>
      <c r="H121" s="310"/>
      <c r="I121" s="397">
        <v>6600</v>
      </c>
      <c r="J121" s="398" t="s">
        <v>263</v>
      </c>
    </row>
    <row r="122" spans="2:10" x14ac:dyDescent="0.25">
      <c r="B122" s="399" t="s">
        <v>262</v>
      </c>
      <c r="C122" s="400"/>
      <c r="D122" s="400"/>
      <c r="E122" s="403"/>
      <c r="F122" s="403"/>
      <c r="G122" s="401">
        <f>SUM(G123:G126)</f>
        <v>1155</v>
      </c>
      <c r="H122" s="402"/>
      <c r="I122" s="397">
        <f>I121/I120</f>
        <v>825</v>
      </c>
      <c r="J122" s="397"/>
    </row>
    <row r="123" spans="2:10" x14ac:dyDescent="0.25">
      <c r="B123" s="56" t="s">
        <v>384</v>
      </c>
      <c r="C123" s="61">
        <f>Resumen!H14/4</f>
        <v>0.17499999999999999</v>
      </c>
      <c r="D123" s="56">
        <f>'Presupuesto de ventas'!H7/4</f>
        <v>1650</v>
      </c>
      <c r="E123" s="118"/>
      <c r="F123" s="57">
        <f>G123</f>
        <v>288.75</v>
      </c>
      <c r="G123" s="58">
        <f>C123*D123</f>
        <v>288.75</v>
      </c>
      <c r="H123" s="311"/>
    </row>
    <row r="124" spans="2:10" x14ac:dyDescent="0.25">
      <c r="B124" s="56" t="s">
        <v>385</v>
      </c>
      <c r="C124" s="61">
        <f t="shared" ref="C124:D126" si="2">C123</f>
        <v>0.17499999999999999</v>
      </c>
      <c r="D124" s="56">
        <f t="shared" si="2"/>
        <v>1650</v>
      </c>
      <c r="E124" s="118"/>
      <c r="F124" s="57">
        <f>G124</f>
        <v>288.75</v>
      </c>
      <c r="G124" s="58">
        <f>C124*D124</f>
        <v>288.75</v>
      </c>
      <c r="H124" s="311"/>
      <c r="I124" t="s">
        <v>421</v>
      </c>
      <c r="J124">
        <f>I121/2</f>
        <v>3300</v>
      </c>
    </row>
    <row r="125" spans="2:10" x14ac:dyDescent="0.25">
      <c r="B125" s="56" t="s">
        <v>443</v>
      </c>
      <c r="C125" s="61">
        <f t="shared" si="2"/>
        <v>0.17499999999999999</v>
      </c>
      <c r="D125" s="56">
        <f t="shared" si="2"/>
        <v>1650</v>
      </c>
      <c r="E125" s="118"/>
      <c r="F125" s="57">
        <f>G125</f>
        <v>288.75</v>
      </c>
      <c r="G125" s="58">
        <f>C125*D125</f>
        <v>288.75</v>
      </c>
      <c r="H125" s="406"/>
      <c r="I125" s="330"/>
    </row>
    <row r="126" spans="2:10" x14ac:dyDescent="0.25">
      <c r="B126" s="56" t="s">
        <v>444</v>
      </c>
      <c r="C126" s="61">
        <f t="shared" si="2"/>
        <v>0.17499999999999999</v>
      </c>
      <c r="D126" s="56">
        <f t="shared" si="2"/>
        <v>1650</v>
      </c>
      <c r="E126" s="118"/>
      <c r="F126" s="57">
        <f>G126</f>
        <v>288.75</v>
      </c>
      <c r="G126" s="58">
        <f>C126*D126</f>
        <v>288.75</v>
      </c>
      <c r="H126" s="311"/>
      <c r="J126" s="331"/>
    </row>
    <row r="127" spans="2:10" x14ac:dyDescent="0.25">
      <c r="B127" s="399" t="s">
        <v>264</v>
      </c>
      <c r="C127" s="400"/>
      <c r="D127" s="400"/>
      <c r="E127" s="403"/>
      <c r="F127" s="403"/>
      <c r="G127" s="405">
        <f>G128+G129</f>
        <v>200</v>
      </c>
      <c r="H127" s="311"/>
    </row>
    <row r="128" spans="2:10" x14ac:dyDescent="0.25">
      <c r="B128" s="56" t="s">
        <v>76</v>
      </c>
      <c r="C128" s="56">
        <v>100</v>
      </c>
      <c r="D128" s="56">
        <v>2</v>
      </c>
      <c r="E128" s="57"/>
      <c r="F128" s="57">
        <f>G128</f>
        <v>200</v>
      </c>
      <c r="G128" s="58">
        <f>C128*D128</f>
        <v>200</v>
      </c>
      <c r="H128" s="311"/>
    </row>
    <row r="129" spans="2:10" x14ac:dyDescent="0.25">
      <c r="B129" s="56"/>
      <c r="C129" s="56"/>
      <c r="D129" s="56"/>
      <c r="E129" s="57"/>
      <c r="F129" s="57"/>
      <c r="G129" s="58"/>
      <c r="H129" s="312"/>
    </row>
    <row r="130" spans="2:10" x14ac:dyDescent="0.25">
      <c r="B130" s="56"/>
      <c r="C130" s="56"/>
      <c r="D130" s="56"/>
      <c r="E130" s="57"/>
      <c r="F130" s="57"/>
      <c r="G130" s="58"/>
    </row>
    <row r="131" spans="2:10" x14ac:dyDescent="0.25">
      <c r="B131" s="267" t="s">
        <v>265</v>
      </c>
      <c r="C131" s="268"/>
      <c r="D131" s="268"/>
      <c r="E131" s="269">
        <f>SUM(E116:E130)</f>
        <v>0</v>
      </c>
      <c r="F131" s="269">
        <f>SUM(F116:F130)</f>
        <v>37655</v>
      </c>
      <c r="G131" s="270">
        <f>G117+G122+G127</f>
        <v>37655</v>
      </c>
    </row>
    <row r="134" spans="2:10" ht="24" customHeight="1" x14ac:dyDescent="0.25">
      <c r="B134" s="610"/>
      <c r="C134" s="610"/>
      <c r="D134" s="610"/>
      <c r="E134" s="610"/>
      <c r="F134" s="610"/>
      <c r="G134" s="610"/>
      <c r="H134" s="610"/>
    </row>
    <row r="135" spans="2:10" ht="38.25" x14ac:dyDescent="0.25">
      <c r="B135" s="373" t="s">
        <v>26</v>
      </c>
      <c r="C135" s="375" t="s">
        <v>115</v>
      </c>
      <c r="D135" s="375" t="s">
        <v>273</v>
      </c>
      <c r="E135" s="377" t="s">
        <v>117</v>
      </c>
      <c r="F135" s="374"/>
      <c r="G135" s="373" t="s">
        <v>16</v>
      </c>
      <c r="H135" s="309"/>
    </row>
    <row r="136" spans="2:10" x14ac:dyDescent="0.25">
      <c r="B136" s="374"/>
      <c r="C136" s="376"/>
      <c r="D136" s="376"/>
      <c r="E136" s="377" t="s">
        <v>118</v>
      </c>
      <c r="F136" s="377" t="s">
        <v>119</v>
      </c>
      <c r="G136" s="374"/>
      <c r="H136" s="371"/>
    </row>
    <row r="137" spans="2:10" x14ac:dyDescent="0.25">
      <c r="B137" s="51" t="s">
        <v>256</v>
      </c>
      <c r="C137" s="52"/>
      <c r="D137" s="52"/>
      <c r="E137" s="52"/>
      <c r="F137" s="52"/>
      <c r="G137" s="53"/>
      <c r="H137" s="310"/>
      <c r="I137" t="s">
        <v>420</v>
      </c>
    </row>
    <row r="138" spans="2:10" x14ac:dyDescent="0.25">
      <c r="B138" s="399" t="s">
        <v>257</v>
      </c>
      <c r="C138" s="400"/>
      <c r="D138" s="400"/>
      <c r="E138" s="400"/>
      <c r="F138" s="400"/>
      <c r="G138" s="401">
        <f>G139+G140+G141</f>
        <v>39600</v>
      </c>
      <c r="H138" s="402"/>
      <c r="I138" s="397" t="s">
        <v>258</v>
      </c>
      <c r="J138" s="397" t="s">
        <v>134</v>
      </c>
    </row>
    <row r="139" spans="2:10" x14ac:dyDescent="0.25">
      <c r="B139" s="265" t="s">
        <v>259</v>
      </c>
      <c r="C139" s="266">
        <f>C98</f>
        <v>20</v>
      </c>
      <c r="D139" s="265">
        <f>I144</f>
        <v>900</v>
      </c>
      <c r="E139" s="57"/>
      <c r="F139" s="57">
        <f>G139</f>
        <v>18000</v>
      </c>
      <c r="G139" s="58">
        <f>D139*C139</f>
        <v>18000</v>
      </c>
      <c r="H139" s="311"/>
      <c r="I139" s="397">
        <v>400</v>
      </c>
      <c r="J139" s="397">
        <v>20</v>
      </c>
    </row>
    <row r="140" spans="2:10" ht="15.75" customHeight="1" x14ac:dyDescent="0.25">
      <c r="B140" s="265" t="s">
        <v>260</v>
      </c>
      <c r="C140" s="266">
        <f>C99</f>
        <v>3</v>
      </c>
      <c r="D140" s="265">
        <f>J146</f>
        <v>3600</v>
      </c>
      <c r="E140" s="57"/>
      <c r="F140" s="57">
        <f>G140</f>
        <v>10800</v>
      </c>
      <c r="G140" s="58">
        <f>C140*D140</f>
        <v>10800</v>
      </c>
      <c r="H140" s="311"/>
      <c r="I140" s="397">
        <v>50</v>
      </c>
      <c r="J140" s="397">
        <f>(I140*J139)/I139</f>
        <v>2.5</v>
      </c>
    </row>
    <row r="141" spans="2:10" ht="15" customHeight="1" x14ac:dyDescent="0.25">
      <c r="B141" s="56" t="s">
        <v>261</v>
      </c>
      <c r="C141" s="61">
        <v>1.5</v>
      </c>
      <c r="D141" s="56">
        <f>I143</f>
        <v>7200</v>
      </c>
      <c r="E141" s="57"/>
      <c r="F141" s="57">
        <f>G141</f>
        <v>10800</v>
      </c>
      <c r="G141" s="58">
        <f>C141*D141</f>
        <v>10800</v>
      </c>
      <c r="H141" s="311"/>
      <c r="I141" s="397"/>
      <c r="J141" s="397"/>
    </row>
    <row r="142" spans="2:10" x14ac:dyDescent="0.25">
      <c r="B142" s="56"/>
      <c r="C142" s="56"/>
      <c r="D142" s="56"/>
      <c r="E142" s="57"/>
      <c r="F142" s="57"/>
      <c r="G142" s="53"/>
      <c r="H142" s="310"/>
      <c r="I142" s="397">
        <f>I139/I140</f>
        <v>8</v>
      </c>
      <c r="J142" s="397">
        <v>1</v>
      </c>
    </row>
    <row r="143" spans="2:10" x14ac:dyDescent="0.25">
      <c r="B143" s="399" t="s">
        <v>262</v>
      </c>
      <c r="C143" s="400"/>
      <c r="D143" s="400"/>
      <c r="E143" s="403"/>
      <c r="F143" s="403"/>
      <c r="G143" s="401">
        <f>SUM(G144:G147)</f>
        <v>1260</v>
      </c>
      <c r="H143" s="402"/>
      <c r="I143" s="397">
        <v>7200</v>
      </c>
      <c r="J143" s="398" t="s">
        <v>263</v>
      </c>
    </row>
    <row r="144" spans="2:10" x14ac:dyDescent="0.25">
      <c r="B144" s="56" t="s">
        <v>384</v>
      </c>
      <c r="C144" s="61">
        <f>Resumen!H14/4</f>
        <v>0.17499999999999999</v>
      </c>
      <c r="D144" s="56">
        <f>'Presupuesto de ventas'!I7/4</f>
        <v>1800</v>
      </c>
      <c r="E144" s="118"/>
      <c r="F144" s="57">
        <f>G144</f>
        <v>315</v>
      </c>
      <c r="G144" s="58">
        <f>C144*D144</f>
        <v>315</v>
      </c>
      <c r="H144" s="311"/>
      <c r="I144" s="397">
        <f>I143/I142</f>
        <v>900</v>
      </c>
      <c r="J144" s="397"/>
    </row>
    <row r="145" spans="2:10" x14ac:dyDescent="0.25">
      <c r="B145" s="56" t="s">
        <v>385</v>
      </c>
      <c r="C145" s="61">
        <f>C144</f>
        <v>0.17499999999999999</v>
      </c>
      <c r="D145" s="56">
        <f>D144</f>
        <v>1800</v>
      </c>
      <c r="E145" s="118"/>
      <c r="F145" s="57">
        <f>G145</f>
        <v>315</v>
      </c>
      <c r="G145" s="58">
        <f>C145*D145</f>
        <v>315</v>
      </c>
      <c r="H145" s="311"/>
    </row>
    <row r="146" spans="2:10" x14ac:dyDescent="0.25">
      <c r="B146" s="56" t="s">
        <v>445</v>
      </c>
      <c r="C146" s="61">
        <f>C145</f>
        <v>0.17499999999999999</v>
      </c>
      <c r="D146" s="56">
        <f t="shared" ref="D146:D147" si="3">D145</f>
        <v>1800</v>
      </c>
      <c r="E146" s="118"/>
      <c r="F146" s="57"/>
      <c r="G146" s="58">
        <f t="shared" ref="G146:G147" si="4">C146*D146</f>
        <v>315</v>
      </c>
      <c r="H146" s="311"/>
      <c r="I146" t="s">
        <v>421</v>
      </c>
      <c r="J146">
        <f>I143/2</f>
        <v>3600</v>
      </c>
    </row>
    <row r="147" spans="2:10" x14ac:dyDescent="0.25">
      <c r="B147" s="56" t="s">
        <v>444</v>
      </c>
      <c r="C147" s="61">
        <f>C146</f>
        <v>0.17499999999999999</v>
      </c>
      <c r="D147" s="56">
        <f t="shared" si="3"/>
        <v>1800</v>
      </c>
      <c r="E147" s="118"/>
      <c r="F147" s="57"/>
      <c r="G147" s="58">
        <f t="shared" si="4"/>
        <v>315</v>
      </c>
      <c r="H147" s="311"/>
      <c r="I147" s="330"/>
    </row>
    <row r="148" spans="2:10" x14ac:dyDescent="0.25">
      <c r="B148" s="399" t="s">
        <v>264</v>
      </c>
      <c r="C148" s="400"/>
      <c r="D148" s="400"/>
      <c r="E148" s="403"/>
      <c r="F148" s="403"/>
      <c r="G148" s="405">
        <f>G149+G150</f>
        <v>200</v>
      </c>
      <c r="H148" s="406"/>
      <c r="J148" s="331"/>
    </row>
    <row r="149" spans="2:10" x14ac:dyDescent="0.25">
      <c r="B149" s="56" t="s">
        <v>76</v>
      </c>
      <c r="C149" s="56">
        <v>100</v>
      </c>
      <c r="D149" s="56">
        <v>2</v>
      </c>
      <c r="E149" s="57"/>
      <c r="F149" s="57">
        <f>G149</f>
        <v>200</v>
      </c>
      <c r="G149" s="58">
        <f>C149*D149</f>
        <v>200</v>
      </c>
      <c r="H149" s="311"/>
    </row>
    <row r="150" spans="2:10" x14ac:dyDescent="0.25">
      <c r="B150" s="56"/>
      <c r="C150" s="56"/>
      <c r="D150" s="56"/>
      <c r="E150" s="57"/>
      <c r="F150" s="57"/>
      <c r="G150" s="58"/>
      <c r="H150" s="311"/>
    </row>
    <row r="151" spans="2:10" x14ac:dyDescent="0.25">
      <c r="B151" s="56"/>
      <c r="C151" s="56"/>
      <c r="D151" s="56"/>
      <c r="E151" s="57"/>
      <c r="F151" s="57"/>
      <c r="G151" s="58"/>
      <c r="H151" s="311"/>
    </row>
    <row r="152" spans="2:10" x14ac:dyDescent="0.25">
      <c r="B152" s="267" t="s">
        <v>265</v>
      </c>
      <c r="C152" s="268"/>
      <c r="D152" s="268"/>
      <c r="E152" s="269">
        <f>SUM(E137:E151)</f>
        <v>0</v>
      </c>
      <c r="F152" s="269">
        <f>SUM(F137:F151)</f>
        <v>40430</v>
      </c>
      <c r="G152" s="270">
        <f>G138+G143+G148</f>
        <v>41060</v>
      </c>
      <c r="H152" s="312"/>
    </row>
    <row r="155" spans="2:10" ht="21" customHeight="1" x14ac:dyDescent="0.25">
      <c r="B155" s="610" t="s">
        <v>437</v>
      </c>
      <c r="C155" s="610"/>
      <c r="D155" s="610"/>
      <c r="E155" s="610"/>
      <c r="F155" s="610"/>
      <c r="G155" s="610"/>
      <c r="H155" s="610"/>
    </row>
    <row r="156" spans="2:10" ht="38.25" x14ac:dyDescent="0.25">
      <c r="B156" s="373" t="s">
        <v>26</v>
      </c>
      <c r="C156" s="375" t="s">
        <v>115</v>
      </c>
      <c r="D156" s="375" t="s">
        <v>273</v>
      </c>
      <c r="E156" s="377" t="s">
        <v>117</v>
      </c>
      <c r="F156" s="374"/>
      <c r="G156" s="373" t="s">
        <v>16</v>
      </c>
      <c r="H156" s="309"/>
      <c r="I156" t="s">
        <v>420</v>
      </c>
    </row>
    <row r="157" spans="2:10" x14ac:dyDescent="0.25">
      <c r="B157" s="374"/>
      <c r="C157" s="376"/>
      <c r="D157" s="376"/>
      <c r="E157" s="377" t="s">
        <v>118</v>
      </c>
      <c r="F157" s="377" t="s">
        <v>119</v>
      </c>
      <c r="G157" s="374"/>
      <c r="H157" s="371"/>
      <c r="I157" s="397" t="s">
        <v>258</v>
      </c>
      <c r="J157" s="397" t="s">
        <v>134</v>
      </c>
    </row>
    <row r="158" spans="2:10" x14ac:dyDescent="0.25">
      <c r="B158" s="51" t="s">
        <v>256</v>
      </c>
      <c r="C158" s="52"/>
      <c r="D158" s="52"/>
      <c r="E158" s="52"/>
      <c r="F158" s="52"/>
      <c r="G158" s="53"/>
      <c r="H158" s="310"/>
      <c r="I158" s="397">
        <v>400</v>
      </c>
      <c r="J158" s="397">
        <v>20</v>
      </c>
    </row>
    <row r="159" spans="2:10" x14ac:dyDescent="0.25">
      <c r="B159" s="399" t="s">
        <v>257</v>
      </c>
      <c r="C159" s="400"/>
      <c r="D159" s="400"/>
      <c r="E159" s="400"/>
      <c r="F159" s="400"/>
      <c r="G159" s="401">
        <f>G160+G161+G162</f>
        <v>42900</v>
      </c>
      <c r="H159" s="402"/>
      <c r="I159" s="397">
        <v>50</v>
      </c>
      <c r="J159" s="397">
        <f>(I159*J158)/I158</f>
        <v>2.5</v>
      </c>
    </row>
    <row r="160" spans="2:10" x14ac:dyDescent="0.25">
      <c r="B160" s="265" t="s">
        <v>259</v>
      </c>
      <c r="C160" s="266">
        <f>C139</f>
        <v>20</v>
      </c>
      <c r="D160" s="265">
        <f>I163</f>
        <v>975</v>
      </c>
      <c r="E160" s="57"/>
      <c r="F160" s="57">
        <f>G160</f>
        <v>19500</v>
      </c>
      <c r="G160" s="58">
        <f>D160*C160</f>
        <v>19500</v>
      </c>
      <c r="H160" s="311"/>
      <c r="I160" s="397"/>
      <c r="J160" s="397"/>
    </row>
    <row r="161" spans="2:10" ht="15.75" customHeight="1" x14ac:dyDescent="0.25">
      <c r="B161" s="265" t="s">
        <v>260</v>
      </c>
      <c r="C161" s="266">
        <f>C140</f>
        <v>3</v>
      </c>
      <c r="D161" s="265">
        <f>J165</f>
        <v>3900</v>
      </c>
      <c r="E161" s="57"/>
      <c r="F161" s="57">
        <f>G161</f>
        <v>11700</v>
      </c>
      <c r="G161" s="58">
        <f>C161*D161</f>
        <v>11700</v>
      </c>
      <c r="H161" s="311"/>
      <c r="I161" s="397">
        <f>I158/I159</f>
        <v>8</v>
      </c>
      <c r="J161" s="397">
        <v>1</v>
      </c>
    </row>
    <row r="162" spans="2:10" ht="15" customHeight="1" x14ac:dyDescent="0.25">
      <c r="B162" s="56" t="s">
        <v>261</v>
      </c>
      <c r="C162" s="61">
        <v>1.5</v>
      </c>
      <c r="D162" s="56">
        <f>I162</f>
        <v>7800</v>
      </c>
      <c r="E162" s="57"/>
      <c r="F162" s="57">
        <f>G162</f>
        <v>11700</v>
      </c>
      <c r="G162" s="58">
        <f>C162*D162</f>
        <v>11700</v>
      </c>
      <c r="H162" s="311"/>
      <c r="I162" s="397">
        <v>7800</v>
      </c>
      <c r="J162" s="398" t="s">
        <v>263</v>
      </c>
    </row>
    <row r="163" spans="2:10" x14ac:dyDescent="0.25">
      <c r="B163" s="56"/>
      <c r="C163" s="56"/>
      <c r="D163" s="56"/>
      <c r="E163" s="57"/>
      <c r="F163" s="57"/>
      <c r="G163" s="53"/>
      <c r="H163" s="310"/>
      <c r="I163" s="397">
        <f>I162/I161</f>
        <v>975</v>
      </c>
      <c r="J163" s="397"/>
    </row>
    <row r="164" spans="2:10" x14ac:dyDescent="0.25">
      <c r="B164" s="399" t="s">
        <v>262</v>
      </c>
      <c r="C164" s="400"/>
      <c r="D164" s="400"/>
      <c r="E164" s="403"/>
      <c r="F164" s="403"/>
      <c r="G164" s="401">
        <f>SUM(G165:G168)</f>
        <v>1365</v>
      </c>
      <c r="H164" s="402"/>
    </row>
    <row r="165" spans="2:10" x14ac:dyDescent="0.25">
      <c r="B165" s="56" t="s">
        <v>384</v>
      </c>
      <c r="C165" s="61">
        <f>Resumen!H14/4</f>
        <v>0.17499999999999999</v>
      </c>
      <c r="D165" s="56">
        <f>'Presupuesto de ventas'!J7/4</f>
        <v>1950</v>
      </c>
      <c r="E165" s="118"/>
      <c r="F165" s="57">
        <f>G165</f>
        <v>341.25</v>
      </c>
      <c r="G165" s="58">
        <f>C165*D165</f>
        <v>341.25</v>
      </c>
      <c r="H165" s="311"/>
      <c r="I165" t="s">
        <v>421</v>
      </c>
      <c r="J165">
        <f>I162/2</f>
        <v>3900</v>
      </c>
    </row>
    <row r="166" spans="2:10" x14ac:dyDescent="0.25">
      <c r="B166" s="56" t="s">
        <v>385</v>
      </c>
      <c r="C166" s="61">
        <f>C165</f>
        <v>0.17499999999999999</v>
      </c>
      <c r="D166" s="56">
        <f>D165</f>
        <v>1950</v>
      </c>
      <c r="E166" s="118"/>
      <c r="F166" s="57">
        <f>G166</f>
        <v>341.25</v>
      </c>
      <c r="G166" s="58">
        <f>C166*D166</f>
        <v>341.25</v>
      </c>
      <c r="H166" s="311"/>
      <c r="I166" s="330"/>
    </row>
    <row r="167" spans="2:10" x14ac:dyDescent="0.25">
      <c r="B167" s="56" t="s">
        <v>443</v>
      </c>
      <c r="C167" s="61">
        <f t="shared" ref="C167:C168" si="5">C166</f>
        <v>0.17499999999999999</v>
      </c>
      <c r="D167" s="56">
        <f t="shared" ref="D167:D168" si="6">D166</f>
        <v>1950</v>
      </c>
      <c r="E167" s="118"/>
      <c r="F167" s="57">
        <f t="shared" ref="F167:F168" si="7">G167</f>
        <v>341.25</v>
      </c>
      <c r="G167" s="58">
        <f t="shared" ref="G167:G168" si="8">C167*D167</f>
        <v>341.25</v>
      </c>
      <c r="H167" s="311"/>
      <c r="J167" s="331"/>
    </row>
    <row r="168" spans="2:10" x14ac:dyDescent="0.25">
      <c r="B168" s="56" t="s">
        <v>444</v>
      </c>
      <c r="C168" s="61">
        <f t="shared" si="5"/>
        <v>0.17499999999999999</v>
      </c>
      <c r="D168" s="56">
        <f t="shared" si="6"/>
        <v>1950</v>
      </c>
      <c r="E168" s="118"/>
      <c r="F168" s="57">
        <f t="shared" si="7"/>
        <v>341.25</v>
      </c>
      <c r="G168" s="58">
        <f t="shared" si="8"/>
        <v>341.25</v>
      </c>
      <c r="H168" s="311"/>
    </row>
    <row r="169" spans="2:10" x14ac:dyDescent="0.25">
      <c r="B169" s="399" t="s">
        <v>264</v>
      </c>
      <c r="C169" s="400"/>
      <c r="D169" s="400"/>
      <c r="E169" s="403"/>
      <c r="F169" s="403"/>
      <c r="G169" s="405">
        <f>G170+G171</f>
        <v>200</v>
      </c>
      <c r="H169" s="406"/>
    </row>
    <row r="170" spans="2:10" x14ac:dyDescent="0.25">
      <c r="B170" s="56" t="s">
        <v>76</v>
      </c>
      <c r="C170" s="56">
        <v>100</v>
      </c>
      <c r="D170" s="56">
        <v>2</v>
      </c>
      <c r="E170" s="57"/>
      <c r="F170" s="57">
        <f>G170</f>
        <v>200</v>
      </c>
      <c r="G170" s="58">
        <f>C170*D170</f>
        <v>200</v>
      </c>
      <c r="H170" s="311"/>
    </row>
    <row r="171" spans="2:10" x14ac:dyDescent="0.25">
      <c r="B171" s="56"/>
      <c r="C171" s="56"/>
      <c r="D171" s="56"/>
      <c r="E171" s="57"/>
      <c r="F171" s="57"/>
      <c r="G171" s="58"/>
      <c r="H171" s="311"/>
    </row>
    <row r="172" spans="2:10" x14ac:dyDescent="0.25">
      <c r="B172" s="56"/>
      <c r="C172" s="56"/>
      <c r="D172" s="56"/>
      <c r="E172" s="57"/>
      <c r="F172" s="57"/>
      <c r="G172" s="58"/>
      <c r="H172" s="311"/>
    </row>
    <row r="173" spans="2:10" x14ac:dyDescent="0.25">
      <c r="B173" s="267" t="s">
        <v>265</v>
      </c>
      <c r="C173" s="268"/>
      <c r="D173" s="268"/>
      <c r="E173" s="269">
        <f>SUM(E158:E172)</f>
        <v>0</v>
      </c>
      <c r="F173" s="269">
        <f>SUM(F158:F172)</f>
        <v>44465</v>
      </c>
      <c r="G173" s="270">
        <f>G159+G164+G169</f>
        <v>44465</v>
      </c>
      <c r="H173" s="312"/>
    </row>
    <row r="176" spans="2:10" ht="15.75" x14ac:dyDescent="0.25">
      <c r="B176" s="610" t="s">
        <v>469</v>
      </c>
      <c r="C176" s="610"/>
      <c r="D176" s="610"/>
      <c r="E176" s="610"/>
      <c r="F176" s="610"/>
      <c r="G176" s="610"/>
      <c r="H176" s="610"/>
    </row>
    <row r="177" spans="2:10" x14ac:dyDescent="0.25">
      <c r="B177" s="611" t="s">
        <v>26</v>
      </c>
      <c r="C177" s="613" t="s">
        <v>115</v>
      </c>
      <c r="D177" s="613" t="s">
        <v>273</v>
      </c>
      <c r="E177" s="615" t="s">
        <v>117</v>
      </c>
      <c r="F177" s="612"/>
      <c r="G177" s="611" t="s">
        <v>16</v>
      </c>
      <c r="H177" s="309"/>
    </row>
    <row r="178" spans="2:10" x14ac:dyDescent="0.25">
      <c r="B178" s="612"/>
      <c r="C178" s="614"/>
      <c r="D178" s="614"/>
      <c r="E178" s="314" t="s">
        <v>118</v>
      </c>
      <c r="F178" s="314" t="s">
        <v>119</v>
      </c>
      <c r="G178" s="612"/>
      <c r="H178" s="313"/>
    </row>
    <row r="179" spans="2:10" x14ac:dyDescent="0.25">
      <c r="B179" s="51" t="s">
        <v>256</v>
      </c>
      <c r="C179" s="52"/>
      <c r="D179" s="52"/>
      <c r="E179" s="52"/>
      <c r="F179" s="52"/>
      <c r="G179" s="53"/>
      <c r="H179" s="310"/>
      <c r="I179" t="s">
        <v>420</v>
      </c>
    </row>
    <row r="180" spans="2:10" x14ac:dyDescent="0.25">
      <c r="B180" s="399" t="s">
        <v>257</v>
      </c>
      <c r="C180" s="400"/>
      <c r="D180" s="400"/>
      <c r="E180" s="400"/>
      <c r="F180" s="400"/>
      <c r="G180" s="401">
        <f>G181+G182+G183</f>
        <v>46200</v>
      </c>
      <c r="H180" s="402"/>
      <c r="I180" s="397" t="s">
        <v>258</v>
      </c>
      <c r="J180" s="397" t="s">
        <v>134</v>
      </c>
    </row>
    <row r="181" spans="2:10" x14ac:dyDescent="0.25">
      <c r="B181" s="265" t="s">
        <v>259</v>
      </c>
      <c r="C181" s="266">
        <f>C139</f>
        <v>20</v>
      </c>
      <c r="D181" s="265">
        <f>I186</f>
        <v>1050</v>
      </c>
      <c r="E181" s="57"/>
      <c r="F181" s="57">
        <f>G181</f>
        <v>21000</v>
      </c>
      <c r="G181" s="58">
        <f>D181*C181</f>
        <v>21000</v>
      </c>
      <c r="H181" s="311"/>
      <c r="I181" s="397">
        <v>400</v>
      </c>
      <c r="J181" s="397">
        <v>20</v>
      </c>
    </row>
    <row r="182" spans="2:10" x14ac:dyDescent="0.25">
      <c r="B182" s="265" t="s">
        <v>260</v>
      </c>
      <c r="C182" s="266">
        <f>C140</f>
        <v>3</v>
      </c>
      <c r="D182" s="265">
        <f>J188</f>
        <v>4200</v>
      </c>
      <c r="E182" s="57"/>
      <c r="F182" s="57">
        <f>G182</f>
        <v>12600</v>
      </c>
      <c r="G182" s="58">
        <f>C182*D182</f>
        <v>12600</v>
      </c>
      <c r="H182" s="311"/>
      <c r="I182" s="397">
        <v>50</v>
      </c>
      <c r="J182" s="397">
        <f>(I182*J181)/I181</f>
        <v>2.5</v>
      </c>
    </row>
    <row r="183" spans="2:10" x14ac:dyDescent="0.25">
      <c r="B183" s="56" t="s">
        <v>261</v>
      </c>
      <c r="C183" s="61">
        <v>1.5</v>
      </c>
      <c r="D183" s="56">
        <f>I185</f>
        <v>8400</v>
      </c>
      <c r="E183" s="57"/>
      <c r="F183" s="57">
        <f>G183</f>
        <v>12600</v>
      </c>
      <c r="G183" s="58">
        <f>C183*D183</f>
        <v>12600</v>
      </c>
      <c r="H183" s="311"/>
      <c r="I183" s="397"/>
      <c r="J183" s="397"/>
    </row>
    <row r="184" spans="2:10" x14ac:dyDescent="0.25">
      <c r="B184" s="56"/>
      <c r="C184" s="56"/>
      <c r="D184" s="56"/>
      <c r="E184" s="57"/>
      <c r="F184" s="57"/>
      <c r="G184" s="53"/>
      <c r="H184" s="310"/>
      <c r="I184" s="397">
        <f>I181/I182</f>
        <v>8</v>
      </c>
      <c r="J184" s="397">
        <v>1</v>
      </c>
    </row>
    <row r="185" spans="2:10" x14ac:dyDescent="0.25">
      <c r="B185" s="399" t="s">
        <v>262</v>
      </c>
      <c r="C185" s="400"/>
      <c r="D185" s="400"/>
      <c r="E185" s="403"/>
      <c r="F185" s="403"/>
      <c r="G185" s="401">
        <f>SUM(G186:G190)</f>
        <v>1176</v>
      </c>
      <c r="H185" s="402"/>
      <c r="I185" s="397">
        <v>8400</v>
      </c>
      <c r="J185" s="398" t="s">
        <v>263</v>
      </c>
    </row>
    <row r="186" spans="2:10" x14ac:dyDescent="0.25">
      <c r="B186" s="56" t="s">
        <v>384</v>
      </c>
      <c r="C186" s="61">
        <f>Resumen!H14/5</f>
        <v>0.13999999999999999</v>
      </c>
      <c r="D186" s="56">
        <f>'Presupuesto de ventas'!K7/5</f>
        <v>1680</v>
      </c>
      <c r="E186" s="118"/>
      <c r="F186" s="57">
        <f>G186</f>
        <v>235.2</v>
      </c>
      <c r="G186" s="58">
        <f>C186*D186</f>
        <v>235.2</v>
      </c>
      <c r="H186" s="311"/>
      <c r="I186" s="397">
        <f>I185/I184</f>
        <v>1050</v>
      </c>
      <c r="J186" s="397"/>
    </row>
    <row r="187" spans="2:10" x14ac:dyDescent="0.25">
      <c r="B187" s="56" t="s">
        <v>385</v>
      </c>
      <c r="C187" s="61">
        <f>C186</f>
        <v>0.13999999999999999</v>
      </c>
      <c r="D187" s="56">
        <f>D186</f>
        <v>1680</v>
      </c>
      <c r="E187" s="118"/>
      <c r="F187" s="57">
        <f>G187</f>
        <v>235.2</v>
      </c>
      <c r="G187" s="58">
        <f>C187*D187</f>
        <v>235.2</v>
      </c>
      <c r="H187" s="311"/>
    </row>
    <row r="188" spans="2:10" x14ac:dyDescent="0.25">
      <c r="B188" s="56" t="s">
        <v>443</v>
      </c>
      <c r="C188" s="61">
        <f t="shared" ref="C188:C190" si="9">C187</f>
        <v>0.13999999999999999</v>
      </c>
      <c r="D188" s="56">
        <f t="shared" ref="D188:D190" si="10">D187</f>
        <v>1680</v>
      </c>
      <c r="E188" s="118"/>
      <c r="F188" s="57">
        <f t="shared" ref="F188:F190" si="11">G188</f>
        <v>235.2</v>
      </c>
      <c r="G188" s="58">
        <f t="shared" ref="G188:G190" si="12">C188*D188</f>
        <v>235.2</v>
      </c>
      <c r="H188" s="311"/>
      <c r="I188" t="s">
        <v>421</v>
      </c>
      <c r="J188">
        <f>I185/2</f>
        <v>4200</v>
      </c>
    </row>
    <row r="189" spans="2:10" x14ac:dyDescent="0.25">
      <c r="B189" s="56" t="s">
        <v>444</v>
      </c>
      <c r="C189" s="61">
        <f t="shared" si="9"/>
        <v>0.13999999999999999</v>
      </c>
      <c r="D189" s="56">
        <f t="shared" si="10"/>
        <v>1680</v>
      </c>
      <c r="E189" s="118"/>
      <c r="F189" s="57">
        <f t="shared" si="11"/>
        <v>235.2</v>
      </c>
      <c r="G189" s="58">
        <f t="shared" si="12"/>
        <v>235.2</v>
      </c>
      <c r="H189" s="311"/>
      <c r="I189" s="330"/>
    </row>
    <row r="190" spans="2:10" x14ac:dyDescent="0.25">
      <c r="B190" s="56" t="s">
        <v>446</v>
      </c>
      <c r="C190" s="61">
        <f t="shared" si="9"/>
        <v>0.13999999999999999</v>
      </c>
      <c r="D190" s="56">
        <f t="shared" si="10"/>
        <v>1680</v>
      </c>
      <c r="E190" s="118"/>
      <c r="F190" s="57">
        <f t="shared" si="11"/>
        <v>235.2</v>
      </c>
      <c r="G190" s="58">
        <f t="shared" si="12"/>
        <v>235.2</v>
      </c>
      <c r="H190" s="404"/>
      <c r="J190" s="331"/>
    </row>
    <row r="191" spans="2:10" x14ac:dyDescent="0.25">
      <c r="B191" s="399" t="s">
        <v>264</v>
      </c>
      <c r="C191" s="400"/>
      <c r="D191" s="400"/>
      <c r="E191" s="403"/>
      <c r="F191" s="403"/>
      <c r="G191" s="405">
        <f>G192+G193</f>
        <v>200</v>
      </c>
      <c r="H191" s="311"/>
    </row>
    <row r="192" spans="2:10" x14ac:dyDescent="0.25">
      <c r="B192" s="56" t="s">
        <v>76</v>
      </c>
      <c r="C192" s="56">
        <v>100</v>
      </c>
      <c r="D192" s="56">
        <v>2</v>
      </c>
      <c r="E192" s="57"/>
      <c r="F192" s="57">
        <f>G192</f>
        <v>200</v>
      </c>
      <c r="G192" s="58">
        <f>C192*D192</f>
        <v>200</v>
      </c>
      <c r="H192" s="311"/>
    </row>
    <row r="193" spans="2:10" x14ac:dyDescent="0.25">
      <c r="B193" s="56"/>
      <c r="C193" s="56"/>
      <c r="D193" s="56"/>
      <c r="E193" s="57"/>
      <c r="F193" s="57"/>
      <c r="G193" s="58"/>
      <c r="H193" s="311"/>
    </row>
    <row r="194" spans="2:10" x14ac:dyDescent="0.25">
      <c r="B194" s="56"/>
      <c r="C194" s="56"/>
      <c r="D194" s="56"/>
      <c r="E194" s="57"/>
      <c r="F194" s="57"/>
      <c r="G194" s="58"/>
      <c r="H194" s="312">
        <f>SUM(H180:H193)</f>
        <v>0</v>
      </c>
    </row>
    <row r="195" spans="2:10" x14ac:dyDescent="0.25">
      <c r="B195" s="267" t="s">
        <v>265</v>
      </c>
      <c r="C195" s="268"/>
      <c r="D195" s="268"/>
      <c r="E195" s="269">
        <f>SUM(E179:E194)</f>
        <v>0</v>
      </c>
      <c r="F195" s="269">
        <f>SUM(F179:F194)</f>
        <v>47575.999999999985</v>
      </c>
      <c r="G195" s="270">
        <f>G180+G185+G191</f>
        <v>47576</v>
      </c>
    </row>
    <row r="198" spans="2:10" ht="22.5" customHeight="1" x14ac:dyDescent="0.25">
      <c r="B198" s="606" t="s">
        <v>438</v>
      </c>
      <c r="C198" s="606"/>
      <c r="D198" s="606"/>
      <c r="E198" s="606"/>
      <c r="F198" s="606"/>
      <c r="G198" s="606"/>
      <c r="H198" s="606"/>
      <c r="I198" t="s">
        <v>420</v>
      </c>
    </row>
    <row r="199" spans="2:10" x14ac:dyDescent="0.25">
      <c r="B199" s="611" t="s">
        <v>26</v>
      </c>
      <c r="C199" s="613" t="s">
        <v>115</v>
      </c>
      <c r="D199" s="613" t="s">
        <v>273</v>
      </c>
      <c r="E199" s="615" t="s">
        <v>117</v>
      </c>
      <c r="F199" s="612"/>
      <c r="G199" s="611" t="s">
        <v>16</v>
      </c>
      <c r="H199" s="309"/>
      <c r="I199" s="397" t="s">
        <v>258</v>
      </c>
      <c r="J199" s="397" t="s">
        <v>134</v>
      </c>
    </row>
    <row r="200" spans="2:10" x14ac:dyDescent="0.25">
      <c r="B200" s="612"/>
      <c r="C200" s="614"/>
      <c r="D200" s="614"/>
      <c r="E200" s="314" t="s">
        <v>118</v>
      </c>
      <c r="F200" s="314" t="s">
        <v>119</v>
      </c>
      <c r="G200" s="612"/>
      <c r="H200" s="313"/>
      <c r="I200" s="397">
        <v>400</v>
      </c>
      <c r="J200" s="397">
        <v>20</v>
      </c>
    </row>
    <row r="201" spans="2:10" x14ac:dyDescent="0.25">
      <c r="B201" s="51" t="s">
        <v>256</v>
      </c>
      <c r="C201" s="52"/>
      <c r="D201" s="52"/>
      <c r="E201" s="52"/>
      <c r="F201" s="52"/>
      <c r="G201" s="53"/>
      <c r="H201" s="310"/>
      <c r="I201" s="397">
        <v>50</v>
      </c>
      <c r="J201" s="397">
        <f>(I201*J200)/I200</f>
        <v>2.5</v>
      </c>
    </row>
    <row r="202" spans="2:10" x14ac:dyDescent="0.25">
      <c r="B202" s="399" t="s">
        <v>257</v>
      </c>
      <c r="C202" s="400"/>
      <c r="D202" s="400"/>
      <c r="E202" s="400"/>
      <c r="F202" s="400"/>
      <c r="G202" s="401">
        <f>G203+G204+G205</f>
        <v>49500</v>
      </c>
      <c r="H202" s="402"/>
      <c r="I202" s="397"/>
      <c r="J202" s="397"/>
    </row>
    <row r="203" spans="2:10" x14ac:dyDescent="0.25">
      <c r="B203" s="265" t="s">
        <v>259</v>
      </c>
      <c r="C203" s="266">
        <f>C181</f>
        <v>20</v>
      </c>
      <c r="D203" s="265">
        <f>I205</f>
        <v>1125</v>
      </c>
      <c r="E203" s="57"/>
      <c r="F203" s="57">
        <f>G203</f>
        <v>22500</v>
      </c>
      <c r="G203" s="58">
        <f>D203*C203</f>
        <v>22500</v>
      </c>
      <c r="H203" s="311"/>
      <c r="I203" s="397">
        <f>I200/I201</f>
        <v>8</v>
      </c>
      <c r="J203" s="397">
        <v>1</v>
      </c>
    </row>
    <row r="204" spans="2:10" x14ac:dyDescent="0.25">
      <c r="B204" s="265" t="s">
        <v>260</v>
      </c>
      <c r="C204" s="266">
        <f>C182</f>
        <v>3</v>
      </c>
      <c r="D204" s="265">
        <f>J207</f>
        <v>4500</v>
      </c>
      <c r="E204" s="57"/>
      <c r="F204" s="57">
        <f>G204</f>
        <v>13500</v>
      </c>
      <c r="G204" s="58">
        <f>C204*D204</f>
        <v>13500</v>
      </c>
      <c r="H204" s="311"/>
      <c r="I204" s="397">
        <v>9000</v>
      </c>
      <c r="J204" s="398" t="s">
        <v>263</v>
      </c>
    </row>
    <row r="205" spans="2:10" x14ac:dyDescent="0.25">
      <c r="B205" s="56" t="s">
        <v>261</v>
      </c>
      <c r="C205" s="61">
        <v>1.5</v>
      </c>
      <c r="D205" s="56">
        <f>I204</f>
        <v>9000</v>
      </c>
      <c r="E205" s="57"/>
      <c r="F205" s="57">
        <f>G205</f>
        <v>13500</v>
      </c>
      <c r="G205" s="58">
        <f>C205*D205</f>
        <v>13500</v>
      </c>
      <c r="H205" s="311"/>
      <c r="I205" s="397">
        <f>I204/I203</f>
        <v>1125</v>
      </c>
      <c r="J205" s="397"/>
    </row>
    <row r="206" spans="2:10" x14ac:dyDescent="0.25">
      <c r="B206" s="56"/>
      <c r="C206" s="56"/>
      <c r="D206" s="56"/>
      <c r="E206" s="57"/>
      <c r="F206" s="57"/>
      <c r="G206" s="53"/>
      <c r="H206" s="310"/>
    </row>
    <row r="207" spans="2:10" x14ac:dyDescent="0.25">
      <c r="B207" s="399" t="s">
        <v>262</v>
      </c>
      <c r="C207" s="400"/>
      <c r="D207" s="400"/>
      <c r="E207" s="403"/>
      <c r="F207" s="403"/>
      <c r="G207" s="401">
        <f>SUM(G208:G212)</f>
        <v>1259.9999999999998</v>
      </c>
      <c r="H207" s="402"/>
      <c r="I207" t="s">
        <v>421</v>
      </c>
      <c r="J207">
        <f>I204/2</f>
        <v>4500</v>
      </c>
    </row>
    <row r="208" spans="2:10" x14ac:dyDescent="0.25">
      <c r="B208" s="56" t="s">
        <v>384</v>
      </c>
      <c r="C208" s="61">
        <f>Resumen!H14/5</f>
        <v>0.13999999999999999</v>
      </c>
      <c r="D208" s="56">
        <f>'Presupuesto de ventas'!L7/5</f>
        <v>1800</v>
      </c>
      <c r="E208" s="118"/>
      <c r="F208" s="57">
        <f>G208</f>
        <v>251.99999999999997</v>
      </c>
      <c r="G208" s="58">
        <f>C208*D208</f>
        <v>251.99999999999997</v>
      </c>
      <c r="H208" s="311"/>
      <c r="I208" s="330"/>
    </row>
    <row r="209" spans="2:10" x14ac:dyDescent="0.25">
      <c r="B209" s="56" t="s">
        <v>385</v>
      </c>
      <c r="C209" s="61">
        <f>C208</f>
        <v>0.13999999999999999</v>
      </c>
      <c r="D209" s="56">
        <f>D208</f>
        <v>1800</v>
      </c>
      <c r="E209" s="118"/>
      <c r="F209" s="57">
        <f>G209</f>
        <v>251.99999999999997</v>
      </c>
      <c r="G209" s="58">
        <f>C209*D209</f>
        <v>251.99999999999997</v>
      </c>
      <c r="H209" s="311"/>
      <c r="J209" s="331"/>
    </row>
    <row r="210" spans="2:10" x14ac:dyDescent="0.25">
      <c r="B210" s="56" t="s">
        <v>443</v>
      </c>
      <c r="C210" s="61">
        <f t="shared" ref="C210:C212" si="13">C209</f>
        <v>0.13999999999999999</v>
      </c>
      <c r="D210" s="56">
        <f t="shared" ref="D210:D212" si="14">D209</f>
        <v>1800</v>
      </c>
      <c r="E210" s="118"/>
      <c r="F210" s="57">
        <f t="shared" ref="F210:F212" si="15">G210</f>
        <v>251.99999999999997</v>
      </c>
      <c r="G210" s="58">
        <f t="shared" ref="G210:G212" si="16">C210*D210</f>
        <v>251.99999999999997</v>
      </c>
    </row>
    <row r="211" spans="2:10" x14ac:dyDescent="0.25">
      <c r="B211" s="56" t="s">
        <v>444</v>
      </c>
      <c r="C211" s="61">
        <f t="shared" si="13"/>
        <v>0.13999999999999999</v>
      </c>
      <c r="D211" s="56">
        <f t="shared" si="14"/>
        <v>1800</v>
      </c>
      <c r="E211" s="118"/>
      <c r="F211" s="57">
        <f t="shared" si="15"/>
        <v>251.99999999999997</v>
      </c>
      <c r="G211" s="58">
        <f t="shared" si="16"/>
        <v>251.99999999999997</v>
      </c>
    </row>
    <row r="212" spans="2:10" x14ac:dyDescent="0.25">
      <c r="B212" s="56" t="s">
        <v>446</v>
      </c>
      <c r="C212" s="61">
        <f t="shared" si="13"/>
        <v>0.13999999999999999</v>
      </c>
      <c r="D212" s="56">
        <f t="shared" si="14"/>
        <v>1800</v>
      </c>
      <c r="E212" s="118"/>
      <c r="F212" s="57">
        <f t="shared" si="15"/>
        <v>251.99999999999997</v>
      </c>
      <c r="G212" s="58">
        <f t="shared" si="16"/>
        <v>251.99999999999997</v>
      </c>
    </row>
    <row r="213" spans="2:10" x14ac:dyDescent="0.25">
      <c r="B213" s="399" t="s">
        <v>264</v>
      </c>
      <c r="C213" s="400"/>
      <c r="D213" s="400"/>
      <c r="E213" s="403"/>
      <c r="F213" s="403"/>
      <c r="G213" s="405">
        <f>G214+G215</f>
        <v>300</v>
      </c>
      <c r="H213" s="406"/>
    </row>
    <row r="214" spans="2:10" x14ac:dyDescent="0.25">
      <c r="B214" s="56" t="s">
        <v>76</v>
      </c>
      <c r="C214" s="56">
        <v>100</v>
      </c>
      <c r="D214" s="56">
        <v>3</v>
      </c>
      <c r="E214" s="57"/>
      <c r="F214" s="57">
        <f>G214</f>
        <v>300</v>
      </c>
      <c r="G214" s="58">
        <f>C214*D214</f>
        <v>300</v>
      </c>
      <c r="H214" s="311"/>
    </row>
    <row r="215" spans="2:10" x14ac:dyDescent="0.25">
      <c r="B215" s="56"/>
      <c r="C215" s="56"/>
      <c r="D215" s="56"/>
      <c r="E215" s="57"/>
      <c r="F215" s="57"/>
      <c r="G215" s="58"/>
      <c r="H215" s="311"/>
    </row>
    <row r="216" spans="2:10" x14ac:dyDescent="0.25">
      <c r="B216" s="56"/>
      <c r="C216" s="56"/>
      <c r="D216" s="56"/>
      <c r="E216" s="57"/>
      <c r="F216" s="57"/>
      <c r="G216" s="58"/>
      <c r="H216" s="311"/>
    </row>
    <row r="217" spans="2:10" x14ac:dyDescent="0.25">
      <c r="B217" s="267" t="s">
        <v>265</v>
      </c>
      <c r="C217" s="268"/>
      <c r="D217" s="268"/>
      <c r="E217" s="269">
        <f>SUM(E201:E216)</f>
        <v>0</v>
      </c>
      <c r="F217" s="269">
        <f>SUM(F201:F216)</f>
        <v>51060</v>
      </c>
      <c r="G217" s="270">
        <f>G202+G207+G213</f>
        <v>51060</v>
      </c>
      <c r="H217" s="312">
        <f>SUM(H202:H216)</f>
        <v>0</v>
      </c>
    </row>
    <row r="220" spans="2:10" ht="15.75" x14ac:dyDescent="0.25">
      <c r="B220" s="616" t="s">
        <v>439</v>
      </c>
      <c r="C220" s="616"/>
      <c r="D220" s="616"/>
      <c r="E220" s="616"/>
      <c r="F220" s="616"/>
      <c r="G220" s="616"/>
      <c r="H220" s="616"/>
    </row>
    <row r="221" spans="2:10" x14ac:dyDescent="0.25">
      <c r="B221" s="611" t="s">
        <v>26</v>
      </c>
      <c r="C221" s="613" t="s">
        <v>115</v>
      </c>
      <c r="D221" s="613" t="s">
        <v>273</v>
      </c>
      <c r="E221" s="615" t="s">
        <v>117</v>
      </c>
      <c r="F221" s="612"/>
      <c r="G221" s="611" t="s">
        <v>16</v>
      </c>
      <c r="H221" s="309"/>
    </row>
    <row r="222" spans="2:10" x14ac:dyDescent="0.25">
      <c r="B222" s="612"/>
      <c r="C222" s="614"/>
      <c r="D222" s="614"/>
      <c r="E222" s="314" t="s">
        <v>118</v>
      </c>
      <c r="F222" s="314" t="s">
        <v>119</v>
      </c>
      <c r="G222" s="612"/>
      <c r="H222" s="313" t="s">
        <v>409</v>
      </c>
    </row>
    <row r="223" spans="2:10" x14ac:dyDescent="0.25">
      <c r="B223" s="51" t="s">
        <v>256</v>
      </c>
      <c r="C223" s="52"/>
      <c r="D223" s="52"/>
      <c r="E223" s="52"/>
      <c r="F223" s="52"/>
      <c r="G223" s="53"/>
      <c r="H223" s="310"/>
      <c r="I223" t="s">
        <v>420</v>
      </c>
    </row>
    <row r="224" spans="2:10" x14ac:dyDescent="0.25">
      <c r="B224" s="399" t="s">
        <v>257</v>
      </c>
      <c r="C224" s="400"/>
      <c r="D224" s="400"/>
      <c r="E224" s="400"/>
      <c r="F224" s="400"/>
      <c r="G224" s="401">
        <f>G225+G226+G227</f>
        <v>52800</v>
      </c>
      <c r="H224" s="402">
        <f>+G224/3600</f>
        <v>14.666666666666666</v>
      </c>
      <c r="I224" s="397" t="s">
        <v>258</v>
      </c>
      <c r="J224" s="397" t="s">
        <v>134</v>
      </c>
    </row>
    <row r="225" spans="2:10" x14ac:dyDescent="0.25">
      <c r="B225" s="265" t="s">
        <v>259</v>
      </c>
      <c r="C225" s="266">
        <f>C181</f>
        <v>20</v>
      </c>
      <c r="D225" s="265">
        <f>I230</f>
        <v>1200</v>
      </c>
      <c r="E225" s="57"/>
      <c r="F225" s="57">
        <f>G225</f>
        <v>24000</v>
      </c>
      <c r="G225" s="58">
        <f>D225*C225</f>
        <v>24000</v>
      </c>
      <c r="H225" s="311"/>
      <c r="I225" s="397">
        <v>400</v>
      </c>
      <c r="J225" s="397">
        <v>20</v>
      </c>
    </row>
    <row r="226" spans="2:10" x14ac:dyDescent="0.25">
      <c r="B226" s="265" t="s">
        <v>260</v>
      </c>
      <c r="C226" s="266">
        <f>C182</f>
        <v>3</v>
      </c>
      <c r="D226" s="265">
        <f>J232</f>
        <v>4800</v>
      </c>
      <c r="E226" s="57"/>
      <c r="F226" s="57">
        <f>G226</f>
        <v>14400</v>
      </c>
      <c r="G226" s="58">
        <f>C226*D226</f>
        <v>14400</v>
      </c>
      <c r="H226" s="311"/>
      <c r="I226" s="397">
        <v>50</v>
      </c>
      <c r="J226" s="397">
        <f>(I226*J225)/I225</f>
        <v>2.5</v>
      </c>
    </row>
    <row r="227" spans="2:10" x14ac:dyDescent="0.25">
      <c r="B227" s="56" t="s">
        <v>261</v>
      </c>
      <c r="C227" s="61">
        <v>1.5</v>
      </c>
      <c r="D227" s="56">
        <f>I229</f>
        <v>9600</v>
      </c>
      <c r="E227" s="57"/>
      <c r="F227" s="57">
        <f>G227</f>
        <v>14400</v>
      </c>
      <c r="G227" s="58">
        <f>C227*D227</f>
        <v>14400</v>
      </c>
      <c r="H227" s="311"/>
      <c r="I227" s="397"/>
      <c r="J227" s="397"/>
    </row>
    <row r="228" spans="2:10" x14ac:dyDescent="0.25">
      <c r="B228" s="56"/>
      <c r="C228" s="56"/>
      <c r="D228" s="56"/>
      <c r="E228" s="57"/>
      <c r="F228" s="57"/>
      <c r="G228" s="53"/>
      <c r="H228" s="310"/>
      <c r="I228" s="397">
        <f>I225/I226</f>
        <v>8</v>
      </c>
      <c r="J228" s="397">
        <v>1</v>
      </c>
    </row>
    <row r="229" spans="2:10" x14ac:dyDescent="0.25">
      <c r="B229" s="399" t="s">
        <v>262</v>
      </c>
      <c r="C229" s="400"/>
      <c r="D229" s="400"/>
      <c r="E229" s="403"/>
      <c r="F229" s="403"/>
      <c r="G229" s="401">
        <f>SUM(G230:G234)</f>
        <v>1343.9999999999998</v>
      </c>
      <c r="H229" s="402">
        <f>+G229/3600</f>
        <v>0.37333333333333329</v>
      </c>
      <c r="I229" s="397">
        <v>9600</v>
      </c>
      <c r="J229" s="398" t="s">
        <v>263</v>
      </c>
    </row>
    <row r="230" spans="2:10" x14ac:dyDescent="0.25">
      <c r="B230" s="56" t="s">
        <v>384</v>
      </c>
      <c r="C230" s="61">
        <f>Resumen!H14/5</f>
        <v>0.13999999999999999</v>
      </c>
      <c r="D230" s="56">
        <f>'Presupuesto de ventas'!M7/5</f>
        <v>1920</v>
      </c>
      <c r="E230" s="118"/>
      <c r="F230" s="57">
        <f>G230</f>
        <v>268.79999999999995</v>
      </c>
      <c r="G230" s="58">
        <f>C230*D230</f>
        <v>268.79999999999995</v>
      </c>
      <c r="H230" s="311"/>
      <c r="I230" s="397">
        <f>I229/I228</f>
        <v>1200</v>
      </c>
      <c r="J230" s="397"/>
    </row>
    <row r="231" spans="2:10" x14ac:dyDescent="0.25">
      <c r="B231" s="56" t="s">
        <v>385</v>
      </c>
      <c r="C231" s="61">
        <f>C230</f>
        <v>0.13999999999999999</v>
      </c>
      <c r="D231" s="56">
        <f>D230</f>
        <v>1920</v>
      </c>
      <c r="E231" s="118"/>
      <c r="F231" s="57">
        <f>G231</f>
        <v>268.79999999999995</v>
      </c>
      <c r="G231" s="58">
        <f>C231*D231</f>
        <v>268.79999999999995</v>
      </c>
      <c r="H231" s="311"/>
    </row>
    <row r="232" spans="2:10" x14ac:dyDescent="0.25">
      <c r="B232" s="56" t="s">
        <v>443</v>
      </c>
      <c r="C232" s="61">
        <f t="shared" ref="C232:C234" si="17">C231</f>
        <v>0.13999999999999999</v>
      </c>
      <c r="D232" s="56">
        <f t="shared" ref="D232:D234" si="18">D231</f>
        <v>1920</v>
      </c>
      <c r="E232" s="118"/>
      <c r="F232" s="57">
        <f t="shared" ref="F232:F234" si="19">G232</f>
        <v>268.79999999999995</v>
      </c>
      <c r="G232" s="58">
        <f t="shared" ref="G232:G234" si="20">C232*D232</f>
        <v>268.79999999999995</v>
      </c>
      <c r="H232" s="311"/>
      <c r="I232" t="s">
        <v>421</v>
      </c>
      <c r="J232">
        <f>I229/2</f>
        <v>4800</v>
      </c>
    </row>
    <row r="233" spans="2:10" x14ac:dyDescent="0.25">
      <c r="B233" s="56" t="s">
        <v>444</v>
      </c>
      <c r="C233" s="61">
        <f t="shared" si="17"/>
        <v>0.13999999999999999</v>
      </c>
      <c r="D233" s="56">
        <f t="shared" si="18"/>
        <v>1920</v>
      </c>
      <c r="E233" s="118"/>
      <c r="F233" s="57">
        <f t="shared" si="19"/>
        <v>268.79999999999995</v>
      </c>
      <c r="G233" s="58">
        <f t="shared" si="20"/>
        <v>268.79999999999995</v>
      </c>
      <c r="H233" s="311"/>
      <c r="I233" s="330"/>
    </row>
    <row r="234" spans="2:10" x14ac:dyDescent="0.25">
      <c r="B234" s="56" t="s">
        <v>446</v>
      </c>
      <c r="C234" s="61">
        <f t="shared" si="17"/>
        <v>0.13999999999999999</v>
      </c>
      <c r="D234" s="56">
        <f t="shared" si="18"/>
        <v>1920</v>
      </c>
      <c r="E234" s="118"/>
      <c r="F234" s="57">
        <f t="shared" si="19"/>
        <v>268.79999999999995</v>
      </c>
      <c r="G234" s="58">
        <f t="shared" si="20"/>
        <v>268.79999999999995</v>
      </c>
      <c r="H234" s="311"/>
      <c r="J234" s="331"/>
    </row>
    <row r="235" spans="2:10" x14ac:dyDescent="0.25">
      <c r="B235" s="399" t="s">
        <v>264</v>
      </c>
      <c r="C235" s="400"/>
      <c r="D235" s="400"/>
      <c r="E235" s="403"/>
      <c r="F235" s="403"/>
      <c r="G235" s="405">
        <f>G236+G237</f>
        <v>300</v>
      </c>
      <c r="H235" s="406">
        <f>+G235/3600</f>
        <v>8.3333333333333329E-2</v>
      </c>
    </row>
    <row r="236" spans="2:10" x14ac:dyDescent="0.25">
      <c r="B236" s="56" t="s">
        <v>76</v>
      </c>
      <c r="C236" s="56">
        <v>100</v>
      </c>
      <c r="D236" s="56">
        <v>3</v>
      </c>
      <c r="E236" s="57"/>
      <c r="F236" s="57">
        <f>G236</f>
        <v>300</v>
      </c>
      <c r="G236" s="58">
        <f>C236*D236</f>
        <v>300</v>
      </c>
      <c r="H236" s="311"/>
    </row>
    <row r="237" spans="2:10" x14ac:dyDescent="0.25">
      <c r="B237" s="56"/>
      <c r="C237" s="56"/>
      <c r="D237" s="56"/>
      <c r="E237" s="57"/>
      <c r="F237" s="57"/>
      <c r="G237" s="58"/>
      <c r="H237" s="311"/>
    </row>
    <row r="238" spans="2:10" x14ac:dyDescent="0.25">
      <c r="B238" s="56"/>
      <c r="C238" s="56"/>
      <c r="D238" s="56"/>
      <c r="E238" s="57"/>
      <c r="F238" s="57"/>
      <c r="G238" s="58"/>
      <c r="H238" s="311"/>
    </row>
    <row r="239" spans="2:10" x14ac:dyDescent="0.25">
      <c r="B239" s="267" t="s">
        <v>265</v>
      </c>
      <c r="C239" s="268"/>
      <c r="D239" s="268"/>
      <c r="E239" s="269">
        <f>SUM(E223:E238)</f>
        <v>0</v>
      </c>
      <c r="F239" s="269">
        <f>SUM(F223:F238)</f>
        <v>54444.000000000015</v>
      </c>
      <c r="G239" s="270">
        <f>G224+G229+G235</f>
        <v>54444</v>
      </c>
      <c r="H239" s="312">
        <f>SUM(H224:H238)</f>
        <v>15.123333333333333</v>
      </c>
    </row>
    <row r="242" spans="2:10" ht="15.75" x14ac:dyDescent="0.25">
      <c r="B242" s="616" t="s">
        <v>440</v>
      </c>
      <c r="C242" s="616"/>
      <c r="D242" s="616"/>
      <c r="E242" s="616"/>
      <c r="F242" s="616"/>
      <c r="G242" s="616"/>
      <c r="H242" s="616"/>
      <c r="I242" t="s">
        <v>420</v>
      </c>
    </row>
    <row r="243" spans="2:10" x14ac:dyDescent="0.25">
      <c r="B243" s="611" t="s">
        <v>26</v>
      </c>
      <c r="C243" s="613" t="s">
        <v>115</v>
      </c>
      <c r="D243" s="613" t="s">
        <v>273</v>
      </c>
      <c r="E243" s="615" t="s">
        <v>117</v>
      </c>
      <c r="F243" s="612"/>
      <c r="G243" s="611" t="s">
        <v>16</v>
      </c>
      <c r="H243" s="309"/>
      <c r="I243" s="397" t="s">
        <v>258</v>
      </c>
      <c r="J243" s="397" t="s">
        <v>134</v>
      </c>
    </row>
    <row r="244" spans="2:10" x14ac:dyDescent="0.25">
      <c r="B244" s="612"/>
      <c r="C244" s="614"/>
      <c r="D244" s="614"/>
      <c r="E244" s="314" t="s">
        <v>118</v>
      </c>
      <c r="F244" s="314" t="s">
        <v>119</v>
      </c>
      <c r="G244" s="612"/>
      <c r="H244" s="313" t="s">
        <v>409</v>
      </c>
      <c r="I244" s="397">
        <v>400</v>
      </c>
      <c r="J244" s="397">
        <v>20</v>
      </c>
    </row>
    <row r="245" spans="2:10" x14ac:dyDescent="0.25">
      <c r="B245" s="51" t="s">
        <v>256</v>
      </c>
      <c r="C245" s="52"/>
      <c r="D245" s="52"/>
      <c r="E245" s="52"/>
      <c r="F245" s="52"/>
      <c r="G245" s="53"/>
      <c r="H245" s="310"/>
      <c r="I245" s="397">
        <v>50</v>
      </c>
      <c r="J245" s="397">
        <f>(I245*J244)/I244</f>
        <v>2.5</v>
      </c>
    </row>
    <row r="246" spans="2:10" x14ac:dyDescent="0.25">
      <c r="B246" s="399" t="s">
        <v>257</v>
      </c>
      <c r="C246" s="400"/>
      <c r="D246" s="400"/>
      <c r="E246" s="400"/>
      <c r="F246" s="400"/>
      <c r="G246" s="401">
        <f>G247+G248+G249</f>
        <v>56100</v>
      </c>
      <c r="H246" s="402">
        <f>+G246/3600</f>
        <v>15.583333333333334</v>
      </c>
      <c r="I246" s="397"/>
      <c r="J246" s="397"/>
    </row>
    <row r="247" spans="2:10" x14ac:dyDescent="0.25">
      <c r="B247" s="265" t="s">
        <v>259</v>
      </c>
      <c r="C247" s="266">
        <f>C225</f>
        <v>20</v>
      </c>
      <c r="D247" s="265">
        <f>I249</f>
        <v>1275</v>
      </c>
      <c r="E247" s="57"/>
      <c r="F247" s="57">
        <f>G247</f>
        <v>25500</v>
      </c>
      <c r="G247" s="58">
        <f>D247*C247</f>
        <v>25500</v>
      </c>
      <c r="H247" s="311"/>
      <c r="I247" s="397">
        <f>I244/I245</f>
        <v>8</v>
      </c>
      <c r="J247" s="397">
        <v>1</v>
      </c>
    </row>
    <row r="248" spans="2:10" x14ac:dyDescent="0.25">
      <c r="B248" s="265" t="s">
        <v>260</v>
      </c>
      <c r="C248" s="266">
        <f>C226</f>
        <v>3</v>
      </c>
      <c r="D248" s="265">
        <f>J251</f>
        <v>5100</v>
      </c>
      <c r="E248" s="57"/>
      <c r="F248" s="57">
        <f>G248</f>
        <v>15300</v>
      </c>
      <c r="G248" s="58">
        <f>C248*D248</f>
        <v>15300</v>
      </c>
      <c r="H248" s="311"/>
      <c r="I248" s="397">
        <v>10200</v>
      </c>
      <c r="J248" s="398" t="s">
        <v>263</v>
      </c>
    </row>
    <row r="249" spans="2:10" x14ac:dyDescent="0.25">
      <c r="B249" s="56" t="s">
        <v>261</v>
      </c>
      <c r="C249" s="61">
        <v>1.5</v>
      </c>
      <c r="D249" s="56">
        <f>I248</f>
        <v>10200</v>
      </c>
      <c r="E249" s="57"/>
      <c r="F249" s="57">
        <f>G249</f>
        <v>15300</v>
      </c>
      <c r="G249" s="58">
        <f>C249*D249</f>
        <v>15300</v>
      </c>
      <c r="H249" s="311"/>
      <c r="I249" s="397">
        <f>I248/I247</f>
        <v>1275</v>
      </c>
      <c r="J249" s="397"/>
    </row>
    <row r="250" spans="2:10" x14ac:dyDescent="0.25">
      <c r="B250" s="56"/>
      <c r="C250" s="56"/>
      <c r="D250" s="56"/>
      <c r="E250" s="57"/>
      <c r="F250" s="57"/>
      <c r="G250" s="53"/>
      <c r="H250" s="310"/>
    </row>
    <row r="251" spans="2:10" x14ac:dyDescent="0.25">
      <c r="B251" s="399" t="s">
        <v>262</v>
      </c>
      <c r="C251" s="400"/>
      <c r="D251" s="400"/>
      <c r="E251" s="403"/>
      <c r="F251" s="403"/>
      <c r="G251" s="401">
        <f>SUM(G252:G257)</f>
        <v>1189.9999999999998</v>
      </c>
      <c r="H251" s="402">
        <f>+G251/3600</f>
        <v>0.33055555555555549</v>
      </c>
      <c r="I251" t="s">
        <v>421</v>
      </c>
      <c r="J251">
        <f>I248/2</f>
        <v>5100</v>
      </c>
    </row>
    <row r="252" spans="2:10" x14ac:dyDescent="0.25">
      <c r="B252" s="56" t="s">
        <v>384</v>
      </c>
      <c r="C252" s="61">
        <f>Resumen!H14/6</f>
        <v>0.11666666666666665</v>
      </c>
      <c r="D252" s="56">
        <f>'Presupuesto de ventas'!N7/6</f>
        <v>1700</v>
      </c>
      <c r="E252" s="118"/>
      <c r="F252" s="57">
        <f>G252</f>
        <v>198.33333333333331</v>
      </c>
      <c r="G252" s="58">
        <f>C252*D252</f>
        <v>198.33333333333331</v>
      </c>
      <c r="H252" s="311"/>
      <c r="I252" s="330"/>
    </row>
    <row r="253" spans="2:10" x14ac:dyDescent="0.25">
      <c r="B253" s="56" t="s">
        <v>385</v>
      </c>
      <c r="C253" s="61">
        <f>C252</f>
        <v>0.11666666666666665</v>
      </c>
      <c r="D253" s="56">
        <f>D252</f>
        <v>1700</v>
      </c>
      <c r="E253" s="118"/>
      <c r="F253" s="57">
        <f>G253</f>
        <v>198.33333333333331</v>
      </c>
      <c r="G253" s="58">
        <f>C253*D253</f>
        <v>198.33333333333331</v>
      </c>
      <c r="H253" s="311"/>
      <c r="J253" s="331"/>
    </row>
    <row r="254" spans="2:10" x14ac:dyDescent="0.25">
      <c r="B254" s="56" t="s">
        <v>447</v>
      </c>
      <c r="C254" s="61">
        <f t="shared" ref="C254:C257" si="21">C253</f>
        <v>0.11666666666666665</v>
      </c>
      <c r="D254" s="56">
        <f t="shared" ref="D254:D257" si="22">D253</f>
        <v>1700</v>
      </c>
      <c r="E254" s="118"/>
      <c r="F254" s="57">
        <f t="shared" ref="F254:F257" si="23">G254</f>
        <v>198.33333333333331</v>
      </c>
      <c r="G254" s="58">
        <f t="shared" ref="G254:G257" si="24">C254*D254</f>
        <v>198.33333333333331</v>
      </c>
      <c r="H254" s="311"/>
    </row>
    <row r="255" spans="2:10" x14ac:dyDescent="0.25">
      <c r="B255" s="56" t="s">
        <v>444</v>
      </c>
      <c r="C255" s="61">
        <f t="shared" si="21"/>
        <v>0.11666666666666665</v>
      </c>
      <c r="D255" s="56">
        <f t="shared" si="22"/>
        <v>1700</v>
      </c>
      <c r="E255" s="118"/>
      <c r="F255" s="57">
        <f t="shared" si="23"/>
        <v>198.33333333333331</v>
      </c>
      <c r="G255" s="58">
        <f t="shared" si="24"/>
        <v>198.33333333333331</v>
      </c>
      <c r="H255" s="311"/>
    </row>
    <row r="256" spans="2:10" x14ac:dyDescent="0.25">
      <c r="B256" s="56" t="s">
        <v>446</v>
      </c>
      <c r="C256" s="61">
        <f t="shared" si="21"/>
        <v>0.11666666666666665</v>
      </c>
      <c r="D256" s="56">
        <f t="shared" si="22"/>
        <v>1700</v>
      </c>
      <c r="E256" s="118"/>
      <c r="F256" s="57">
        <f t="shared" si="23"/>
        <v>198.33333333333331</v>
      </c>
      <c r="G256" s="58">
        <f t="shared" si="24"/>
        <v>198.33333333333331</v>
      </c>
      <c r="H256" s="311"/>
    </row>
    <row r="257" spans="2:8" x14ac:dyDescent="0.25">
      <c r="B257" s="56" t="s">
        <v>448</v>
      </c>
      <c r="C257" s="61">
        <f t="shared" si="21"/>
        <v>0.11666666666666665</v>
      </c>
      <c r="D257" s="56">
        <f t="shared" si="22"/>
        <v>1700</v>
      </c>
      <c r="E257" s="118"/>
      <c r="F257" s="57">
        <f t="shared" si="23"/>
        <v>198.33333333333331</v>
      </c>
      <c r="G257" s="58">
        <f t="shared" si="24"/>
        <v>198.33333333333331</v>
      </c>
      <c r="H257" s="311"/>
    </row>
    <row r="258" spans="2:8" x14ac:dyDescent="0.25">
      <c r="B258" s="399" t="s">
        <v>264</v>
      </c>
      <c r="C258" s="400"/>
      <c r="D258" s="400"/>
      <c r="E258" s="403"/>
      <c r="F258" s="403"/>
      <c r="G258" s="405">
        <f>G259+G260</f>
        <v>300</v>
      </c>
      <c r="H258" s="406">
        <f>+G258/3600</f>
        <v>8.3333333333333329E-2</v>
      </c>
    </row>
    <row r="259" spans="2:8" x14ac:dyDescent="0.25">
      <c r="B259" s="56" t="s">
        <v>76</v>
      </c>
      <c r="C259" s="56">
        <v>100</v>
      </c>
      <c r="D259" s="56">
        <v>3</v>
      </c>
      <c r="E259" s="57"/>
      <c r="F259" s="57">
        <f>G259</f>
        <v>300</v>
      </c>
      <c r="G259" s="58">
        <f>C259*D259</f>
        <v>300</v>
      </c>
      <c r="H259" s="311"/>
    </row>
    <row r="260" spans="2:8" x14ac:dyDescent="0.25">
      <c r="B260" s="56"/>
      <c r="C260" s="56"/>
      <c r="D260" s="56"/>
      <c r="E260" s="57"/>
      <c r="F260" s="57"/>
      <c r="G260" s="58"/>
      <c r="H260" s="311"/>
    </row>
    <row r="261" spans="2:8" x14ac:dyDescent="0.25">
      <c r="B261" s="56"/>
      <c r="C261" s="56"/>
      <c r="D261" s="56"/>
      <c r="E261" s="57"/>
      <c r="F261" s="57"/>
      <c r="G261" s="58"/>
      <c r="H261" s="311"/>
    </row>
    <row r="262" spans="2:8" x14ac:dyDescent="0.25">
      <c r="B262" s="267" t="s">
        <v>265</v>
      </c>
      <c r="C262" s="268"/>
      <c r="D262" s="268"/>
      <c r="E262" s="269">
        <f>SUM(E245:E261)</f>
        <v>0</v>
      </c>
      <c r="F262" s="269">
        <f>SUM(F245:F261)</f>
        <v>57590.000000000015</v>
      </c>
      <c r="G262" s="270">
        <f>G246+G251+G258</f>
        <v>57590</v>
      </c>
      <c r="H262" s="312">
        <f>SUM(H246:H261)</f>
        <v>15.997222222222224</v>
      </c>
    </row>
    <row r="265" spans="2:8" x14ac:dyDescent="0.25">
      <c r="B265" s="600" t="s">
        <v>266</v>
      </c>
      <c r="C265" s="597"/>
      <c r="D265" s="597"/>
      <c r="E265" s="597"/>
      <c r="F265" s="597"/>
      <c r="G265" s="597"/>
    </row>
    <row r="266" spans="2:8" ht="18.75" thickBot="1" x14ac:dyDescent="0.3">
      <c r="B266" s="63"/>
      <c r="C266" s="63"/>
      <c r="D266" s="63"/>
      <c r="E266" s="63"/>
      <c r="F266" s="63"/>
      <c r="G266" s="49"/>
    </row>
    <row r="267" spans="2:8" ht="15.75" thickBot="1" x14ac:dyDescent="0.3">
      <c r="B267" s="169" t="s">
        <v>267</v>
      </c>
      <c r="C267" s="171">
        <v>1</v>
      </c>
      <c r="D267" s="171">
        <v>2</v>
      </c>
      <c r="E267" s="171">
        <v>3</v>
      </c>
      <c r="F267" s="171">
        <v>4</v>
      </c>
      <c r="G267" s="172">
        <v>5</v>
      </c>
    </row>
    <row r="268" spans="2:8" x14ac:dyDescent="0.25">
      <c r="B268" s="54" t="s">
        <v>268</v>
      </c>
      <c r="C268" s="55"/>
      <c r="D268" s="55"/>
      <c r="E268" s="55"/>
      <c r="F268" s="55"/>
      <c r="G268" s="65"/>
    </row>
    <row r="269" spans="2:8" x14ac:dyDescent="0.25">
      <c r="B269" s="67" t="s">
        <v>269</v>
      </c>
      <c r="C269" s="68">
        <f>SUM(G19+G38+G57+G77+G97+G117+G138+G159+G180+G202+G224+G246)</f>
        <v>455400</v>
      </c>
      <c r="D269" s="69">
        <f>G246*12</f>
        <v>673200</v>
      </c>
      <c r="E269" s="69">
        <f>D269</f>
        <v>673200</v>
      </c>
      <c r="F269" s="69">
        <f>D269</f>
        <v>673200</v>
      </c>
      <c r="G269" s="69">
        <f>D269</f>
        <v>673200</v>
      </c>
    </row>
    <row r="270" spans="2:8" x14ac:dyDescent="0.25">
      <c r="B270" s="59" t="s">
        <v>270</v>
      </c>
      <c r="C270" s="68">
        <f>G24+G43+G62+G82+G102+G122+G143+G164+G185+G207+G229+G251</f>
        <v>15260</v>
      </c>
      <c r="D270" s="69">
        <f>G251*12</f>
        <v>14279.999999999996</v>
      </c>
      <c r="E270" s="69">
        <f>D270</f>
        <v>14279.999999999996</v>
      </c>
      <c r="F270" s="69">
        <f t="shared" ref="F270:G271" si="25">E270</f>
        <v>14279.999999999996</v>
      </c>
      <c r="G270" s="69">
        <f t="shared" si="25"/>
        <v>14279.999999999996</v>
      </c>
    </row>
    <row r="271" spans="2:8" x14ac:dyDescent="0.25">
      <c r="B271" s="59" t="s">
        <v>264</v>
      </c>
      <c r="C271" s="68">
        <f>G27+G46+G66+G86+G106+G127+G148+G169+G191+G213+G235+G258</f>
        <v>2400</v>
      </c>
      <c r="D271" s="60">
        <f>G258*12</f>
        <v>3600</v>
      </c>
      <c r="E271" s="60">
        <f>D271</f>
        <v>3600</v>
      </c>
      <c r="F271" s="60">
        <f t="shared" si="25"/>
        <v>3600</v>
      </c>
      <c r="G271" s="60">
        <f t="shared" si="25"/>
        <v>3600</v>
      </c>
    </row>
    <row r="272" spans="2:8" ht="15.75" thickBot="1" x14ac:dyDescent="0.3">
      <c r="B272" s="274" t="s">
        <v>265</v>
      </c>
      <c r="C272" s="275">
        <f>SUM(C269:C271)</f>
        <v>473060</v>
      </c>
      <c r="D272" s="275">
        <f>SUM(D269:D271)</f>
        <v>691080</v>
      </c>
      <c r="E272" s="275">
        <f>SUM(E269:E271)</f>
        <v>691080</v>
      </c>
      <c r="F272" s="275">
        <f>SUM(F269:F271)</f>
        <v>691080</v>
      </c>
      <c r="G272" s="275">
        <f>SUM(G269:G271)</f>
        <v>691080</v>
      </c>
    </row>
  </sheetData>
  <mergeCells count="55">
    <mergeCell ref="B53:H53"/>
    <mergeCell ref="G16:G17"/>
    <mergeCell ref="B15:H15"/>
    <mergeCell ref="B34:H34"/>
    <mergeCell ref="B35:B36"/>
    <mergeCell ref="C35:C36"/>
    <mergeCell ref="D35:D36"/>
    <mergeCell ref="E35:F35"/>
    <mergeCell ref="G35:G36"/>
    <mergeCell ref="B16:B17"/>
    <mergeCell ref="C16:C17"/>
    <mergeCell ref="D16:D17"/>
    <mergeCell ref="E16:F16"/>
    <mergeCell ref="E114:F114"/>
    <mergeCell ref="G114:G115"/>
    <mergeCell ref="B93:H93"/>
    <mergeCell ref="B94:B95"/>
    <mergeCell ref="C94:C95"/>
    <mergeCell ref="D94:D95"/>
    <mergeCell ref="E94:F94"/>
    <mergeCell ref="G94:G95"/>
    <mergeCell ref="B199:B200"/>
    <mergeCell ref="C199:C200"/>
    <mergeCell ref="D199:D200"/>
    <mergeCell ref="E199:F199"/>
    <mergeCell ref="G199:G200"/>
    <mergeCell ref="B220:H220"/>
    <mergeCell ref="B221:B222"/>
    <mergeCell ref="C221:C222"/>
    <mergeCell ref="D221:D222"/>
    <mergeCell ref="E221:F221"/>
    <mergeCell ref="G221:G222"/>
    <mergeCell ref="B265:G265"/>
    <mergeCell ref="B242:H242"/>
    <mergeCell ref="B243:B244"/>
    <mergeCell ref="C243:C244"/>
    <mergeCell ref="D243:D244"/>
    <mergeCell ref="E243:F243"/>
    <mergeCell ref="G243:G244"/>
    <mergeCell ref="B198:H198"/>
    <mergeCell ref="B1:B2"/>
    <mergeCell ref="B9:B11"/>
    <mergeCell ref="B73:H73"/>
    <mergeCell ref="B134:H134"/>
    <mergeCell ref="B155:H155"/>
    <mergeCell ref="B176:H176"/>
    <mergeCell ref="B177:B178"/>
    <mergeCell ref="C177:C178"/>
    <mergeCell ref="D177:D178"/>
    <mergeCell ref="E177:F177"/>
    <mergeCell ref="G177:G178"/>
    <mergeCell ref="B113:H113"/>
    <mergeCell ref="B114:B115"/>
    <mergeCell ref="C114:C115"/>
    <mergeCell ref="D114:D115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O967"/>
  <sheetViews>
    <sheetView topLeftCell="B1" zoomScaleNormal="100" workbookViewId="0">
      <selection activeCell="D10" sqref="D10"/>
    </sheetView>
  </sheetViews>
  <sheetFormatPr baseColWidth="10" defaultColWidth="14.42578125" defaultRowHeight="15" customHeight="1" x14ac:dyDescent="0.2"/>
  <cols>
    <col min="1" max="1" width="9.140625" style="50" customWidth="1"/>
    <col min="2" max="2" width="12.7109375" style="50" customWidth="1"/>
    <col min="3" max="3" width="36.28515625" style="50" customWidth="1"/>
    <col min="4" max="4" width="16" style="50" customWidth="1"/>
    <col min="5" max="5" width="13.28515625" style="50" customWidth="1"/>
    <col min="6" max="6" width="12.42578125" style="50" customWidth="1"/>
    <col min="7" max="7" width="13.7109375" style="50" customWidth="1"/>
    <col min="8" max="8" width="15.140625" style="50" customWidth="1"/>
    <col min="9" max="9" width="8.140625" style="50" customWidth="1"/>
    <col min="10" max="10" width="8.7109375" style="50" customWidth="1"/>
    <col min="11" max="14" width="10" style="50" customWidth="1"/>
    <col min="15" max="15" width="14.7109375" style="50" customWidth="1"/>
    <col min="16" max="16384" width="14.42578125" style="50"/>
  </cols>
  <sheetData>
    <row r="1" spans="1:15" ht="12.75" customHeight="1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56.25" customHeight="1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ht="15" customHeight="1" x14ac:dyDescent="0.25">
      <c r="A3" s="49"/>
      <c r="B3" s="49"/>
      <c r="C3"/>
      <c r="D3"/>
      <c r="E3"/>
      <c r="F3"/>
      <c r="G3"/>
      <c r="H3"/>
      <c r="I3" s="49"/>
      <c r="J3" s="49"/>
      <c r="K3" s="49"/>
      <c r="L3" s="49"/>
      <c r="M3" s="49"/>
      <c r="N3" s="49"/>
      <c r="O3" s="49"/>
    </row>
    <row r="4" spans="1:15" ht="18.75" customHeight="1" x14ac:dyDescent="0.25">
      <c r="A4" s="49"/>
      <c r="B4" s="49"/>
      <c r="C4" s="600" t="s">
        <v>266</v>
      </c>
      <c r="D4" s="600"/>
      <c r="E4" s="600"/>
      <c r="F4" s="600"/>
      <c r="G4" s="600"/>
      <c r="H4" s="600"/>
      <c r="I4" s="49"/>
      <c r="J4" s="49"/>
      <c r="K4" s="49"/>
      <c r="L4" s="49"/>
      <c r="M4" s="49"/>
      <c r="N4" s="49"/>
      <c r="O4" s="49"/>
    </row>
    <row r="5" spans="1:15" ht="13.5" customHeight="1" thickBot="1" x14ac:dyDescent="0.3">
      <c r="A5" s="49"/>
      <c r="B5" s="49"/>
      <c r="C5" s="63"/>
      <c r="D5" s="63"/>
      <c r="E5" s="63"/>
      <c r="F5" s="63"/>
      <c r="G5" s="63"/>
      <c r="H5" s="49"/>
      <c r="I5" s="64"/>
      <c r="J5" s="49"/>
      <c r="K5" s="49"/>
      <c r="L5" s="49"/>
      <c r="M5" s="49"/>
      <c r="N5" s="49"/>
      <c r="O5" s="49"/>
    </row>
    <row r="6" spans="1:15" ht="12.75" customHeight="1" thickBot="1" x14ac:dyDescent="0.25">
      <c r="A6" s="49"/>
      <c r="B6" s="49"/>
      <c r="C6" s="169" t="s">
        <v>267</v>
      </c>
      <c r="D6" s="171">
        <v>1</v>
      </c>
      <c r="E6" s="171">
        <v>2</v>
      </c>
      <c r="F6" s="171">
        <v>3</v>
      </c>
      <c r="G6" s="171">
        <v>4</v>
      </c>
      <c r="H6" s="172">
        <v>5</v>
      </c>
      <c r="I6" s="66"/>
      <c r="J6" s="49"/>
      <c r="K6" s="49"/>
      <c r="L6" s="49"/>
      <c r="M6" s="49"/>
      <c r="N6" s="49"/>
      <c r="O6" s="49"/>
    </row>
    <row r="7" spans="1:15" ht="17.25" customHeight="1" x14ac:dyDescent="0.2">
      <c r="A7" s="49"/>
      <c r="B7" s="49"/>
      <c r="C7" s="407" t="s">
        <v>268</v>
      </c>
      <c r="D7" s="55"/>
      <c r="E7" s="55"/>
      <c r="F7" s="55"/>
      <c r="G7" s="55"/>
      <c r="H7" s="65"/>
      <c r="I7" s="70"/>
      <c r="J7" s="49"/>
      <c r="K7" s="49"/>
      <c r="L7" s="49"/>
      <c r="M7" s="49"/>
      <c r="N7" s="49"/>
      <c r="O7" s="49"/>
    </row>
    <row r="8" spans="1:15" ht="12.75" customHeight="1" x14ac:dyDescent="0.2">
      <c r="A8" s="49"/>
      <c r="B8" s="49"/>
      <c r="C8" s="408" t="s">
        <v>269</v>
      </c>
      <c r="D8" s="68">
        <f>'costos por mes'!C269</f>
        <v>455400</v>
      </c>
      <c r="E8" s="68">
        <f>'costos por mes'!D269</f>
        <v>673200</v>
      </c>
      <c r="F8" s="68">
        <f>'costos por mes'!E269</f>
        <v>673200</v>
      </c>
      <c r="G8" s="68">
        <f>'costos por mes'!F269</f>
        <v>673200</v>
      </c>
      <c r="H8" s="68">
        <f>'costos por mes'!G269</f>
        <v>673200</v>
      </c>
      <c r="I8" s="70"/>
      <c r="J8" s="49"/>
      <c r="K8" s="49"/>
      <c r="L8" s="49"/>
      <c r="M8" s="49"/>
      <c r="N8" s="49"/>
      <c r="O8" s="49"/>
    </row>
    <row r="9" spans="1:15" ht="12.75" customHeight="1" x14ac:dyDescent="0.2">
      <c r="A9" s="49"/>
      <c r="B9" s="49"/>
      <c r="C9" s="409" t="s">
        <v>270</v>
      </c>
      <c r="D9" s="510">
        <f>Planilla!I9</f>
        <v>57920.456666666665</v>
      </c>
      <c r="E9" s="510">
        <f>Planilla!$R$8</f>
        <v>85622.113333333327</v>
      </c>
      <c r="F9" s="510">
        <f>Planilla!$R$8</f>
        <v>85622.113333333327</v>
      </c>
      <c r="G9" s="510">
        <f>Planilla!$R$8</f>
        <v>85622.113333333327</v>
      </c>
      <c r="H9" s="510">
        <f>Planilla!$R$8</f>
        <v>85622.113333333327</v>
      </c>
      <c r="I9" s="511"/>
      <c r="J9" s="512"/>
      <c r="K9" s="512"/>
      <c r="L9" s="49"/>
      <c r="M9" s="49"/>
      <c r="N9" s="49"/>
      <c r="O9" s="49"/>
    </row>
    <row r="10" spans="1:15" ht="12.75" customHeight="1" x14ac:dyDescent="0.2">
      <c r="A10" s="49"/>
      <c r="B10" s="49"/>
      <c r="C10" s="409" t="s">
        <v>264</v>
      </c>
      <c r="D10" s="68">
        <f>'costos por mes'!C271</f>
        <v>2400</v>
      </c>
      <c r="E10" s="68">
        <f>'costos por mes'!D271</f>
        <v>3600</v>
      </c>
      <c r="F10" s="68">
        <f>'costos por mes'!E271</f>
        <v>3600</v>
      </c>
      <c r="G10" s="68">
        <f>'costos por mes'!F271</f>
        <v>3600</v>
      </c>
      <c r="H10" s="68">
        <f>'costos por mes'!G271</f>
        <v>3600</v>
      </c>
      <c r="I10" s="70"/>
      <c r="J10" s="49"/>
      <c r="K10" s="49"/>
      <c r="L10" s="49"/>
      <c r="M10" s="49"/>
      <c r="N10" s="49"/>
      <c r="O10" s="49"/>
    </row>
    <row r="11" spans="1:15" ht="13.5" customHeight="1" thickBot="1" x14ac:dyDescent="0.25">
      <c r="A11" s="49"/>
      <c r="B11" s="49"/>
      <c r="C11" s="274" t="s">
        <v>265</v>
      </c>
      <c r="D11" s="334">
        <f>'costos por mes'!C272</f>
        <v>473060</v>
      </c>
      <c r="E11" s="334">
        <f>'costos por mes'!D272</f>
        <v>691080</v>
      </c>
      <c r="F11" s="334">
        <f>'costos por mes'!E272</f>
        <v>691080</v>
      </c>
      <c r="G11" s="334">
        <f>'costos por mes'!F272</f>
        <v>691080</v>
      </c>
      <c r="H11" s="334">
        <f>'costos por mes'!G272</f>
        <v>691080</v>
      </c>
      <c r="I11" s="70"/>
      <c r="J11" s="49"/>
      <c r="K11" s="49"/>
      <c r="L11" s="49"/>
      <c r="M11" s="49"/>
      <c r="N11" s="49"/>
      <c r="O11" s="49"/>
    </row>
    <row r="12" spans="1:15" ht="12.75" customHeight="1" x14ac:dyDescent="0.2">
      <c r="A12" s="49"/>
      <c r="B12" s="49"/>
      <c r="C12" s="624"/>
      <c r="D12" s="597"/>
      <c r="E12" s="62"/>
      <c r="F12" s="62"/>
      <c r="G12" s="62"/>
      <c r="H12" s="62"/>
      <c r="I12" s="70"/>
      <c r="J12" s="49"/>
      <c r="K12" s="49"/>
      <c r="L12" s="49"/>
      <c r="M12" s="49"/>
      <c r="N12" s="49"/>
      <c r="O12" s="49"/>
    </row>
    <row r="13" spans="1:15" ht="12.75" customHeight="1" x14ac:dyDescent="0.2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</row>
    <row r="14" spans="1:15" ht="12.75" customHeight="1" x14ac:dyDescent="0.2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</row>
    <row r="15" spans="1:15" ht="12.75" customHeight="1" x14ac:dyDescent="0.2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</row>
    <row r="16" spans="1:15" ht="12.75" customHeight="1" x14ac:dyDescent="0.2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1:15" ht="12.75" customHeight="1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</row>
    <row r="18" spans="1:15" ht="12.75" customHeight="1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5" ht="12.7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5" ht="12.75" customHeight="1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5" ht="12.75" customHeight="1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</row>
    <row r="22" spans="1:15" ht="12.75" customHeight="1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</row>
    <row r="23" spans="1:15" ht="12.75" customHeight="1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</row>
    <row r="24" spans="1:15" ht="12.75" customHeight="1" x14ac:dyDescent="0.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5" ht="12.75" customHeight="1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2.75" customHeight="1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spans="1:15" ht="12.75" customHeight="1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</row>
    <row r="28" spans="1:15" ht="12.75" customHeight="1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1:15" ht="12.75" customHeight="1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</row>
    <row r="30" spans="1:15" ht="12.75" customHeight="1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</row>
    <row r="31" spans="1:15" ht="12.75" customHeight="1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ht="12.75" customHeight="1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</row>
    <row r="33" spans="1:15" ht="12.75" customHeight="1" x14ac:dyDescent="0.2">
      <c r="A33" s="49"/>
      <c r="B33" s="49"/>
      <c r="C33" s="49"/>
      <c r="D33" s="49" t="s">
        <v>271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spans="1:15" ht="12.75" customHeight="1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  <row r="35" spans="1:15" ht="12.75" customHeight="1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</row>
    <row r="36" spans="1:15" ht="12.75" customHeight="1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</row>
    <row r="37" spans="1:15" ht="12.75" customHeight="1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</row>
    <row r="38" spans="1:15" ht="12.75" customHeight="1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</row>
    <row r="39" spans="1:15" ht="12.75" customHeight="1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</row>
    <row r="40" spans="1:15" ht="12.75" customHeight="1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</row>
    <row r="41" spans="1:15" ht="12.75" customHeight="1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</row>
    <row r="42" spans="1:15" ht="12.75" customHeigh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</row>
    <row r="43" spans="1:15" ht="12.75" customHeight="1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</row>
    <row r="44" spans="1:15" ht="12.75" customHeight="1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2.75" customHeight="1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</row>
    <row r="46" spans="1:15" ht="12.75" customHeight="1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</row>
    <row r="47" spans="1:15" ht="12.75" customHeight="1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</row>
    <row r="48" spans="1:15" ht="12.75" customHeight="1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</row>
    <row r="49" spans="1:15" ht="12.75" customHeight="1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</row>
    <row r="50" spans="1:15" ht="12.75" customHeight="1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1:15" ht="12.75" customHeight="1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</row>
    <row r="52" spans="1:15" ht="12.75" customHeight="1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</row>
    <row r="53" spans="1:15" ht="12.75" customHeight="1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</row>
    <row r="54" spans="1:15" ht="12.75" customHeight="1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</row>
    <row r="55" spans="1:15" ht="12.75" customHeight="1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</row>
    <row r="56" spans="1:15" ht="12.75" customHeight="1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</row>
    <row r="57" spans="1:15" ht="12.75" customHeight="1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</row>
    <row r="58" spans="1:15" ht="12.75" customHeight="1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</row>
    <row r="59" spans="1:15" ht="12.75" customHeight="1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</row>
    <row r="60" spans="1:15" ht="12.75" customHeight="1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</row>
    <row r="61" spans="1:15" ht="12.75" customHeight="1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</row>
    <row r="62" spans="1:15" ht="12.75" customHeight="1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</row>
    <row r="63" spans="1:15" ht="12.75" customHeight="1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t="12.75" customHeight="1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</row>
    <row r="65" spans="1:15" ht="12.75" customHeight="1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t="12.75" customHeight="1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</row>
    <row r="67" spans="1:15" ht="12.75" customHeight="1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  <row r="68" spans="1:15" ht="12.75" customHeight="1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</row>
    <row r="69" spans="1:15" ht="12.75" customHeight="1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</row>
    <row r="70" spans="1:15" ht="12.75" customHeight="1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</row>
    <row r="71" spans="1:15" ht="12.75" customHeight="1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</row>
    <row r="72" spans="1:15" ht="12.75" customHeight="1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</row>
    <row r="73" spans="1:15" ht="12.75" customHeight="1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</row>
    <row r="74" spans="1:15" ht="12.75" customHeight="1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</row>
    <row r="75" spans="1:15" ht="12.75" customHeight="1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</row>
    <row r="76" spans="1:15" ht="12.75" customHeight="1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</row>
    <row r="77" spans="1:15" ht="12.75" customHeight="1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</row>
    <row r="78" spans="1:15" ht="12.75" customHeight="1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</row>
    <row r="79" spans="1:15" ht="12.75" customHeight="1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</row>
    <row r="80" spans="1:15" ht="12.75" customHeight="1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</row>
    <row r="81" spans="1:15" ht="12.75" customHeight="1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</row>
    <row r="82" spans="1:15" ht="12.75" customHeight="1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</row>
    <row r="83" spans="1:15" ht="12.75" customHeight="1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</row>
    <row r="84" spans="1:15" ht="12.75" customHeight="1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</row>
    <row r="85" spans="1:15" ht="12.75" customHeight="1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</row>
    <row r="86" spans="1:15" ht="12.75" customHeight="1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</row>
    <row r="87" spans="1:15" ht="12.75" customHeight="1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</row>
    <row r="88" spans="1:15" ht="12.75" customHeight="1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</row>
    <row r="89" spans="1:15" ht="12.75" customHeight="1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</row>
    <row r="90" spans="1:15" ht="12.75" customHeight="1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</row>
    <row r="91" spans="1:15" ht="12.75" customHeight="1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</row>
    <row r="92" spans="1:15" ht="12.75" customHeight="1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</row>
    <row r="93" spans="1:15" ht="12.75" customHeight="1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</row>
    <row r="94" spans="1:15" ht="12.75" customHeight="1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</row>
    <row r="95" spans="1:15" ht="12.75" customHeight="1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1:15" ht="12.75" customHeight="1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</row>
    <row r="97" spans="1:15" ht="12.75" customHeight="1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</row>
    <row r="98" spans="1:15" ht="12.75" customHeight="1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</row>
    <row r="99" spans="1:15" ht="12.75" customHeight="1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</row>
    <row r="100" spans="1:15" ht="12.75" customHeight="1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1:15" ht="12.75" customHeight="1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1:15" ht="12.75" customHeight="1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1:15" ht="12.75" customHeight="1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1:15" ht="12.75" customHeight="1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1:15" ht="12.75" customHeight="1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1:15" ht="12.75" customHeight="1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1:15" ht="12.75" customHeight="1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1:15" ht="12.75" customHeight="1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1:15" ht="12.75" customHeight="1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</row>
    <row r="110" spans="1:15" ht="12.75" customHeight="1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</row>
    <row r="111" spans="1:15" ht="12.75" customHeight="1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</row>
    <row r="112" spans="1:15" ht="12.75" customHeight="1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</row>
    <row r="113" spans="1:15" ht="12.75" customHeight="1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</row>
    <row r="114" spans="1:15" ht="12.75" customHeight="1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</row>
    <row r="115" spans="1:15" ht="12.75" customHeight="1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</row>
    <row r="116" spans="1:15" ht="12.75" customHeight="1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</row>
    <row r="117" spans="1:15" ht="12.75" customHeight="1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</row>
    <row r="118" spans="1:15" ht="12.75" customHeight="1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</row>
    <row r="119" spans="1:15" ht="12.75" customHeight="1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</row>
    <row r="120" spans="1:15" ht="12.75" customHeight="1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</row>
    <row r="121" spans="1:15" ht="12.75" customHeight="1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</row>
    <row r="122" spans="1:15" ht="12.75" customHeight="1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</row>
    <row r="123" spans="1:15" ht="12.75" customHeight="1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</row>
    <row r="124" spans="1:15" ht="12.75" customHeight="1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</row>
    <row r="125" spans="1:15" ht="12.75" customHeight="1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</row>
    <row r="126" spans="1:15" ht="12.75" customHeight="1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</row>
    <row r="127" spans="1:15" ht="12.75" customHeight="1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</row>
    <row r="128" spans="1:15" ht="12.75" customHeight="1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1:15" ht="12.75" customHeight="1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1:15" ht="12.75" customHeight="1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1:15" ht="12.75" customHeight="1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1:15" ht="12.75" customHeight="1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1:15" ht="12.75" customHeight="1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1:15" ht="12.75" customHeight="1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1:15" ht="12.75" customHeight="1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</row>
    <row r="136" spans="1:15" ht="12.75" customHeight="1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1:15" ht="12.75" customHeight="1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</row>
    <row r="138" spans="1:15" ht="12.75" customHeight="1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1:15" ht="12.75" customHeight="1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1:15" ht="12.75" customHeight="1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1:15" ht="12.75" customHeight="1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1:15" ht="12.75" customHeight="1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</row>
    <row r="143" spans="1:15" ht="12.75" customHeight="1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</row>
    <row r="144" spans="1:15" ht="12.75" customHeight="1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</row>
    <row r="145" spans="1:15" ht="12.75" customHeight="1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</row>
    <row r="146" spans="1:15" ht="12.75" customHeight="1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</row>
    <row r="147" spans="1:15" ht="12.75" customHeight="1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</row>
    <row r="148" spans="1:15" ht="12.75" customHeight="1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</row>
    <row r="149" spans="1:15" ht="12.75" customHeight="1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</row>
    <row r="150" spans="1:15" ht="12.75" customHeight="1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</row>
    <row r="151" spans="1:15" ht="12.75" customHeight="1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</row>
    <row r="152" spans="1:15" ht="12.75" customHeight="1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</row>
    <row r="153" spans="1:15" ht="12.75" customHeight="1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</row>
    <row r="154" spans="1:15" ht="12.75" customHeight="1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</row>
    <row r="155" spans="1:15" ht="12.75" customHeight="1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</row>
    <row r="156" spans="1:15" ht="12.75" customHeight="1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</row>
    <row r="157" spans="1:15" ht="12.75" customHeight="1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</row>
    <row r="158" spans="1:15" ht="12.75" customHeight="1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</row>
    <row r="159" spans="1:15" ht="12.75" customHeight="1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</row>
    <row r="160" spans="1:15" ht="12.75" customHeight="1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</row>
    <row r="161" spans="1:15" ht="12.75" customHeight="1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</row>
    <row r="162" spans="1:15" ht="12.75" customHeight="1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</row>
    <row r="163" spans="1:15" ht="12.75" customHeight="1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</row>
    <row r="164" spans="1:15" ht="12.75" customHeight="1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</row>
    <row r="165" spans="1:15" ht="12.75" customHeight="1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</row>
    <row r="166" spans="1:15" ht="12.75" customHeight="1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</row>
    <row r="167" spans="1:15" ht="12.75" customHeight="1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</row>
    <row r="168" spans="1:15" ht="12.75" customHeight="1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</row>
    <row r="169" spans="1:15" ht="12.75" customHeight="1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</row>
    <row r="170" spans="1:15" ht="12.75" customHeight="1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</row>
    <row r="171" spans="1:15" ht="12.75" customHeight="1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</row>
    <row r="172" spans="1:15" ht="12.75" customHeight="1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</row>
    <row r="173" spans="1:15" ht="12.75" customHeight="1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</row>
    <row r="174" spans="1:15" ht="12.75" customHeight="1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</row>
    <row r="175" spans="1:15" ht="12.75" customHeight="1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</row>
    <row r="176" spans="1:15" ht="12.75" customHeight="1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</row>
    <row r="177" spans="1:15" ht="12.75" customHeight="1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</row>
    <row r="178" spans="1:15" ht="12.75" customHeight="1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</row>
    <row r="179" spans="1:15" ht="12.75" customHeight="1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</row>
    <row r="180" spans="1:15" ht="12.75" customHeight="1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</row>
    <row r="181" spans="1:15" ht="12.75" customHeight="1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</row>
    <row r="182" spans="1:15" ht="12.75" customHeight="1" x14ac:dyDescent="0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</row>
    <row r="183" spans="1:15" ht="12.75" customHeight="1" x14ac:dyDescent="0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</row>
    <row r="184" spans="1:15" ht="12.75" customHeight="1" x14ac:dyDescent="0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</row>
    <row r="185" spans="1:15" ht="12.75" customHeight="1" x14ac:dyDescent="0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</row>
    <row r="186" spans="1:15" ht="12.75" customHeight="1" x14ac:dyDescent="0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</row>
    <row r="187" spans="1:15" ht="12.75" customHeight="1" x14ac:dyDescent="0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</row>
    <row r="188" spans="1:15" ht="12.75" customHeight="1" x14ac:dyDescent="0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</row>
    <row r="189" spans="1:15" ht="12.75" customHeight="1" x14ac:dyDescent="0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</row>
    <row r="190" spans="1:15" ht="12.75" customHeight="1" x14ac:dyDescent="0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</row>
    <row r="191" spans="1:15" ht="12.75" customHeight="1" x14ac:dyDescent="0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</row>
    <row r="192" spans="1:15" ht="12.75" customHeight="1" x14ac:dyDescent="0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</row>
    <row r="193" spans="1:15" ht="12.75" customHeight="1" x14ac:dyDescent="0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</row>
    <row r="194" spans="1:15" ht="12.75" customHeight="1" x14ac:dyDescent="0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</row>
    <row r="195" spans="1:15" ht="12.75" customHeight="1" x14ac:dyDescent="0.2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</row>
    <row r="196" spans="1:15" ht="12.75" customHeight="1" x14ac:dyDescent="0.2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</row>
    <row r="197" spans="1:15" ht="12.75" customHeight="1" x14ac:dyDescent="0.2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</row>
    <row r="198" spans="1:15" ht="12.75" customHeight="1" x14ac:dyDescent="0.2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</row>
    <row r="199" spans="1:15" ht="12.75" customHeight="1" x14ac:dyDescent="0.2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</row>
    <row r="200" spans="1:15" ht="12.75" customHeight="1" x14ac:dyDescent="0.2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</row>
    <row r="201" spans="1:15" ht="12.75" customHeight="1" x14ac:dyDescent="0.2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</row>
    <row r="202" spans="1:15" ht="12.75" customHeight="1" x14ac:dyDescent="0.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</row>
    <row r="203" spans="1:15" ht="12.75" customHeight="1" x14ac:dyDescent="0.2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</row>
    <row r="204" spans="1:15" ht="12.75" customHeight="1" x14ac:dyDescent="0.2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</row>
    <row r="205" spans="1:15" ht="12.75" customHeight="1" x14ac:dyDescent="0.2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</row>
    <row r="206" spans="1:15" ht="12.75" customHeight="1" x14ac:dyDescent="0.2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</row>
    <row r="207" spans="1:15" ht="12.75" customHeight="1" x14ac:dyDescent="0.2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</row>
    <row r="208" spans="1:15" ht="12.75" customHeight="1" x14ac:dyDescent="0.2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</row>
    <row r="209" spans="1:15" ht="12.75" customHeight="1" x14ac:dyDescent="0.2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</row>
    <row r="210" spans="1:15" ht="12.75" customHeight="1" x14ac:dyDescent="0.2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</row>
    <row r="211" spans="1:15" ht="12.75" customHeight="1" x14ac:dyDescent="0.2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</row>
    <row r="212" spans="1:15" ht="12.75" customHeight="1" x14ac:dyDescent="0.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</row>
    <row r="213" spans="1:15" ht="12.75" customHeight="1" x14ac:dyDescent="0.2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</row>
    <row r="214" spans="1:15" ht="12.75" customHeight="1" x14ac:dyDescent="0.2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</row>
    <row r="215" spans="1:15" ht="12.75" customHeight="1" x14ac:dyDescent="0.2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</row>
    <row r="216" spans="1:15" ht="12.75" customHeight="1" x14ac:dyDescent="0.2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</row>
    <row r="217" spans="1:15" ht="12.75" customHeight="1" x14ac:dyDescent="0.2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</row>
    <row r="218" spans="1:15" ht="12.75" customHeight="1" x14ac:dyDescent="0.2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</row>
    <row r="219" spans="1:15" ht="12.75" customHeight="1" x14ac:dyDescent="0.2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</row>
    <row r="220" spans="1:15" ht="12.75" customHeight="1" x14ac:dyDescent="0.2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</row>
    <row r="221" spans="1:15" ht="12.75" customHeight="1" x14ac:dyDescent="0.2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</row>
    <row r="222" spans="1:15" ht="12.75" customHeight="1" x14ac:dyDescent="0.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</row>
    <row r="223" spans="1:15" ht="12.75" customHeight="1" x14ac:dyDescent="0.2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</row>
    <row r="224" spans="1:15" ht="12.75" customHeight="1" x14ac:dyDescent="0.2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</row>
    <row r="225" spans="1:15" ht="12.75" customHeight="1" x14ac:dyDescent="0.2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</row>
    <row r="226" spans="1:15" ht="12.75" customHeight="1" x14ac:dyDescent="0.2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</row>
    <row r="227" spans="1:15" ht="12.75" customHeight="1" x14ac:dyDescent="0.2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</row>
    <row r="228" spans="1:15" ht="12.75" customHeight="1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</row>
    <row r="229" spans="1:15" ht="12.75" customHeight="1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</row>
    <row r="230" spans="1:15" ht="12.75" customHeight="1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</row>
    <row r="231" spans="1:15" ht="12.75" customHeight="1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</row>
    <row r="232" spans="1:15" ht="12.75" customHeight="1" x14ac:dyDescent="0.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</row>
    <row r="233" spans="1:15" ht="12.75" customHeight="1" x14ac:dyDescent="0.2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</row>
    <row r="234" spans="1:15" ht="12.75" customHeight="1" x14ac:dyDescent="0.2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</row>
    <row r="235" spans="1:15" ht="12.75" customHeight="1" x14ac:dyDescent="0.2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</row>
    <row r="236" spans="1:15" ht="12.75" customHeight="1" x14ac:dyDescent="0.2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</row>
    <row r="237" spans="1:15" ht="12.75" customHeight="1" x14ac:dyDescent="0.2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</row>
    <row r="238" spans="1:15" ht="12.75" customHeight="1" x14ac:dyDescent="0.2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</row>
    <row r="239" spans="1:15" ht="12.75" customHeight="1" x14ac:dyDescent="0.2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</row>
    <row r="240" spans="1:15" ht="12.75" customHeight="1" x14ac:dyDescent="0.2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</row>
    <row r="241" spans="1:15" ht="12.75" customHeight="1" x14ac:dyDescent="0.2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</row>
    <row r="242" spans="1:15" ht="12.75" customHeight="1" x14ac:dyDescent="0.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</row>
    <row r="243" spans="1:15" ht="12.75" customHeight="1" x14ac:dyDescent="0.2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</row>
    <row r="244" spans="1:15" ht="12.75" customHeight="1" x14ac:dyDescent="0.2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</row>
    <row r="245" spans="1:15" ht="12.75" customHeight="1" x14ac:dyDescent="0.2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</row>
    <row r="246" spans="1:15" ht="12.75" customHeight="1" x14ac:dyDescent="0.2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</row>
    <row r="247" spans="1:15" ht="12.75" customHeight="1" x14ac:dyDescent="0.2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</row>
    <row r="248" spans="1:15" ht="12.75" customHeight="1" x14ac:dyDescent="0.2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</row>
    <row r="249" spans="1:15" ht="12.75" customHeight="1" x14ac:dyDescent="0.2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</row>
    <row r="250" spans="1:15" ht="12.75" customHeight="1" x14ac:dyDescent="0.2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</row>
    <row r="251" spans="1:15" ht="12.75" customHeight="1" x14ac:dyDescent="0.2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</row>
    <row r="252" spans="1:15" ht="12.75" customHeight="1" x14ac:dyDescent="0.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</row>
    <row r="253" spans="1:15" ht="12.75" customHeight="1" x14ac:dyDescent="0.2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</row>
    <row r="254" spans="1:15" ht="12.75" customHeight="1" x14ac:dyDescent="0.2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</row>
    <row r="255" spans="1:15" ht="12.75" customHeight="1" x14ac:dyDescent="0.2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</row>
    <row r="256" spans="1:15" ht="12.75" customHeight="1" x14ac:dyDescent="0.2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</row>
    <row r="257" spans="1:15" ht="12.75" customHeight="1" x14ac:dyDescent="0.2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</row>
    <row r="258" spans="1:15" ht="12.75" customHeight="1" x14ac:dyDescent="0.2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</row>
    <row r="259" spans="1:15" ht="12.75" customHeight="1" x14ac:dyDescent="0.2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</row>
    <row r="260" spans="1:15" ht="12.75" customHeight="1" x14ac:dyDescent="0.2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</row>
    <row r="261" spans="1:15" ht="12.75" customHeight="1" x14ac:dyDescent="0.2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</row>
    <row r="262" spans="1:15" ht="12.75" customHeight="1" x14ac:dyDescent="0.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</row>
    <row r="263" spans="1:15" ht="12.75" customHeight="1" x14ac:dyDescent="0.2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</row>
    <row r="264" spans="1:15" ht="12.75" customHeight="1" x14ac:dyDescent="0.2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</row>
    <row r="265" spans="1:15" ht="12.75" customHeight="1" x14ac:dyDescent="0.2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</row>
    <row r="266" spans="1:15" ht="12.75" customHeight="1" x14ac:dyDescent="0.2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</row>
    <row r="267" spans="1:15" ht="12.75" customHeight="1" x14ac:dyDescent="0.2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</row>
    <row r="268" spans="1:15" ht="12.75" customHeight="1" x14ac:dyDescent="0.2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</row>
    <row r="269" spans="1:15" ht="12.75" customHeight="1" x14ac:dyDescent="0.2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</row>
    <row r="270" spans="1:15" ht="12.75" customHeight="1" x14ac:dyDescent="0.2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</row>
    <row r="271" spans="1:15" ht="12.75" customHeight="1" x14ac:dyDescent="0.2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</row>
    <row r="272" spans="1:15" ht="12.75" customHeight="1" x14ac:dyDescent="0.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</row>
    <row r="273" spans="1:15" ht="12.75" customHeight="1" x14ac:dyDescent="0.2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</row>
    <row r="274" spans="1:15" ht="12.75" customHeight="1" x14ac:dyDescent="0.2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</row>
    <row r="275" spans="1:15" ht="12.75" customHeight="1" x14ac:dyDescent="0.2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</row>
    <row r="276" spans="1:15" ht="12.75" customHeight="1" x14ac:dyDescent="0.2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</row>
    <row r="277" spans="1:15" ht="12.75" customHeight="1" x14ac:dyDescent="0.2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</row>
    <row r="278" spans="1:15" ht="12.75" customHeight="1" x14ac:dyDescent="0.2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</row>
    <row r="279" spans="1:15" ht="12.75" customHeight="1" x14ac:dyDescent="0.2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</row>
    <row r="280" spans="1:15" ht="12.75" customHeight="1" x14ac:dyDescent="0.2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</row>
    <row r="281" spans="1:15" ht="12.75" customHeight="1" x14ac:dyDescent="0.2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</row>
    <row r="282" spans="1:15" ht="12.75" customHeight="1" x14ac:dyDescent="0.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</row>
    <row r="283" spans="1:15" ht="12.75" customHeight="1" x14ac:dyDescent="0.2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</row>
    <row r="284" spans="1:15" ht="12.75" customHeight="1" x14ac:dyDescent="0.2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</row>
    <row r="285" spans="1:15" ht="12.75" customHeight="1" x14ac:dyDescent="0.2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</row>
    <row r="286" spans="1:15" ht="12.75" customHeight="1" x14ac:dyDescent="0.2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</row>
    <row r="287" spans="1:15" ht="12.75" customHeight="1" x14ac:dyDescent="0.2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</row>
    <row r="288" spans="1:15" ht="12.75" customHeight="1" x14ac:dyDescent="0.2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</row>
    <row r="289" spans="1:15" ht="12.75" customHeight="1" x14ac:dyDescent="0.2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</row>
    <row r="290" spans="1:15" ht="12.75" customHeight="1" x14ac:dyDescent="0.2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</row>
    <row r="291" spans="1:15" ht="12.75" customHeight="1" x14ac:dyDescent="0.2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</row>
    <row r="292" spans="1:15" ht="12.75" customHeight="1" x14ac:dyDescent="0.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</row>
    <row r="293" spans="1:15" ht="12.75" customHeight="1" x14ac:dyDescent="0.2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</row>
    <row r="294" spans="1:15" ht="12.75" customHeight="1" x14ac:dyDescent="0.2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</row>
    <row r="295" spans="1:15" ht="12.75" customHeight="1" x14ac:dyDescent="0.2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</row>
    <row r="296" spans="1:15" ht="12.75" customHeight="1" x14ac:dyDescent="0.2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</row>
    <row r="297" spans="1:15" ht="12.75" customHeight="1" x14ac:dyDescent="0.2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</row>
    <row r="298" spans="1:15" ht="12.75" customHeight="1" x14ac:dyDescent="0.2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</row>
    <row r="299" spans="1:15" ht="12.75" customHeight="1" x14ac:dyDescent="0.2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</row>
    <row r="300" spans="1:15" ht="12.75" customHeight="1" x14ac:dyDescent="0.2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</row>
    <row r="301" spans="1:15" ht="12.75" customHeight="1" x14ac:dyDescent="0.2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</row>
    <row r="302" spans="1:15" ht="12.75" customHeight="1" x14ac:dyDescent="0.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</row>
    <row r="303" spans="1:15" ht="12.75" customHeight="1" x14ac:dyDescent="0.2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</row>
    <row r="304" spans="1:15" ht="12.75" customHeight="1" x14ac:dyDescent="0.2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</row>
    <row r="305" spans="1:15" ht="12.75" customHeight="1" x14ac:dyDescent="0.2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</row>
    <row r="306" spans="1:15" ht="12.75" customHeight="1" x14ac:dyDescent="0.2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</row>
    <row r="307" spans="1:15" ht="12.75" customHeight="1" x14ac:dyDescent="0.2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</row>
    <row r="308" spans="1:15" ht="12.75" customHeight="1" x14ac:dyDescent="0.2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</row>
    <row r="309" spans="1:15" ht="12.75" customHeight="1" x14ac:dyDescent="0.2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</row>
    <row r="310" spans="1:15" ht="12.75" customHeight="1" x14ac:dyDescent="0.2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</row>
    <row r="311" spans="1:15" ht="12.75" customHeight="1" x14ac:dyDescent="0.2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</row>
    <row r="312" spans="1:15" ht="12.75" customHeight="1" x14ac:dyDescent="0.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</row>
    <row r="313" spans="1:15" ht="12.75" customHeight="1" x14ac:dyDescent="0.2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</row>
    <row r="314" spans="1:15" ht="12.75" customHeight="1" x14ac:dyDescent="0.2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</row>
    <row r="315" spans="1:15" ht="12.75" customHeight="1" x14ac:dyDescent="0.2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</row>
    <row r="316" spans="1:15" ht="12.75" customHeight="1" x14ac:dyDescent="0.2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</row>
    <row r="317" spans="1:15" ht="12.75" customHeight="1" x14ac:dyDescent="0.2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</row>
    <row r="318" spans="1:15" ht="12.75" customHeight="1" x14ac:dyDescent="0.2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</row>
    <row r="319" spans="1:15" ht="12.75" customHeight="1" x14ac:dyDescent="0.2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</row>
    <row r="320" spans="1:15" ht="12.75" customHeight="1" x14ac:dyDescent="0.2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</row>
    <row r="321" spans="1:15" ht="12.75" customHeight="1" x14ac:dyDescent="0.2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</row>
    <row r="322" spans="1:15" ht="12.75" customHeight="1" x14ac:dyDescent="0.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</row>
    <row r="323" spans="1:15" ht="12.75" customHeight="1" x14ac:dyDescent="0.2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</row>
    <row r="324" spans="1:15" ht="12.75" customHeight="1" x14ac:dyDescent="0.2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</row>
    <row r="325" spans="1:15" ht="12.75" customHeight="1" x14ac:dyDescent="0.2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</row>
    <row r="326" spans="1:15" ht="12.75" customHeight="1" x14ac:dyDescent="0.2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</row>
    <row r="327" spans="1:15" ht="12.75" customHeight="1" x14ac:dyDescent="0.2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</row>
    <row r="328" spans="1:15" ht="12.75" customHeight="1" x14ac:dyDescent="0.2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</row>
    <row r="329" spans="1:15" ht="12.75" customHeight="1" x14ac:dyDescent="0.2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</row>
    <row r="330" spans="1:15" ht="12.75" customHeight="1" x14ac:dyDescent="0.2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</row>
    <row r="331" spans="1:15" ht="12.75" customHeight="1" x14ac:dyDescent="0.2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</row>
    <row r="332" spans="1:15" ht="12.75" customHeight="1" x14ac:dyDescent="0.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</row>
    <row r="333" spans="1:15" ht="12.75" customHeight="1" x14ac:dyDescent="0.2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</row>
    <row r="334" spans="1:15" ht="12.75" customHeight="1" x14ac:dyDescent="0.2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</row>
    <row r="335" spans="1:15" ht="12.75" customHeight="1" x14ac:dyDescent="0.2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</row>
    <row r="336" spans="1:15" ht="12.75" customHeight="1" x14ac:dyDescent="0.2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</row>
    <row r="337" spans="1:15" ht="12.75" customHeight="1" x14ac:dyDescent="0.2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</row>
    <row r="338" spans="1:15" ht="12.75" customHeight="1" x14ac:dyDescent="0.2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</row>
    <row r="339" spans="1:15" ht="12.75" customHeight="1" x14ac:dyDescent="0.2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</row>
    <row r="340" spans="1:15" ht="12.75" customHeight="1" x14ac:dyDescent="0.2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</row>
    <row r="341" spans="1:15" ht="12.75" customHeight="1" x14ac:dyDescent="0.2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</row>
    <row r="342" spans="1:15" ht="12.75" customHeight="1" x14ac:dyDescent="0.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</row>
    <row r="343" spans="1:15" ht="12.75" customHeight="1" x14ac:dyDescent="0.2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</row>
    <row r="344" spans="1:15" ht="12.75" customHeight="1" x14ac:dyDescent="0.2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</row>
    <row r="345" spans="1:15" ht="12.75" customHeight="1" x14ac:dyDescent="0.2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</row>
    <row r="346" spans="1:15" ht="12.75" customHeight="1" x14ac:dyDescent="0.2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</row>
    <row r="347" spans="1:15" ht="12.75" customHeight="1" x14ac:dyDescent="0.2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</row>
    <row r="348" spans="1:15" ht="12.75" customHeight="1" x14ac:dyDescent="0.2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</row>
    <row r="349" spans="1:15" ht="12.75" customHeight="1" x14ac:dyDescent="0.2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</row>
    <row r="350" spans="1:15" ht="12.75" customHeight="1" x14ac:dyDescent="0.2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</row>
    <row r="351" spans="1:15" ht="12.75" customHeight="1" x14ac:dyDescent="0.2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</row>
    <row r="352" spans="1:15" ht="12.75" customHeight="1" x14ac:dyDescent="0.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</row>
    <row r="353" spans="1:15" ht="12.75" customHeight="1" x14ac:dyDescent="0.2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</row>
    <row r="354" spans="1:15" ht="12.75" customHeight="1" x14ac:dyDescent="0.2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</row>
    <row r="355" spans="1:15" ht="12.75" customHeight="1" x14ac:dyDescent="0.2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</row>
    <row r="356" spans="1:15" ht="12.75" customHeight="1" x14ac:dyDescent="0.2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</row>
    <row r="357" spans="1:15" ht="12.75" customHeight="1" x14ac:dyDescent="0.2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</row>
    <row r="358" spans="1:15" ht="12.75" customHeight="1" x14ac:dyDescent="0.2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</row>
    <row r="359" spans="1:15" ht="12.75" customHeight="1" x14ac:dyDescent="0.2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</row>
    <row r="360" spans="1:15" ht="12.75" customHeight="1" x14ac:dyDescent="0.2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</row>
    <row r="361" spans="1:15" ht="12.75" customHeight="1" x14ac:dyDescent="0.2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</row>
    <row r="362" spans="1:15" ht="12.75" customHeight="1" x14ac:dyDescent="0.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</row>
    <row r="363" spans="1:15" ht="12.75" customHeight="1" x14ac:dyDescent="0.2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</row>
    <row r="364" spans="1:15" ht="12.75" customHeight="1" x14ac:dyDescent="0.2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</row>
    <row r="365" spans="1:15" ht="12.75" customHeight="1" x14ac:dyDescent="0.2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</row>
    <row r="366" spans="1:15" ht="12.75" customHeight="1" x14ac:dyDescent="0.2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</row>
    <row r="367" spans="1:15" ht="12.75" customHeight="1" x14ac:dyDescent="0.2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</row>
    <row r="368" spans="1:15" ht="12.75" customHeight="1" x14ac:dyDescent="0.2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</row>
    <row r="369" spans="1:15" ht="12.75" customHeight="1" x14ac:dyDescent="0.2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</row>
    <row r="370" spans="1:15" ht="12.75" customHeight="1" x14ac:dyDescent="0.2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</row>
    <row r="371" spans="1:15" ht="12.75" customHeight="1" x14ac:dyDescent="0.2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</row>
    <row r="372" spans="1:15" ht="12.75" customHeight="1" x14ac:dyDescent="0.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</row>
    <row r="373" spans="1:15" ht="12.75" customHeight="1" x14ac:dyDescent="0.2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</row>
    <row r="374" spans="1:15" ht="12.75" customHeight="1" x14ac:dyDescent="0.2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</row>
    <row r="375" spans="1:15" ht="12.75" customHeight="1" x14ac:dyDescent="0.2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</row>
    <row r="376" spans="1:15" ht="12.75" customHeight="1" x14ac:dyDescent="0.2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</row>
    <row r="377" spans="1:15" ht="12.75" customHeight="1" x14ac:dyDescent="0.2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</row>
    <row r="378" spans="1:15" ht="12.75" customHeight="1" x14ac:dyDescent="0.2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</row>
    <row r="379" spans="1:15" ht="12.75" customHeight="1" x14ac:dyDescent="0.2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</row>
    <row r="380" spans="1:15" ht="12.75" customHeight="1" x14ac:dyDescent="0.2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</row>
    <row r="381" spans="1:15" ht="12.75" customHeight="1" x14ac:dyDescent="0.2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</row>
    <row r="382" spans="1:15" ht="12.75" customHeight="1" x14ac:dyDescent="0.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</row>
    <row r="383" spans="1:15" ht="12.75" customHeight="1" x14ac:dyDescent="0.2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</row>
    <row r="384" spans="1:15" ht="12.75" customHeight="1" x14ac:dyDescent="0.2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</row>
    <row r="385" spans="1:15" ht="12.75" customHeight="1" x14ac:dyDescent="0.2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</row>
    <row r="386" spans="1:15" ht="12.75" customHeight="1" x14ac:dyDescent="0.2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</row>
    <row r="387" spans="1:15" ht="12.75" customHeight="1" x14ac:dyDescent="0.2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</row>
    <row r="388" spans="1:15" ht="12.75" customHeight="1" x14ac:dyDescent="0.2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</row>
    <row r="389" spans="1:15" ht="12.75" customHeight="1" x14ac:dyDescent="0.2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</row>
    <row r="390" spans="1:15" ht="12.75" customHeight="1" x14ac:dyDescent="0.2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</row>
    <row r="391" spans="1:15" ht="12.75" customHeight="1" x14ac:dyDescent="0.2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</row>
    <row r="392" spans="1:15" ht="12.75" customHeight="1" x14ac:dyDescent="0.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</row>
    <row r="393" spans="1:15" ht="12.75" customHeight="1" x14ac:dyDescent="0.2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</row>
    <row r="394" spans="1:15" ht="12.75" customHeight="1" x14ac:dyDescent="0.2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</row>
    <row r="395" spans="1:15" ht="12.75" customHeight="1" x14ac:dyDescent="0.2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</row>
    <row r="396" spans="1:15" ht="12.75" customHeight="1" x14ac:dyDescent="0.2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</row>
    <row r="397" spans="1:15" ht="12.75" customHeight="1" x14ac:dyDescent="0.2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</row>
    <row r="398" spans="1:15" ht="12.75" customHeight="1" x14ac:dyDescent="0.2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</row>
    <row r="399" spans="1:15" ht="12.75" customHeight="1" x14ac:dyDescent="0.2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</row>
    <row r="400" spans="1:15" ht="12.75" customHeight="1" x14ac:dyDescent="0.2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</row>
    <row r="401" spans="1:15" ht="12.75" customHeight="1" x14ac:dyDescent="0.2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</row>
    <row r="402" spans="1:15" ht="12.75" customHeight="1" x14ac:dyDescent="0.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</row>
    <row r="403" spans="1:15" ht="12.75" customHeight="1" x14ac:dyDescent="0.2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</row>
    <row r="404" spans="1:15" ht="12.75" customHeight="1" x14ac:dyDescent="0.2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</row>
    <row r="405" spans="1:15" ht="12.75" customHeight="1" x14ac:dyDescent="0.2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</row>
    <row r="406" spans="1:15" ht="12.75" customHeight="1" x14ac:dyDescent="0.2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</row>
    <row r="407" spans="1:15" ht="12.75" customHeight="1" x14ac:dyDescent="0.2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</row>
    <row r="408" spans="1:15" ht="12.75" customHeight="1" x14ac:dyDescent="0.2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</row>
    <row r="409" spans="1:15" ht="12.75" customHeight="1" x14ac:dyDescent="0.2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</row>
    <row r="410" spans="1:15" ht="12.75" customHeight="1" x14ac:dyDescent="0.2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</row>
    <row r="411" spans="1:15" ht="12.75" customHeight="1" x14ac:dyDescent="0.2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</row>
    <row r="412" spans="1:15" ht="12.75" customHeight="1" x14ac:dyDescent="0.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</row>
    <row r="413" spans="1:15" ht="12.75" customHeight="1" x14ac:dyDescent="0.2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</row>
    <row r="414" spans="1:15" ht="12.75" customHeight="1" x14ac:dyDescent="0.2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</row>
    <row r="415" spans="1:15" ht="12.75" customHeight="1" x14ac:dyDescent="0.2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</row>
    <row r="416" spans="1:15" ht="12.75" customHeight="1" x14ac:dyDescent="0.2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</row>
    <row r="417" spans="1:15" ht="12.75" customHeight="1" x14ac:dyDescent="0.2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</row>
    <row r="418" spans="1:15" ht="12.75" customHeight="1" x14ac:dyDescent="0.2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</row>
    <row r="419" spans="1:15" ht="12.75" customHeight="1" x14ac:dyDescent="0.2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</row>
    <row r="420" spans="1:15" ht="12.75" customHeight="1" x14ac:dyDescent="0.2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</row>
    <row r="421" spans="1:15" ht="12.75" customHeight="1" x14ac:dyDescent="0.2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</row>
    <row r="422" spans="1:15" ht="12.75" customHeight="1" x14ac:dyDescent="0.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</row>
    <row r="423" spans="1:15" ht="12.75" customHeight="1" x14ac:dyDescent="0.2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</row>
    <row r="424" spans="1:15" ht="12.75" customHeight="1" x14ac:dyDescent="0.2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</row>
    <row r="425" spans="1:15" ht="12.75" customHeight="1" x14ac:dyDescent="0.2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</row>
    <row r="426" spans="1:15" ht="12.75" customHeight="1" x14ac:dyDescent="0.2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</row>
    <row r="427" spans="1:15" ht="12.75" customHeight="1" x14ac:dyDescent="0.2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</row>
    <row r="428" spans="1:15" ht="12.75" customHeight="1" x14ac:dyDescent="0.2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</row>
    <row r="429" spans="1:15" ht="12.75" customHeight="1" x14ac:dyDescent="0.2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</row>
    <row r="430" spans="1:15" ht="12.75" customHeight="1" x14ac:dyDescent="0.2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</row>
    <row r="431" spans="1:15" ht="12.75" customHeight="1" x14ac:dyDescent="0.2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</row>
    <row r="432" spans="1:15" ht="12.75" customHeight="1" x14ac:dyDescent="0.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</row>
    <row r="433" spans="1:15" ht="12.75" customHeight="1" x14ac:dyDescent="0.2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</row>
    <row r="434" spans="1:15" ht="12.75" customHeight="1" x14ac:dyDescent="0.2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</row>
    <row r="435" spans="1:15" ht="12.75" customHeight="1" x14ac:dyDescent="0.2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</row>
    <row r="436" spans="1:15" ht="12.75" customHeight="1" x14ac:dyDescent="0.2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</row>
    <row r="437" spans="1:15" ht="12.75" customHeight="1" x14ac:dyDescent="0.2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</row>
    <row r="438" spans="1:15" ht="12.75" customHeight="1" x14ac:dyDescent="0.2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</row>
    <row r="439" spans="1:15" ht="12.75" customHeight="1" x14ac:dyDescent="0.2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</row>
    <row r="440" spans="1:15" ht="12.75" customHeight="1" x14ac:dyDescent="0.2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</row>
    <row r="441" spans="1:15" ht="12.75" customHeight="1" x14ac:dyDescent="0.2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</row>
    <row r="442" spans="1:15" ht="12.75" customHeight="1" x14ac:dyDescent="0.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</row>
    <row r="443" spans="1:15" ht="12.75" customHeight="1" x14ac:dyDescent="0.2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</row>
    <row r="444" spans="1:15" ht="12.75" customHeight="1" x14ac:dyDescent="0.2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</row>
    <row r="445" spans="1:15" ht="12.75" customHeight="1" x14ac:dyDescent="0.2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</row>
    <row r="446" spans="1:15" ht="12.75" customHeight="1" x14ac:dyDescent="0.2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</row>
    <row r="447" spans="1:15" ht="12.75" customHeight="1" x14ac:dyDescent="0.2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</row>
    <row r="448" spans="1:15" ht="12.75" customHeight="1" x14ac:dyDescent="0.2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</row>
    <row r="449" spans="1:15" ht="12.75" customHeight="1" x14ac:dyDescent="0.2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</row>
    <row r="450" spans="1:15" ht="12.75" customHeight="1" x14ac:dyDescent="0.2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</row>
    <row r="451" spans="1:15" ht="12.75" customHeight="1" x14ac:dyDescent="0.2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</row>
    <row r="452" spans="1:15" ht="12.75" customHeight="1" x14ac:dyDescent="0.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</row>
    <row r="453" spans="1:15" ht="12.75" customHeight="1" x14ac:dyDescent="0.2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</row>
    <row r="454" spans="1:15" ht="12.75" customHeight="1" x14ac:dyDescent="0.2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</row>
    <row r="455" spans="1:15" ht="12.75" customHeight="1" x14ac:dyDescent="0.2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</row>
    <row r="456" spans="1:15" ht="12.75" customHeight="1" x14ac:dyDescent="0.2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</row>
    <row r="457" spans="1:15" ht="12.75" customHeight="1" x14ac:dyDescent="0.2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</row>
    <row r="458" spans="1:15" ht="12.75" customHeight="1" x14ac:dyDescent="0.2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</row>
    <row r="459" spans="1:15" ht="12.75" customHeight="1" x14ac:dyDescent="0.2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</row>
    <row r="460" spans="1:15" ht="12.75" customHeight="1" x14ac:dyDescent="0.2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</row>
    <row r="461" spans="1:15" ht="12.75" customHeight="1" x14ac:dyDescent="0.2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</row>
    <row r="462" spans="1:15" ht="12.75" customHeight="1" x14ac:dyDescent="0.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</row>
    <row r="463" spans="1:15" ht="12.75" customHeight="1" x14ac:dyDescent="0.2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</row>
    <row r="464" spans="1:15" ht="12.75" customHeight="1" x14ac:dyDescent="0.2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</row>
    <row r="465" spans="1:15" ht="12.75" customHeight="1" x14ac:dyDescent="0.2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</row>
    <row r="466" spans="1:15" ht="12.75" customHeight="1" x14ac:dyDescent="0.2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</row>
    <row r="467" spans="1:15" ht="12.75" customHeight="1" x14ac:dyDescent="0.2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</row>
    <row r="468" spans="1:15" ht="12.75" customHeight="1" x14ac:dyDescent="0.2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</row>
    <row r="469" spans="1:15" ht="12.75" customHeight="1" x14ac:dyDescent="0.2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</row>
    <row r="470" spans="1:15" ht="12.75" customHeight="1" x14ac:dyDescent="0.2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</row>
    <row r="471" spans="1:15" ht="12.75" customHeight="1" x14ac:dyDescent="0.2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</row>
    <row r="472" spans="1:15" ht="12.75" customHeight="1" x14ac:dyDescent="0.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</row>
    <row r="473" spans="1:15" ht="12.75" customHeight="1" x14ac:dyDescent="0.2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</row>
    <row r="474" spans="1:15" ht="12.75" customHeight="1" x14ac:dyDescent="0.2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</row>
    <row r="475" spans="1:15" ht="12.75" customHeight="1" x14ac:dyDescent="0.2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</row>
    <row r="476" spans="1:15" ht="12.75" customHeight="1" x14ac:dyDescent="0.2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</row>
    <row r="477" spans="1:15" ht="12.75" customHeight="1" x14ac:dyDescent="0.2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</row>
    <row r="478" spans="1:15" ht="12.75" customHeight="1" x14ac:dyDescent="0.2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</row>
    <row r="479" spans="1:15" ht="12.75" customHeight="1" x14ac:dyDescent="0.2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</row>
    <row r="480" spans="1:15" ht="12.75" customHeight="1" x14ac:dyDescent="0.2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</row>
    <row r="481" spans="1:15" ht="12.75" customHeight="1" x14ac:dyDescent="0.2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</row>
    <row r="482" spans="1:15" ht="12.75" customHeight="1" x14ac:dyDescent="0.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</row>
    <row r="483" spans="1:15" ht="12.75" customHeight="1" x14ac:dyDescent="0.2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</row>
    <row r="484" spans="1:15" ht="12.75" customHeight="1" x14ac:dyDescent="0.2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</row>
    <row r="485" spans="1:15" ht="12.75" customHeight="1" x14ac:dyDescent="0.2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</row>
    <row r="486" spans="1:15" ht="12.75" customHeight="1" x14ac:dyDescent="0.2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</row>
    <row r="487" spans="1:15" ht="12.75" customHeight="1" x14ac:dyDescent="0.2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</row>
    <row r="488" spans="1:15" ht="12.75" customHeight="1" x14ac:dyDescent="0.2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</row>
    <row r="489" spans="1:15" ht="12.75" customHeight="1" x14ac:dyDescent="0.2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</row>
    <row r="490" spans="1:15" ht="12.75" customHeight="1" x14ac:dyDescent="0.2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</row>
    <row r="491" spans="1:15" ht="12.75" customHeight="1" x14ac:dyDescent="0.2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</row>
    <row r="492" spans="1:15" ht="12.75" customHeight="1" x14ac:dyDescent="0.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</row>
    <row r="493" spans="1:15" ht="12.75" customHeight="1" x14ac:dyDescent="0.2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</row>
    <row r="494" spans="1:15" ht="12.75" customHeight="1" x14ac:dyDescent="0.2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</row>
    <row r="495" spans="1:15" ht="12.75" customHeight="1" x14ac:dyDescent="0.2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</row>
    <row r="496" spans="1:15" ht="12.75" customHeight="1" x14ac:dyDescent="0.2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</row>
    <row r="497" spans="1:15" ht="12.75" customHeight="1" x14ac:dyDescent="0.2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</row>
    <row r="498" spans="1:15" ht="12.75" customHeight="1" x14ac:dyDescent="0.2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</row>
    <row r="499" spans="1:15" ht="12.75" customHeight="1" x14ac:dyDescent="0.2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</row>
    <row r="500" spans="1:15" ht="12.75" customHeight="1" x14ac:dyDescent="0.2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</row>
    <row r="501" spans="1:15" ht="12.75" customHeight="1" x14ac:dyDescent="0.2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</row>
    <row r="502" spans="1:15" ht="12.75" customHeight="1" x14ac:dyDescent="0.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</row>
    <row r="503" spans="1:15" ht="12.75" customHeight="1" x14ac:dyDescent="0.2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</row>
    <row r="504" spans="1:15" ht="12.75" customHeight="1" x14ac:dyDescent="0.2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</row>
    <row r="505" spans="1:15" ht="12.75" customHeight="1" x14ac:dyDescent="0.2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</row>
    <row r="506" spans="1:15" ht="12.75" customHeight="1" x14ac:dyDescent="0.2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</row>
    <row r="507" spans="1:15" ht="12.75" customHeight="1" x14ac:dyDescent="0.2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</row>
    <row r="508" spans="1:15" ht="12.75" customHeight="1" x14ac:dyDescent="0.2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</row>
    <row r="509" spans="1:15" ht="12.75" customHeight="1" x14ac:dyDescent="0.2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</row>
    <row r="510" spans="1:15" ht="12.75" customHeight="1" x14ac:dyDescent="0.2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</row>
    <row r="511" spans="1:15" ht="12.75" customHeight="1" x14ac:dyDescent="0.2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</row>
    <row r="512" spans="1:15" ht="12.75" customHeight="1" x14ac:dyDescent="0.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</row>
    <row r="513" spans="1:15" ht="12.75" customHeight="1" x14ac:dyDescent="0.2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</row>
    <row r="514" spans="1:15" ht="12.75" customHeight="1" x14ac:dyDescent="0.2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</row>
    <row r="515" spans="1:15" ht="12.75" customHeight="1" x14ac:dyDescent="0.2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</row>
    <row r="516" spans="1:15" ht="12.75" customHeight="1" x14ac:dyDescent="0.2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</row>
    <row r="517" spans="1:15" ht="12.75" customHeight="1" x14ac:dyDescent="0.2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</row>
    <row r="518" spans="1:15" ht="12.75" customHeight="1" x14ac:dyDescent="0.2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</row>
    <row r="519" spans="1:15" ht="12.75" customHeight="1" x14ac:dyDescent="0.2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</row>
    <row r="520" spans="1:15" ht="12.75" customHeight="1" x14ac:dyDescent="0.2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</row>
    <row r="521" spans="1:15" ht="12.75" customHeight="1" x14ac:dyDescent="0.2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</row>
    <row r="522" spans="1:15" ht="12.75" customHeight="1" x14ac:dyDescent="0.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</row>
    <row r="523" spans="1:15" ht="12.75" customHeight="1" x14ac:dyDescent="0.2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</row>
    <row r="524" spans="1:15" ht="12.75" customHeight="1" x14ac:dyDescent="0.2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</row>
    <row r="525" spans="1:15" ht="12.75" customHeight="1" x14ac:dyDescent="0.2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</row>
    <row r="526" spans="1:15" ht="12.75" customHeight="1" x14ac:dyDescent="0.2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</row>
    <row r="527" spans="1:15" ht="12.75" customHeight="1" x14ac:dyDescent="0.2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</row>
    <row r="528" spans="1:15" ht="12.75" customHeight="1" x14ac:dyDescent="0.2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</row>
    <row r="529" spans="1:15" ht="12.75" customHeight="1" x14ac:dyDescent="0.2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</row>
    <row r="530" spans="1:15" ht="12.75" customHeight="1" x14ac:dyDescent="0.2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</row>
    <row r="531" spans="1:15" ht="12.75" customHeight="1" x14ac:dyDescent="0.2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</row>
    <row r="532" spans="1:15" ht="12.75" customHeight="1" x14ac:dyDescent="0.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</row>
    <row r="533" spans="1:15" ht="12.75" customHeight="1" x14ac:dyDescent="0.2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</row>
    <row r="534" spans="1:15" ht="12.75" customHeight="1" x14ac:dyDescent="0.2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</row>
    <row r="535" spans="1:15" ht="12.75" customHeight="1" x14ac:dyDescent="0.2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</row>
    <row r="536" spans="1:15" ht="12.75" customHeight="1" x14ac:dyDescent="0.2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</row>
    <row r="537" spans="1:15" ht="12.75" customHeight="1" x14ac:dyDescent="0.2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</row>
    <row r="538" spans="1:15" ht="12.75" customHeight="1" x14ac:dyDescent="0.2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</row>
    <row r="539" spans="1:15" ht="12.75" customHeight="1" x14ac:dyDescent="0.2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</row>
    <row r="540" spans="1:15" ht="12.75" customHeight="1" x14ac:dyDescent="0.2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</row>
    <row r="541" spans="1:15" ht="12.75" customHeight="1" x14ac:dyDescent="0.2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</row>
    <row r="542" spans="1:15" ht="12.75" customHeight="1" x14ac:dyDescent="0.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</row>
    <row r="543" spans="1:15" ht="12.75" customHeight="1" x14ac:dyDescent="0.2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</row>
    <row r="544" spans="1:15" ht="12.75" customHeight="1" x14ac:dyDescent="0.2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</row>
    <row r="545" spans="1:15" ht="12.75" customHeight="1" x14ac:dyDescent="0.2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</row>
    <row r="546" spans="1:15" ht="12.75" customHeight="1" x14ac:dyDescent="0.2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</row>
    <row r="547" spans="1:15" ht="12.75" customHeight="1" x14ac:dyDescent="0.2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</row>
    <row r="548" spans="1:15" ht="12.75" customHeight="1" x14ac:dyDescent="0.2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</row>
    <row r="549" spans="1:15" ht="12.75" customHeight="1" x14ac:dyDescent="0.2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</row>
    <row r="550" spans="1:15" ht="12.75" customHeight="1" x14ac:dyDescent="0.2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</row>
    <row r="551" spans="1:15" ht="12.75" customHeight="1" x14ac:dyDescent="0.2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</row>
    <row r="552" spans="1:15" ht="12.75" customHeight="1" x14ac:dyDescent="0.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</row>
    <row r="553" spans="1:15" ht="12.75" customHeight="1" x14ac:dyDescent="0.2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</row>
    <row r="554" spans="1:15" ht="12.75" customHeight="1" x14ac:dyDescent="0.2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</row>
    <row r="555" spans="1:15" ht="12.75" customHeight="1" x14ac:dyDescent="0.2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</row>
    <row r="556" spans="1:15" ht="12.75" customHeight="1" x14ac:dyDescent="0.2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</row>
    <row r="557" spans="1:15" ht="12.75" customHeight="1" x14ac:dyDescent="0.2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</row>
    <row r="558" spans="1:15" ht="12.75" customHeight="1" x14ac:dyDescent="0.2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</row>
    <row r="559" spans="1:15" ht="12.75" customHeight="1" x14ac:dyDescent="0.2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</row>
    <row r="560" spans="1:15" ht="12.75" customHeight="1" x14ac:dyDescent="0.2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</row>
    <row r="561" spans="1:15" ht="12.75" customHeight="1" x14ac:dyDescent="0.2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</row>
    <row r="562" spans="1:15" ht="12.75" customHeight="1" x14ac:dyDescent="0.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</row>
    <row r="563" spans="1:15" ht="12.75" customHeight="1" x14ac:dyDescent="0.2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</row>
    <row r="564" spans="1:15" ht="12.75" customHeight="1" x14ac:dyDescent="0.2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</row>
    <row r="565" spans="1:15" ht="12.75" customHeight="1" x14ac:dyDescent="0.2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</row>
    <row r="566" spans="1:15" ht="12.75" customHeight="1" x14ac:dyDescent="0.2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</row>
    <row r="567" spans="1:15" ht="12.75" customHeight="1" x14ac:dyDescent="0.2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</row>
    <row r="568" spans="1:15" ht="12.75" customHeight="1" x14ac:dyDescent="0.2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</row>
    <row r="569" spans="1:15" ht="12.75" customHeight="1" x14ac:dyDescent="0.2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</row>
    <row r="570" spans="1:15" ht="12.75" customHeight="1" x14ac:dyDescent="0.2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</row>
    <row r="571" spans="1:15" ht="12.75" customHeight="1" x14ac:dyDescent="0.2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</row>
    <row r="572" spans="1:15" ht="12.75" customHeight="1" x14ac:dyDescent="0.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</row>
    <row r="573" spans="1:15" ht="12.75" customHeight="1" x14ac:dyDescent="0.2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</row>
    <row r="574" spans="1:15" ht="12.75" customHeight="1" x14ac:dyDescent="0.2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</row>
    <row r="575" spans="1:15" ht="12.75" customHeight="1" x14ac:dyDescent="0.2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</row>
    <row r="576" spans="1:15" ht="12.75" customHeight="1" x14ac:dyDescent="0.2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</row>
    <row r="577" spans="1:15" ht="12.75" customHeight="1" x14ac:dyDescent="0.2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</row>
    <row r="578" spans="1:15" ht="12.75" customHeight="1" x14ac:dyDescent="0.2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</row>
    <row r="579" spans="1:15" ht="12.75" customHeight="1" x14ac:dyDescent="0.2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</row>
    <row r="580" spans="1:15" ht="12.75" customHeight="1" x14ac:dyDescent="0.2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</row>
    <row r="581" spans="1:15" ht="12.75" customHeight="1" x14ac:dyDescent="0.2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</row>
    <row r="582" spans="1:15" ht="12.75" customHeight="1" x14ac:dyDescent="0.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</row>
    <row r="583" spans="1:15" ht="12.75" customHeight="1" x14ac:dyDescent="0.2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</row>
    <row r="584" spans="1:15" ht="12.75" customHeight="1" x14ac:dyDescent="0.2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</row>
    <row r="585" spans="1:15" ht="12.75" customHeight="1" x14ac:dyDescent="0.2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</row>
    <row r="586" spans="1:15" ht="12.75" customHeight="1" x14ac:dyDescent="0.2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</row>
    <row r="587" spans="1:15" ht="12.75" customHeight="1" x14ac:dyDescent="0.2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</row>
    <row r="588" spans="1:15" ht="12.75" customHeight="1" x14ac:dyDescent="0.2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</row>
    <row r="589" spans="1:15" ht="12.75" customHeight="1" x14ac:dyDescent="0.2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</row>
    <row r="590" spans="1:15" ht="12.75" customHeight="1" x14ac:dyDescent="0.2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</row>
    <row r="591" spans="1:15" ht="12.75" customHeight="1" x14ac:dyDescent="0.2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</row>
    <row r="592" spans="1:15" ht="12.75" customHeight="1" x14ac:dyDescent="0.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</row>
    <row r="593" spans="1:15" ht="12.75" customHeight="1" x14ac:dyDescent="0.2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</row>
    <row r="594" spans="1:15" ht="12.75" customHeight="1" x14ac:dyDescent="0.2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</row>
    <row r="595" spans="1:15" ht="12.75" customHeight="1" x14ac:dyDescent="0.2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</row>
    <row r="596" spans="1:15" ht="12.75" customHeight="1" x14ac:dyDescent="0.2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</row>
    <row r="597" spans="1:15" ht="12.75" customHeight="1" x14ac:dyDescent="0.2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</row>
    <row r="598" spans="1:15" ht="12.75" customHeight="1" x14ac:dyDescent="0.2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</row>
    <row r="599" spans="1:15" ht="12.75" customHeight="1" x14ac:dyDescent="0.2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</row>
    <row r="600" spans="1:15" ht="12.75" customHeight="1" x14ac:dyDescent="0.2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</row>
    <row r="601" spans="1:15" ht="12.75" customHeight="1" x14ac:dyDescent="0.2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</row>
    <row r="602" spans="1:15" ht="12.75" customHeight="1" x14ac:dyDescent="0.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</row>
    <row r="603" spans="1:15" ht="12.75" customHeight="1" x14ac:dyDescent="0.2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</row>
    <row r="604" spans="1:15" ht="12.75" customHeight="1" x14ac:dyDescent="0.2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</row>
    <row r="605" spans="1:15" ht="12.75" customHeight="1" x14ac:dyDescent="0.2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</row>
    <row r="606" spans="1:15" ht="12.75" customHeight="1" x14ac:dyDescent="0.2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</row>
    <row r="607" spans="1:15" ht="12.75" customHeight="1" x14ac:dyDescent="0.2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</row>
    <row r="608" spans="1:15" ht="12.75" customHeight="1" x14ac:dyDescent="0.2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</row>
    <row r="609" spans="1:15" ht="12.75" customHeight="1" x14ac:dyDescent="0.2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</row>
    <row r="610" spans="1:15" ht="12.75" customHeight="1" x14ac:dyDescent="0.2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</row>
    <row r="611" spans="1:15" ht="12.75" customHeight="1" x14ac:dyDescent="0.2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</row>
    <row r="612" spans="1:15" ht="12.75" customHeight="1" x14ac:dyDescent="0.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</row>
    <row r="613" spans="1:15" ht="12.75" customHeight="1" x14ac:dyDescent="0.2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</row>
    <row r="614" spans="1:15" ht="12.75" customHeight="1" x14ac:dyDescent="0.2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</row>
    <row r="615" spans="1:15" ht="12.75" customHeight="1" x14ac:dyDescent="0.2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</row>
    <row r="616" spans="1:15" ht="12.75" customHeight="1" x14ac:dyDescent="0.2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</row>
    <row r="617" spans="1:15" ht="12.75" customHeight="1" x14ac:dyDescent="0.2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</row>
    <row r="618" spans="1:15" ht="12.75" customHeight="1" x14ac:dyDescent="0.2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</row>
    <row r="619" spans="1:15" ht="12.75" customHeight="1" x14ac:dyDescent="0.2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</row>
    <row r="620" spans="1:15" ht="12.75" customHeight="1" x14ac:dyDescent="0.2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</row>
    <row r="621" spans="1:15" ht="12.75" customHeight="1" x14ac:dyDescent="0.2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</row>
    <row r="622" spans="1:15" ht="12.75" customHeight="1" x14ac:dyDescent="0.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</row>
    <row r="623" spans="1:15" ht="12.75" customHeight="1" x14ac:dyDescent="0.2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</row>
    <row r="624" spans="1:15" ht="12.75" customHeight="1" x14ac:dyDescent="0.2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</row>
    <row r="625" spans="1:15" ht="12.75" customHeight="1" x14ac:dyDescent="0.2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</row>
    <row r="626" spans="1:15" ht="12.75" customHeight="1" x14ac:dyDescent="0.2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</row>
    <row r="627" spans="1:15" ht="12.75" customHeight="1" x14ac:dyDescent="0.2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</row>
    <row r="628" spans="1:15" ht="12.75" customHeight="1" x14ac:dyDescent="0.2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</row>
    <row r="629" spans="1:15" ht="12.75" customHeight="1" x14ac:dyDescent="0.2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</row>
    <row r="630" spans="1:15" ht="12.75" customHeight="1" x14ac:dyDescent="0.2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</row>
    <row r="631" spans="1:15" ht="12.75" customHeight="1" x14ac:dyDescent="0.2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</row>
    <row r="632" spans="1:15" ht="12.75" customHeight="1" x14ac:dyDescent="0.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</row>
    <row r="633" spans="1:15" ht="12.75" customHeight="1" x14ac:dyDescent="0.2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</row>
    <row r="634" spans="1:15" ht="12.75" customHeight="1" x14ac:dyDescent="0.2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</row>
    <row r="635" spans="1:15" ht="12.75" customHeight="1" x14ac:dyDescent="0.2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</row>
    <row r="636" spans="1:15" ht="12.75" customHeight="1" x14ac:dyDescent="0.2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</row>
    <row r="637" spans="1:15" ht="12.75" customHeight="1" x14ac:dyDescent="0.2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</row>
    <row r="638" spans="1:15" ht="12.75" customHeight="1" x14ac:dyDescent="0.2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</row>
    <row r="639" spans="1:15" ht="12.75" customHeight="1" x14ac:dyDescent="0.2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</row>
    <row r="640" spans="1:15" ht="12.75" customHeight="1" x14ac:dyDescent="0.2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</row>
    <row r="641" spans="1:15" ht="12.75" customHeight="1" x14ac:dyDescent="0.2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</row>
    <row r="642" spans="1:15" ht="12.75" customHeight="1" x14ac:dyDescent="0.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</row>
    <row r="643" spans="1:15" ht="12.75" customHeight="1" x14ac:dyDescent="0.2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</row>
    <row r="644" spans="1:15" ht="12.75" customHeight="1" x14ac:dyDescent="0.2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</row>
    <row r="645" spans="1:15" ht="12.75" customHeight="1" x14ac:dyDescent="0.2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</row>
    <row r="646" spans="1:15" ht="12.75" customHeight="1" x14ac:dyDescent="0.2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</row>
    <row r="647" spans="1:15" ht="12.75" customHeight="1" x14ac:dyDescent="0.2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</row>
    <row r="648" spans="1:15" ht="12.75" customHeight="1" x14ac:dyDescent="0.2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</row>
    <row r="649" spans="1:15" ht="12.75" customHeight="1" x14ac:dyDescent="0.2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</row>
    <row r="650" spans="1:15" ht="12.75" customHeight="1" x14ac:dyDescent="0.2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</row>
    <row r="651" spans="1:15" ht="12.75" customHeight="1" x14ac:dyDescent="0.2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</row>
    <row r="652" spans="1:15" ht="12.75" customHeight="1" x14ac:dyDescent="0.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</row>
    <row r="653" spans="1:15" ht="12.75" customHeight="1" x14ac:dyDescent="0.2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</row>
    <row r="654" spans="1:15" ht="12.75" customHeight="1" x14ac:dyDescent="0.2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</row>
    <row r="655" spans="1:15" ht="12.75" customHeight="1" x14ac:dyDescent="0.2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</row>
    <row r="656" spans="1:15" ht="12.75" customHeight="1" x14ac:dyDescent="0.2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</row>
    <row r="657" spans="1:15" ht="12.75" customHeight="1" x14ac:dyDescent="0.2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</row>
    <row r="658" spans="1:15" ht="12.75" customHeight="1" x14ac:dyDescent="0.2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</row>
    <row r="659" spans="1:15" ht="12.75" customHeight="1" x14ac:dyDescent="0.2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</row>
    <row r="660" spans="1:15" ht="12.75" customHeight="1" x14ac:dyDescent="0.2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</row>
    <row r="661" spans="1:15" ht="12.75" customHeight="1" x14ac:dyDescent="0.2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</row>
    <row r="662" spans="1:15" ht="12.75" customHeight="1" x14ac:dyDescent="0.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</row>
    <row r="663" spans="1:15" ht="12.75" customHeight="1" x14ac:dyDescent="0.2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</row>
    <row r="664" spans="1:15" ht="12.75" customHeight="1" x14ac:dyDescent="0.2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</row>
    <row r="665" spans="1:15" ht="12.75" customHeight="1" x14ac:dyDescent="0.2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</row>
    <row r="666" spans="1:15" ht="12.75" customHeight="1" x14ac:dyDescent="0.2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</row>
    <row r="667" spans="1:15" ht="12.75" customHeight="1" x14ac:dyDescent="0.2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</row>
    <row r="668" spans="1:15" ht="12.75" customHeight="1" x14ac:dyDescent="0.2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</row>
    <row r="669" spans="1:15" ht="12.75" customHeight="1" x14ac:dyDescent="0.2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</row>
    <row r="670" spans="1:15" ht="12.75" customHeight="1" x14ac:dyDescent="0.2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</row>
    <row r="671" spans="1:15" ht="12.75" customHeight="1" x14ac:dyDescent="0.2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</row>
    <row r="672" spans="1:15" ht="12.75" customHeight="1" x14ac:dyDescent="0.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</row>
    <row r="673" spans="1:15" ht="12.75" customHeight="1" x14ac:dyDescent="0.2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</row>
    <row r="674" spans="1:15" ht="12.75" customHeight="1" x14ac:dyDescent="0.2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</row>
    <row r="675" spans="1:15" ht="12.75" customHeight="1" x14ac:dyDescent="0.2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</row>
    <row r="676" spans="1:15" ht="12.75" customHeight="1" x14ac:dyDescent="0.2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</row>
    <row r="677" spans="1:15" ht="12.75" customHeight="1" x14ac:dyDescent="0.2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</row>
    <row r="678" spans="1:15" ht="12.75" customHeight="1" x14ac:dyDescent="0.2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</row>
    <row r="679" spans="1:15" ht="12.75" customHeight="1" x14ac:dyDescent="0.2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</row>
    <row r="680" spans="1:15" ht="12.75" customHeight="1" x14ac:dyDescent="0.2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</row>
    <row r="681" spans="1:15" ht="12.75" customHeight="1" x14ac:dyDescent="0.2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</row>
    <row r="682" spans="1:15" ht="12.75" customHeight="1" x14ac:dyDescent="0.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</row>
    <row r="683" spans="1:15" ht="12.75" customHeight="1" x14ac:dyDescent="0.2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</row>
    <row r="684" spans="1:15" ht="12.75" customHeight="1" x14ac:dyDescent="0.2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</row>
    <row r="685" spans="1:15" ht="12.75" customHeight="1" x14ac:dyDescent="0.2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</row>
    <row r="686" spans="1:15" ht="12.75" customHeight="1" x14ac:dyDescent="0.2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</row>
    <row r="687" spans="1:15" ht="12.75" customHeight="1" x14ac:dyDescent="0.2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</row>
    <row r="688" spans="1:15" ht="12.75" customHeight="1" x14ac:dyDescent="0.2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</row>
    <row r="689" spans="1:15" ht="12.75" customHeight="1" x14ac:dyDescent="0.2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</row>
    <row r="690" spans="1:15" ht="12.75" customHeight="1" x14ac:dyDescent="0.2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</row>
    <row r="691" spans="1:15" ht="12.75" customHeight="1" x14ac:dyDescent="0.2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</row>
    <row r="692" spans="1:15" ht="12.75" customHeight="1" x14ac:dyDescent="0.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</row>
    <row r="693" spans="1:15" ht="12.75" customHeight="1" x14ac:dyDescent="0.2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</row>
    <row r="694" spans="1:15" ht="12.75" customHeight="1" x14ac:dyDescent="0.2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</row>
    <row r="695" spans="1:15" ht="12.75" customHeight="1" x14ac:dyDescent="0.2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</row>
    <row r="696" spans="1:15" ht="12.75" customHeight="1" x14ac:dyDescent="0.2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</row>
    <row r="697" spans="1:15" ht="12.75" customHeight="1" x14ac:dyDescent="0.2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</row>
    <row r="698" spans="1:15" ht="12.75" customHeight="1" x14ac:dyDescent="0.2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</row>
    <row r="699" spans="1:15" ht="12.75" customHeight="1" x14ac:dyDescent="0.2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</row>
    <row r="700" spans="1:15" ht="12.75" customHeight="1" x14ac:dyDescent="0.2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</row>
    <row r="701" spans="1:15" ht="12.75" customHeight="1" x14ac:dyDescent="0.2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</row>
    <row r="702" spans="1:15" ht="12.75" customHeight="1" x14ac:dyDescent="0.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</row>
    <row r="703" spans="1:15" ht="12.75" customHeight="1" x14ac:dyDescent="0.2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</row>
    <row r="704" spans="1:15" ht="12.75" customHeight="1" x14ac:dyDescent="0.2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</row>
    <row r="705" spans="1:15" ht="12.75" customHeight="1" x14ac:dyDescent="0.2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</row>
    <row r="706" spans="1:15" ht="12.75" customHeight="1" x14ac:dyDescent="0.2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</row>
    <row r="707" spans="1:15" ht="12.75" customHeight="1" x14ac:dyDescent="0.2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</row>
    <row r="708" spans="1:15" ht="12.75" customHeight="1" x14ac:dyDescent="0.2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</row>
    <row r="709" spans="1:15" ht="12.75" customHeight="1" x14ac:dyDescent="0.2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</row>
    <row r="710" spans="1:15" ht="12.75" customHeight="1" x14ac:dyDescent="0.2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</row>
    <row r="711" spans="1:15" ht="12.75" customHeight="1" x14ac:dyDescent="0.2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</row>
    <row r="712" spans="1:15" ht="12.75" customHeight="1" x14ac:dyDescent="0.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</row>
    <row r="713" spans="1:15" ht="12.75" customHeight="1" x14ac:dyDescent="0.2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</row>
    <row r="714" spans="1:15" ht="12.75" customHeight="1" x14ac:dyDescent="0.2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</row>
    <row r="715" spans="1:15" ht="12.75" customHeight="1" x14ac:dyDescent="0.2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</row>
    <row r="716" spans="1:15" ht="12.75" customHeight="1" x14ac:dyDescent="0.2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</row>
    <row r="717" spans="1:15" ht="12.75" customHeight="1" x14ac:dyDescent="0.2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</row>
    <row r="718" spans="1:15" ht="12.75" customHeight="1" x14ac:dyDescent="0.2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</row>
    <row r="719" spans="1:15" ht="12.75" customHeight="1" x14ac:dyDescent="0.2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</row>
    <row r="720" spans="1:15" ht="12.75" customHeight="1" x14ac:dyDescent="0.2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</row>
    <row r="721" spans="1:15" ht="12.75" customHeight="1" x14ac:dyDescent="0.2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</row>
    <row r="722" spans="1:15" ht="12.75" customHeight="1" x14ac:dyDescent="0.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</row>
    <row r="723" spans="1:15" ht="12.75" customHeight="1" x14ac:dyDescent="0.2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</row>
    <row r="724" spans="1:15" ht="12.75" customHeight="1" x14ac:dyDescent="0.2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</row>
    <row r="725" spans="1:15" ht="12.75" customHeight="1" x14ac:dyDescent="0.2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</row>
    <row r="726" spans="1:15" ht="12.75" customHeight="1" x14ac:dyDescent="0.2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</row>
    <row r="727" spans="1:15" ht="12.75" customHeight="1" x14ac:dyDescent="0.2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</row>
    <row r="728" spans="1:15" ht="12.75" customHeight="1" x14ac:dyDescent="0.2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</row>
    <row r="729" spans="1:15" ht="12.75" customHeight="1" x14ac:dyDescent="0.2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</row>
    <row r="730" spans="1:15" ht="12.75" customHeight="1" x14ac:dyDescent="0.2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</row>
    <row r="731" spans="1:15" ht="12.75" customHeight="1" x14ac:dyDescent="0.2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</row>
    <row r="732" spans="1:15" ht="12.75" customHeight="1" x14ac:dyDescent="0.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</row>
    <row r="733" spans="1:15" ht="12.75" customHeight="1" x14ac:dyDescent="0.2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</row>
    <row r="734" spans="1:15" ht="12.75" customHeight="1" x14ac:dyDescent="0.2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</row>
    <row r="735" spans="1:15" ht="12.75" customHeight="1" x14ac:dyDescent="0.2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</row>
    <row r="736" spans="1:15" ht="12.75" customHeight="1" x14ac:dyDescent="0.2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</row>
    <row r="737" spans="1:15" ht="12.75" customHeight="1" x14ac:dyDescent="0.2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</row>
    <row r="738" spans="1:15" ht="12.75" customHeight="1" x14ac:dyDescent="0.2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</row>
    <row r="739" spans="1:15" ht="12.75" customHeight="1" x14ac:dyDescent="0.2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</row>
    <row r="740" spans="1:15" ht="12.75" customHeight="1" x14ac:dyDescent="0.2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</row>
    <row r="741" spans="1:15" ht="12.75" customHeight="1" x14ac:dyDescent="0.2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</row>
    <row r="742" spans="1:15" ht="12.75" customHeight="1" x14ac:dyDescent="0.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</row>
    <row r="743" spans="1:15" ht="12.75" customHeight="1" x14ac:dyDescent="0.2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</row>
    <row r="744" spans="1:15" ht="12.75" customHeight="1" x14ac:dyDescent="0.2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</row>
    <row r="745" spans="1:15" ht="12.75" customHeight="1" x14ac:dyDescent="0.2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</row>
    <row r="746" spans="1:15" ht="12.75" customHeight="1" x14ac:dyDescent="0.2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</row>
    <row r="747" spans="1:15" ht="12.75" customHeight="1" x14ac:dyDescent="0.2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</row>
    <row r="748" spans="1:15" ht="12.75" customHeight="1" x14ac:dyDescent="0.2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</row>
    <row r="749" spans="1:15" ht="12.75" customHeight="1" x14ac:dyDescent="0.2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</row>
    <row r="750" spans="1:15" ht="12.75" customHeight="1" x14ac:dyDescent="0.2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</row>
    <row r="751" spans="1:15" ht="12.75" customHeight="1" x14ac:dyDescent="0.2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</row>
    <row r="752" spans="1:15" ht="12.75" customHeight="1" x14ac:dyDescent="0.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</row>
    <row r="753" spans="1:15" ht="12.75" customHeight="1" x14ac:dyDescent="0.2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</row>
    <row r="754" spans="1:15" ht="12.75" customHeight="1" x14ac:dyDescent="0.2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</row>
    <row r="755" spans="1:15" ht="12.75" customHeight="1" x14ac:dyDescent="0.2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</row>
    <row r="756" spans="1:15" ht="12.75" customHeight="1" x14ac:dyDescent="0.2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</row>
    <row r="757" spans="1:15" ht="12.75" customHeight="1" x14ac:dyDescent="0.2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</row>
    <row r="758" spans="1:15" ht="12.75" customHeight="1" x14ac:dyDescent="0.2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</row>
    <row r="759" spans="1:15" ht="12.75" customHeight="1" x14ac:dyDescent="0.2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</row>
    <row r="760" spans="1:15" ht="12.75" customHeight="1" x14ac:dyDescent="0.2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</row>
    <row r="761" spans="1:15" ht="12.75" customHeight="1" x14ac:dyDescent="0.2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</row>
    <row r="762" spans="1:15" ht="12.75" customHeight="1" x14ac:dyDescent="0.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</row>
    <row r="763" spans="1:15" ht="12.75" customHeight="1" x14ac:dyDescent="0.2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</row>
    <row r="764" spans="1:15" ht="12.75" customHeight="1" x14ac:dyDescent="0.2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</row>
    <row r="765" spans="1:15" ht="12.75" customHeight="1" x14ac:dyDescent="0.2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</row>
    <row r="766" spans="1:15" ht="12.75" customHeight="1" x14ac:dyDescent="0.2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</row>
    <row r="767" spans="1:15" ht="12.75" customHeight="1" x14ac:dyDescent="0.2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</row>
    <row r="768" spans="1:15" ht="12.75" customHeight="1" x14ac:dyDescent="0.2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</row>
    <row r="769" spans="1:15" ht="12.75" customHeight="1" x14ac:dyDescent="0.2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</row>
    <row r="770" spans="1:15" ht="12.75" customHeight="1" x14ac:dyDescent="0.2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</row>
    <row r="771" spans="1:15" ht="12.75" customHeight="1" x14ac:dyDescent="0.2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</row>
    <row r="772" spans="1:15" ht="12.75" customHeight="1" x14ac:dyDescent="0.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</row>
    <row r="773" spans="1:15" ht="12.75" customHeight="1" x14ac:dyDescent="0.2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</row>
    <row r="774" spans="1:15" ht="12.75" customHeight="1" x14ac:dyDescent="0.2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</row>
    <row r="775" spans="1:15" ht="12.75" customHeight="1" x14ac:dyDescent="0.2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</row>
    <row r="776" spans="1:15" ht="12.75" customHeight="1" x14ac:dyDescent="0.2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</row>
    <row r="777" spans="1:15" ht="12.75" customHeight="1" x14ac:dyDescent="0.2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</row>
    <row r="778" spans="1:15" ht="12.75" customHeight="1" x14ac:dyDescent="0.2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</row>
    <row r="779" spans="1:15" ht="12.75" customHeight="1" x14ac:dyDescent="0.2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</row>
    <row r="780" spans="1:15" ht="12.75" customHeight="1" x14ac:dyDescent="0.2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</row>
    <row r="781" spans="1:15" ht="12.75" customHeight="1" x14ac:dyDescent="0.2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</row>
    <row r="782" spans="1:15" ht="12.75" customHeight="1" x14ac:dyDescent="0.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</row>
    <row r="783" spans="1:15" ht="12.75" customHeight="1" x14ac:dyDescent="0.2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</row>
    <row r="784" spans="1:15" ht="12.75" customHeight="1" x14ac:dyDescent="0.2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</row>
    <row r="785" spans="1:15" ht="12.75" customHeight="1" x14ac:dyDescent="0.2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</row>
    <row r="786" spans="1:15" ht="12.75" customHeight="1" x14ac:dyDescent="0.2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</row>
    <row r="787" spans="1:15" ht="12.75" customHeight="1" x14ac:dyDescent="0.2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</row>
    <row r="788" spans="1:15" ht="12.75" customHeight="1" x14ac:dyDescent="0.2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</row>
    <row r="789" spans="1:15" ht="12.75" customHeight="1" x14ac:dyDescent="0.2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</row>
    <row r="790" spans="1:15" ht="12.75" customHeight="1" x14ac:dyDescent="0.2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</row>
    <row r="791" spans="1:15" ht="12.75" customHeight="1" x14ac:dyDescent="0.2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</row>
    <row r="792" spans="1:15" ht="12.75" customHeight="1" x14ac:dyDescent="0.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</row>
    <row r="793" spans="1:15" ht="12.75" customHeight="1" x14ac:dyDescent="0.2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</row>
    <row r="794" spans="1:15" ht="12.75" customHeight="1" x14ac:dyDescent="0.2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</row>
    <row r="795" spans="1:15" ht="12.75" customHeight="1" x14ac:dyDescent="0.2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</row>
    <row r="796" spans="1:15" ht="12.75" customHeight="1" x14ac:dyDescent="0.2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</row>
    <row r="797" spans="1:15" ht="12.75" customHeight="1" x14ac:dyDescent="0.2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</row>
    <row r="798" spans="1:15" ht="12.75" customHeight="1" x14ac:dyDescent="0.2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</row>
    <row r="799" spans="1:15" ht="12.75" customHeight="1" x14ac:dyDescent="0.2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</row>
    <row r="800" spans="1:15" ht="12.75" customHeight="1" x14ac:dyDescent="0.2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</row>
    <row r="801" spans="1:15" ht="12.75" customHeight="1" x14ac:dyDescent="0.2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</row>
    <row r="802" spans="1:15" ht="12.75" customHeight="1" x14ac:dyDescent="0.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</row>
    <row r="803" spans="1:15" ht="12.75" customHeight="1" x14ac:dyDescent="0.2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</row>
    <row r="804" spans="1:15" ht="12.75" customHeight="1" x14ac:dyDescent="0.2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</row>
    <row r="805" spans="1:15" ht="12.75" customHeight="1" x14ac:dyDescent="0.2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</row>
    <row r="806" spans="1:15" ht="12.75" customHeight="1" x14ac:dyDescent="0.2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</row>
    <row r="807" spans="1:15" ht="12.75" customHeight="1" x14ac:dyDescent="0.2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</row>
    <row r="808" spans="1:15" ht="12.75" customHeight="1" x14ac:dyDescent="0.2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</row>
    <row r="809" spans="1:15" ht="12.75" customHeight="1" x14ac:dyDescent="0.2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</row>
    <row r="810" spans="1:15" ht="12.75" customHeight="1" x14ac:dyDescent="0.2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</row>
    <row r="811" spans="1:15" ht="12.75" customHeight="1" x14ac:dyDescent="0.2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</row>
    <row r="812" spans="1:15" ht="12.75" customHeight="1" x14ac:dyDescent="0.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</row>
    <row r="813" spans="1:15" ht="12.75" customHeight="1" x14ac:dyDescent="0.2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</row>
    <row r="814" spans="1:15" ht="12.75" customHeight="1" x14ac:dyDescent="0.2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</row>
    <row r="815" spans="1:15" ht="12.75" customHeight="1" x14ac:dyDescent="0.2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</row>
    <row r="816" spans="1:15" ht="12.75" customHeight="1" x14ac:dyDescent="0.2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</row>
    <row r="817" spans="1:15" ht="12.75" customHeight="1" x14ac:dyDescent="0.2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</row>
    <row r="818" spans="1:15" ht="12.75" customHeight="1" x14ac:dyDescent="0.2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</row>
    <row r="819" spans="1:15" ht="12.75" customHeight="1" x14ac:dyDescent="0.2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</row>
    <row r="820" spans="1:15" ht="12.75" customHeight="1" x14ac:dyDescent="0.2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</row>
    <row r="821" spans="1:15" ht="12.75" customHeight="1" x14ac:dyDescent="0.2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</row>
    <row r="822" spans="1:15" ht="12.75" customHeight="1" x14ac:dyDescent="0.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</row>
    <row r="823" spans="1:15" ht="12.75" customHeight="1" x14ac:dyDescent="0.2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</row>
    <row r="824" spans="1:15" ht="12.75" customHeight="1" x14ac:dyDescent="0.2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</row>
    <row r="825" spans="1:15" ht="12.75" customHeight="1" x14ac:dyDescent="0.2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</row>
    <row r="826" spans="1:15" ht="12.75" customHeight="1" x14ac:dyDescent="0.2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</row>
    <row r="827" spans="1:15" ht="12.75" customHeight="1" x14ac:dyDescent="0.2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</row>
    <row r="828" spans="1:15" ht="12.75" customHeight="1" x14ac:dyDescent="0.2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</row>
    <row r="829" spans="1:15" ht="12.75" customHeight="1" x14ac:dyDescent="0.2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</row>
    <row r="830" spans="1:15" ht="12.75" customHeight="1" x14ac:dyDescent="0.2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</row>
    <row r="831" spans="1:15" ht="12.75" customHeight="1" x14ac:dyDescent="0.2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</row>
    <row r="832" spans="1:15" ht="12.75" customHeight="1" x14ac:dyDescent="0.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</row>
    <row r="833" spans="1:15" ht="12.75" customHeight="1" x14ac:dyDescent="0.2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</row>
    <row r="834" spans="1:15" ht="12.75" customHeight="1" x14ac:dyDescent="0.2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</row>
    <row r="835" spans="1:15" ht="12.75" customHeight="1" x14ac:dyDescent="0.2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</row>
    <row r="836" spans="1:15" ht="12.75" customHeight="1" x14ac:dyDescent="0.2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</row>
    <row r="837" spans="1:15" ht="12.75" customHeight="1" x14ac:dyDescent="0.2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</row>
    <row r="838" spans="1:15" ht="12.75" customHeight="1" x14ac:dyDescent="0.2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</row>
    <row r="839" spans="1:15" ht="12.75" customHeight="1" x14ac:dyDescent="0.2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</row>
    <row r="840" spans="1:15" ht="12.75" customHeight="1" x14ac:dyDescent="0.2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</row>
    <row r="841" spans="1:15" ht="12.75" customHeight="1" x14ac:dyDescent="0.2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</row>
    <row r="842" spans="1:15" ht="12.75" customHeight="1" x14ac:dyDescent="0.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</row>
    <row r="843" spans="1:15" ht="12.75" customHeight="1" x14ac:dyDescent="0.2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</row>
    <row r="844" spans="1:15" ht="12.75" customHeight="1" x14ac:dyDescent="0.2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</row>
    <row r="845" spans="1:15" ht="12.75" customHeight="1" x14ac:dyDescent="0.2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</row>
    <row r="846" spans="1:15" ht="12.75" customHeight="1" x14ac:dyDescent="0.2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</row>
    <row r="847" spans="1:15" ht="12.75" customHeight="1" x14ac:dyDescent="0.2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</row>
    <row r="848" spans="1:15" ht="12.75" customHeight="1" x14ac:dyDescent="0.2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</row>
    <row r="849" spans="1:15" ht="12.75" customHeight="1" x14ac:dyDescent="0.2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</row>
    <row r="850" spans="1:15" ht="12.75" customHeight="1" x14ac:dyDescent="0.2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</row>
    <row r="851" spans="1:15" ht="12.75" customHeight="1" x14ac:dyDescent="0.2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</row>
    <row r="852" spans="1:15" ht="12.75" customHeight="1" x14ac:dyDescent="0.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</row>
    <row r="853" spans="1:15" ht="12.75" customHeight="1" x14ac:dyDescent="0.2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</row>
    <row r="854" spans="1:15" ht="12.75" customHeight="1" x14ac:dyDescent="0.2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</row>
    <row r="855" spans="1:15" ht="12.75" customHeight="1" x14ac:dyDescent="0.2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</row>
    <row r="856" spans="1:15" ht="12.75" customHeight="1" x14ac:dyDescent="0.2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</row>
    <row r="857" spans="1:15" ht="12.75" customHeight="1" x14ac:dyDescent="0.2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</row>
    <row r="858" spans="1:15" ht="12.75" customHeight="1" x14ac:dyDescent="0.2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</row>
    <row r="859" spans="1:15" ht="12.75" customHeight="1" x14ac:dyDescent="0.2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</row>
    <row r="860" spans="1:15" ht="12.75" customHeight="1" x14ac:dyDescent="0.2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</row>
    <row r="861" spans="1:15" ht="12.75" customHeight="1" x14ac:dyDescent="0.2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</row>
    <row r="862" spans="1:15" ht="12.75" customHeight="1" x14ac:dyDescent="0.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</row>
    <row r="863" spans="1:15" ht="12.75" customHeight="1" x14ac:dyDescent="0.2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</row>
    <row r="864" spans="1:15" ht="12.75" customHeight="1" x14ac:dyDescent="0.2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</row>
    <row r="865" spans="1:15" ht="12.75" customHeight="1" x14ac:dyDescent="0.2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</row>
    <row r="866" spans="1:15" ht="12.75" customHeight="1" x14ac:dyDescent="0.2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</row>
    <row r="867" spans="1:15" ht="12.75" customHeight="1" x14ac:dyDescent="0.2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</row>
    <row r="868" spans="1:15" ht="12.75" customHeight="1" x14ac:dyDescent="0.2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</row>
    <row r="869" spans="1:15" ht="12.75" customHeight="1" x14ac:dyDescent="0.2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</row>
    <row r="870" spans="1:15" ht="12.75" customHeight="1" x14ac:dyDescent="0.2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</row>
    <row r="871" spans="1:15" ht="12.75" customHeight="1" x14ac:dyDescent="0.2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</row>
    <row r="872" spans="1:15" ht="12.75" customHeight="1" x14ac:dyDescent="0.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</row>
    <row r="873" spans="1:15" ht="12.75" customHeight="1" x14ac:dyDescent="0.2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</row>
    <row r="874" spans="1:15" ht="12.75" customHeight="1" x14ac:dyDescent="0.2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</row>
    <row r="875" spans="1:15" ht="12.75" customHeight="1" x14ac:dyDescent="0.2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</row>
    <row r="876" spans="1:15" ht="12.75" customHeight="1" x14ac:dyDescent="0.2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</row>
    <row r="877" spans="1:15" ht="12.75" customHeight="1" x14ac:dyDescent="0.2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</row>
    <row r="878" spans="1:15" ht="12.75" customHeight="1" x14ac:dyDescent="0.2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</row>
    <row r="879" spans="1:15" ht="12.75" customHeight="1" x14ac:dyDescent="0.2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</row>
    <row r="880" spans="1:15" ht="12.75" customHeight="1" x14ac:dyDescent="0.2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</row>
    <row r="881" spans="1:15" ht="12.75" customHeight="1" x14ac:dyDescent="0.2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</row>
    <row r="882" spans="1:15" ht="12.75" customHeight="1" x14ac:dyDescent="0.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</row>
    <row r="883" spans="1:15" ht="12.75" customHeight="1" x14ac:dyDescent="0.2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</row>
    <row r="884" spans="1:15" ht="12.75" customHeight="1" x14ac:dyDescent="0.2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</row>
    <row r="885" spans="1:15" ht="12.75" customHeight="1" x14ac:dyDescent="0.2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</row>
    <row r="886" spans="1:15" ht="12.75" customHeight="1" x14ac:dyDescent="0.2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</row>
    <row r="887" spans="1:15" ht="12.75" customHeight="1" x14ac:dyDescent="0.2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</row>
    <row r="888" spans="1:15" ht="12.75" customHeight="1" x14ac:dyDescent="0.2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</row>
    <row r="889" spans="1:15" ht="12.75" customHeight="1" x14ac:dyDescent="0.2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</row>
    <row r="890" spans="1:15" ht="12.75" customHeight="1" x14ac:dyDescent="0.2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</row>
    <row r="891" spans="1:15" ht="12.75" customHeight="1" x14ac:dyDescent="0.2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</row>
    <row r="892" spans="1:15" ht="12.75" customHeight="1" x14ac:dyDescent="0.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</row>
    <row r="893" spans="1:15" ht="12.75" customHeight="1" x14ac:dyDescent="0.2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</row>
    <row r="894" spans="1:15" ht="12.75" customHeight="1" x14ac:dyDescent="0.2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</row>
    <row r="895" spans="1:15" ht="12.75" customHeight="1" x14ac:dyDescent="0.2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</row>
    <row r="896" spans="1:15" ht="12.75" customHeight="1" x14ac:dyDescent="0.2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</row>
    <row r="897" spans="1:15" ht="12.75" customHeight="1" x14ac:dyDescent="0.2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</row>
    <row r="898" spans="1:15" ht="12.75" customHeight="1" x14ac:dyDescent="0.2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</row>
    <row r="899" spans="1:15" ht="12.75" customHeight="1" x14ac:dyDescent="0.2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</row>
    <row r="900" spans="1:15" ht="12.75" customHeight="1" x14ac:dyDescent="0.2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</row>
    <row r="901" spans="1:15" ht="12.75" customHeight="1" x14ac:dyDescent="0.2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</row>
    <row r="902" spans="1:15" ht="12.75" customHeight="1" x14ac:dyDescent="0.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</row>
    <row r="903" spans="1:15" ht="12.75" customHeight="1" x14ac:dyDescent="0.2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</row>
    <row r="904" spans="1:15" ht="12.75" customHeight="1" x14ac:dyDescent="0.2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</row>
    <row r="905" spans="1:15" ht="12.75" customHeight="1" x14ac:dyDescent="0.2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</row>
    <row r="906" spans="1:15" ht="12.75" customHeight="1" x14ac:dyDescent="0.2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</row>
    <row r="907" spans="1:15" ht="12.75" customHeight="1" x14ac:dyDescent="0.2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</row>
    <row r="908" spans="1:15" ht="12.75" customHeight="1" x14ac:dyDescent="0.2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</row>
    <row r="909" spans="1:15" ht="12.75" customHeight="1" x14ac:dyDescent="0.2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</row>
    <row r="910" spans="1:15" ht="12.75" customHeight="1" x14ac:dyDescent="0.2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</row>
    <row r="911" spans="1:15" ht="12.75" customHeight="1" x14ac:dyDescent="0.2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</row>
    <row r="912" spans="1:15" ht="12.75" customHeight="1" x14ac:dyDescent="0.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</row>
    <row r="913" spans="1:15" ht="12.75" customHeight="1" x14ac:dyDescent="0.2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</row>
    <row r="914" spans="1:15" ht="12.75" customHeight="1" x14ac:dyDescent="0.2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</row>
    <row r="915" spans="1:15" ht="12.75" customHeight="1" x14ac:dyDescent="0.2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</row>
    <row r="916" spans="1:15" ht="12.75" customHeight="1" x14ac:dyDescent="0.2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</row>
    <row r="917" spans="1:15" ht="12.75" customHeight="1" x14ac:dyDescent="0.2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</row>
    <row r="918" spans="1:15" ht="12.75" customHeight="1" x14ac:dyDescent="0.2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</row>
    <row r="919" spans="1:15" ht="12.75" customHeight="1" x14ac:dyDescent="0.2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</row>
    <row r="920" spans="1:15" ht="12.75" customHeight="1" x14ac:dyDescent="0.2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</row>
    <row r="921" spans="1:15" ht="12.75" customHeight="1" x14ac:dyDescent="0.2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</row>
    <row r="922" spans="1:15" ht="12.75" customHeight="1" x14ac:dyDescent="0.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</row>
    <row r="923" spans="1:15" ht="12.75" customHeight="1" x14ac:dyDescent="0.2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</row>
    <row r="924" spans="1:15" ht="12.75" customHeight="1" x14ac:dyDescent="0.2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</row>
    <row r="925" spans="1:15" ht="12.75" customHeight="1" x14ac:dyDescent="0.2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</row>
    <row r="926" spans="1:15" ht="12.75" customHeight="1" x14ac:dyDescent="0.2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</row>
    <row r="927" spans="1:15" ht="12.75" customHeight="1" x14ac:dyDescent="0.2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</row>
    <row r="928" spans="1:15" ht="12.75" customHeight="1" x14ac:dyDescent="0.2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</row>
    <row r="929" spans="1:15" ht="12.75" customHeight="1" x14ac:dyDescent="0.2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</row>
    <row r="930" spans="1:15" ht="12.75" customHeight="1" x14ac:dyDescent="0.2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</row>
    <row r="931" spans="1:15" ht="12.75" customHeight="1" x14ac:dyDescent="0.2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</row>
    <row r="932" spans="1:15" ht="12.75" customHeight="1" x14ac:dyDescent="0.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</row>
    <row r="933" spans="1:15" ht="12.75" customHeight="1" x14ac:dyDescent="0.2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</row>
    <row r="934" spans="1:15" ht="12.75" customHeight="1" x14ac:dyDescent="0.2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</row>
    <row r="935" spans="1:15" ht="12.75" customHeight="1" x14ac:dyDescent="0.2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</row>
    <row r="936" spans="1:15" ht="12.75" customHeight="1" x14ac:dyDescent="0.2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</row>
    <row r="937" spans="1:15" ht="12.75" customHeight="1" x14ac:dyDescent="0.2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</row>
    <row r="938" spans="1:15" ht="12.75" customHeight="1" x14ac:dyDescent="0.2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</row>
    <row r="939" spans="1:15" ht="12.75" customHeight="1" x14ac:dyDescent="0.2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</row>
    <row r="940" spans="1:15" ht="12.75" customHeight="1" x14ac:dyDescent="0.2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</row>
    <row r="941" spans="1:15" ht="12.75" customHeight="1" x14ac:dyDescent="0.2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</row>
    <row r="942" spans="1:15" ht="12.75" customHeight="1" x14ac:dyDescent="0.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</row>
    <row r="943" spans="1:15" ht="12.75" customHeight="1" x14ac:dyDescent="0.2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</row>
    <row r="944" spans="1:15" ht="12.75" customHeight="1" x14ac:dyDescent="0.2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</row>
    <row r="945" spans="1:15" ht="12.75" customHeight="1" x14ac:dyDescent="0.2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</row>
    <row r="946" spans="1:15" ht="12.75" customHeight="1" x14ac:dyDescent="0.2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</row>
    <row r="947" spans="1:15" ht="12.75" customHeight="1" x14ac:dyDescent="0.2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</row>
    <row r="948" spans="1:15" ht="12.75" customHeight="1" x14ac:dyDescent="0.2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</row>
    <row r="949" spans="1:15" ht="12.75" customHeight="1" x14ac:dyDescent="0.2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</row>
    <row r="950" spans="1:15" ht="12.75" customHeight="1" x14ac:dyDescent="0.2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</row>
    <row r="951" spans="1:15" ht="12.75" customHeight="1" x14ac:dyDescent="0.2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</row>
    <row r="952" spans="1:15" ht="12.75" customHeight="1" x14ac:dyDescent="0.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</row>
    <row r="953" spans="1:15" ht="12.75" customHeight="1" x14ac:dyDescent="0.2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</row>
    <row r="954" spans="1:15" ht="12.75" customHeight="1" x14ac:dyDescent="0.2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</row>
    <row r="955" spans="1:15" ht="12.75" customHeight="1" x14ac:dyDescent="0.2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</row>
    <row r="956" spans="1:15" ht="12.75" customHeight="1" x14ac:dyDescent="0.2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</row>
    <row r="957" spans="1:15" ht="12.75" customHeight="1" x14ac:dyDescent="0.2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</row>
    <row r="958" spans="1:15" ht="12.75" customHeight="1" x14ac:dyDescent="0.2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</row>
    <row r="959" spans="1:15" ht="12.75" customHeight="1" x14ac:dyDescent="0.2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</row>
    <row r="960" spans="1:15" ht="12.75" customHeight="1" x14ac:dyDescent="0.2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</row>
    <row r="961" spans="1:15" ht="12.75" customHeight="1" x14ac:dyDescent="0.2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</row>
    <row r="962" spans="1:15" ht="12.75" customHeight="1" x14ac:dyDescent="0.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</row>
    <row r="963" spans="1:15" ht="12.75" customHeight="1" x14ac:dyDescent="0.2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</row>
    <row r="964" spans="1:15" ht="12.75" customHeight="1" x14ac:dyDescent="0.2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</row>
    <row r="965" spans="1:15" ht="12.75" customHeight="1" x14ac:dyDescent="0.2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</row>
    <row r="966" spans="1:15" ht="12.75" customHeight="1" x14ac:dyDescent="0.2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</row>
    <row r="967" spans="1:15" ht="12.75" customHeight="1" x14ac:dyDescent="0.2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</row>
  </sheetData>
  <mergeCells count="2">
    <mergeCell ref="C4:H4"/>
    <mergeCell ref="C12:D1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Z980"/>
  <sheetViews>
    <sheetView zoomScaleNormal="100" workbookViewId="0">
      <selection activeCell="K13" sqref="K13"/>
    </sheetView>
  </sheetViews>
  <sheetFormatPr baseColWidth="10" defaultColWidth="14.42578125" defaultRowHeight="15" x14ac:dyDescent="0.25"/>
  <cols>
    <col min="1" max="1" width="9.140625" style="2" customWidth="1"/>
    <col min="2" max="2" width="12.7109375" style="2" customWidth="1"/>
    <col min="3" max="3" width="36.28515625" style="2" customWidth="1"/>
    <col min="4" max="4" width="11" style="2" customWidth="1"/>
    <col min="5" max="5" width="13.28515625" style="2" customWidth="1"/>
    <col min="6" max="6" width="8.85546875" style="2" customWidth="1"/>
    <col min="7" max="7" width="11.140625" style="2" customWidth="1"/>
    <col min="8" max="8" width="11.28515625" style="2" customWidth="1"/>
    <col min="9" max="26" width="10" style="2" customWidth="1"/>
    <col min="27" max="16384" width="14.42578125" style="2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1"/>
      <c r="C2" s="629"/>
      <c r="D2" s="628"/>
      <c r="E2" s="628"/>
      <c r="F2" s="628"/>
      <c r="G2" s="628"/>
      <c r="H2" s="62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1"/>
      <c r="C3" s="629" t="s">
        <v>114</v>
      </c>
      <c r="D3" s="628"/>
      <c r="E3" s="628"/>
      <c r="F3" s="628"/>
      <c r="G3" s="628"/>
      <c r="H3" s="62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630" t="s">
        <v>26</v>
      </c>
      <c r="D5" s="632" t="s">
        <v>115</v>
      </c>
      <c r="E5" s="632" t="s">
        <v>116</v>
      </c>
      <c r="F5" s="634" t="s">
        <v>117</v>
      </c>
      <c r="G5" s="635"/>
      <c r="H5" s="636" t="s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thickBot="1" x14ac:dyDescent="0.3">
      <c r="A6" s="1"/>
      <c r="B6" s="1"/>
      <c r="C6" s="631"/>
      <c r="D6" s="633"/>
      <c r="E6" s="633"/>
      <c r="F6" s="159" t="s">
        <v>118</v>
      </c>
      <c r="G6" s="159" t="s">
        <v>119</v>
      </c>
      <c r="H6" s="63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thickBot="1" x14ac:dyDescent="0.3">
      <c r="A7" s="1"/>
      <c r="B7" s="1"/>
      <c r="C7" s="276" t="s">
        <v>120</v>
      </c>
      <c r="D7" s="3"/>
      <c r="E7" s="3"/>
      <c r="F7" s="3"/>
      <c r="G7" s="3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99" t="s">
        <v>382</v>
      </c>
      <c r="D8" s="507">
        <f>Planilla!I13/12</f>
        <v>1098.7347222222222</v>
      </c>
      <c r="E8" s="6">
        <v>1</v>
      </c>
      <c r="F8" s="7">
        <f>D8</f>
        <v>1098.7347222222222</v>
      </c>
      <c r="G8" s="7"/>
      <c r="H8" s="8">
        <f>D8*E8</f>
        <v>1098.7347222222222</v>
      </c>
      <c r="I8" s="625" t="s">
        <v>493</v>
      </c>
      <c r="J8" s="626"/>
      <c r="K8" s="62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9" t="s">
        <v>121</v>
      </c>
      <c r="D9" s="10">
        <v>0</v>
      </c>
      <c r="E9" s="10">
        <v>0</v>
      </c>
      <c r="F9" s="11"/>
      <c r="G9" s="11"/>
      <c r="H9" s="8">
        <f>D9*E9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9" t="s">
        <v>122</v>
      </c>
      <c r="D10" s="10">
        <v>0</v>
      </c>
      <c r="E10" s="10">
        <v>0</v>
      </c>
      <c r="F10" s="11"/>
      <c r="G10" s="11"/>
      <c r="H10" s="8">
        <f t="shared" ref="H10:H12" si="0">D10*E10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9" t="s">
        <v>123</v>
      </c>
      <c r="D11" s="10">
        <v>100</v>
      </c>
      <c r="E11" s="10">
        <v>1</v>
      </c>
      <c r="F11" s="11">
        <f>D11</f>
        <v>100</v>
      </c>
      <c r="H11" s="8">
        <f t="shared" si="0"/>
        <v>100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thickBot="1" x14ac:dyDescent="0.3">
      <c r="A12" s="1"/>
      <c r="B12" s="1"/>
      <c r="C12" s="12" t="s">
        <v>124</v>
      </c>
      <c r="D12" s="13">
        <v>1200</v>
      </c>
      <c r="E12" s="13">
        <v>1</v>
      </c>
      <c r="F12" s="14">
        <f>D12</f>
        <v>1200</v>
      </c>
      <c r="G12" s="14"/>
      <c r="H12" s="8">
        <f t="shared" si="0"/>
        <v>1200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thickBot="1" x14ac:dyDescent="0.3">
      <c r="A13" s="1"/>
      <c r="B13" s="1"/>
      <c r="C13" s="424" t="s">
        <v>125</v>
      </c>
      <c r="D13" s="425">
        <f>SUM(D8:D12)</f>
        <v>2398.7347222222224</v>
      </c>
      <c r="E13" s="425"/>
      <c r="F13" s="425">
        <f t="shared" ref="F13" si="1">SUM(F8:F12)</f>
        <v>2398.7347222222224</v>
      </c>
      <c r="G13" s="425">
        <f>SUM(G8:G12)</f>
        <v>0</v>
      </c>
      <c r="H13" s="425">
        <f>SUM(H8:H12)</f>
        <v>2398.7347222222224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5" t="s">
        <v>126</v>
      </c>
      <c r="D14" s="6"/>
      <c r="E14" s="6"/>
      <c r="F14" s="7"/>
      <c r="G14" s="7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98" t="s">
        <v>326</v>
      </c>
      <c r="D15" s="10">
        <v>15</v>
      </c>
      <c r="E15" s="197">
        <v>1</v>
      </c>
      <c r="F15" s="11">
        <f>D15</f>
        <v>15</v>
      </c>
      <c r="H15" s="8">
        <f>D15*E15</f>
        <v>15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5" t="s">
        <v>127</v>
      </c>
      <c r="D16" s="10">
        <v>50</v>
      </c>
      <c r="E16" s="10">
        <v>8</v>
      </c>
      <c r="F16" s="11">
        <f>H16</f>
        <v>400</v>
      </c>
      <c r="H16" s="8">
        <f t="shared" ref="H16:H17" si="2">D16*E16</f>
        <v>400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thickBot="1" x14ac:dyDescent="0.3">
      <c r="A17" s="1"/>
      <c r="B17" s="1"/>
      <c r="C17" s="16" t="s">
        <v>128</v>
      </c>
      <c r="D17" s="13">
        <v>100</v>
      </c>
      <c r="E17" s="13">
        <v>1</v>
      </c>
      <c r="F17" s="14">
        <f>H17</f>
        <v>100</v>
      </c>
      <c r="H17" s="8">
        <f t="shared" si="2"/>
        <v>100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thickBot="1" x14ac:dyDescent="0.3">
      <c r="A18" s="1"/>
      <c r="B18" s="1"/>
      <c r="C18" s="424" t="s">
        <v>129</v>
      </c>
      <c r="D18" s="425">
        <f>SUM(D15:D17)</f>
        <v>165</v>
      </c>
      <c r="E18" s="425"/>
      <c r="F18" s="425">
        <f>SUM(F15:F17)</f>
        <v>515</v>
      </c>
      <c r="G18" s="425">
        <f>SUM(G15:G17)</f>
        <v>0</v>
      </c>
      <c r="H18" s="425">
        <f>SUM(H15:H17)</f>
        <v>515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thickBot="1" x14ac:dyDescent="0.3">
      <c r="A19" s="1"/>
      <c r="B19" s="1"/>
      <c r="C19" s="160" t="s">
        <v>130</v>
      </c>
      <c r="D19" s="161">
        <f>D18+D13</f>
        <v>2563.7347222222224</v>
      </c>
      <c r="E19" s="161"/>
      <c r="F19" s="161">
        <f>F18+F13</f>
        <v>2913.7347222222224</v>
      </c>
      <c r="G19" s="161">
        <f t="shared" ref="G19" si="3">G18+G13</f>
        <v>0</v>
      </c>
      <c r="H19" s="200">
        <f>F19+G19</f>
        <v>2913.7347222222224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627"/>
      <c r="D20" s="628"/>
      <c r="E20" s="17"/>
      <c r="F20" s="17"/>
      <c r="G20" s="1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9">
    <mergeCell ref="I8:K8"/>
    <mergeCell ref="C20:D20"/>
    <mergeCell ref="C2:H2"/>
    <mergeCell ref="C3:H3"/>
    <mergeCell ref="C5:C6"/>
    <mergeCell ref="D5:D6"/>
    <mergeCell ref="E5:E6"/>
    <mergeCell ref="F5:G5"/>
    <mergeCell ref="H5:H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2:M37"/>
  <sheetViews>
    <sheetView topLeftCell="C1" zoomScale="120" zoomScaleNormal="120" workbookViewId="0">
      <selection activeCell="E3" sqref="E3"/>
    </sheetView>
  </sheetViews>
  <sheetFormatPr baseColWidth="10" defaultColWidth="10.7109375" defaultRowHeight="12.75" x14ac:dyDescent="0.2"/>
  <cols>
    <col min="1" max="1" width="11.5703125" style="34" customWidth="1"/>
    <col min="2" max="2" width="3.140625" style="34" customWidth="1"/>
    <col min="3" max="3" width="8.7109375" style="34" customWidth="1"/>
    <col min="4" max="4" width="14.42578125" style="34" customWidth="1"/>
    <col min="5" max="5" width="11.28515625" style="34" customWidth="1"/>
    <col min="6" max="6" width="16.85546875" style="34" customWidth="1"/>
    <col min="7" max="7" width="13.140625" style="34" customWidth="1"/>
    <col min="8" max="8" width="14.42578125" style="34" customWidth="1"/>
    <col min="9" max="256" width="11.5703125" style="34"/>
    <col min="257" max="257" width="3.140625" style="34" customWidth="1"/>
    <col min="258" max="258" width="11.5703125" style="34"/>
    <col min="259" max="259" width="14.42578125" style="34" customWidth="1"/>
    <col min="260" max="260" width="12.28515625" style="34" bestFit="1" customWidth="1"/>
    <col min="261" max="261" width="9.140625" style="34" customWidth="1"/>
    <col min="262" max="262" width="13.140625" style="34" customWidth="1"/>
    <col min="263" max="512" width="11.5703125" style="34"/>
    <col min="513" max="513" width="3.140625" style="34" customWidth="1"/>
    <col min="514" max="514" width="11.5703125" style="34"/>
    <col min="515" max="515" width="14.42578125" style="34" customWidth="1"/>
    <col min="516" max="516" width="12.28515625" style="34" bestFit="1" customWidth="1"/>
    <col min="517" max="517" width="9.140625" style="34" customWidth="1"/>
    <col min="518" max="518" width="13.140625" style="34" customWidth="1"/>
    <col min="519" max="768" width="11.5703125" style="34"/>
    <col min="769" max="769" width="3.140625" style="34" customWidth="1"/>
    <col min="770" max="770" width="11.5703125" style="34"/>
    <col min="771" max="771" width="14.42578125" style="34" customWidth="1"/>
    <col min="772" max="772" width="12.28515625" style="34" bestFit="1" customWidth="1"/>
    <col min="773" max="773" width="9.140625" style="34" customWidth="1"/>
    <col min="774" max="774" width="13.140625" style="34" customWidth="1"/>
    <col min="775" max="1024" width="11.5703125" style="34"/>
    <col min="1025" max="1025" width="3.140625" style="34" customWidth="1"/>
    <col min="1026" max="1026" width="11.5703125" style="34"/>
    <col min="1027" max="1027" width="14.42578125" style="34" customWidth="1"/>
    <col min="1028" max="1028" width="12.28515625" style="34" bestFit="1" customWidth="1"/>
    <col min="1029" max="1029" width="9.140625" style="34" customWidth="1"/>
    <col min="1030" max="1030" width="13.140625" style="34" customWidth="1"/>
    <col min="1031" max="1280" width="11.5703125" style="34"/>
    <col min="1281" max="1281" width="3.140625" style="34" customWidth="1"/>
    <col min="1282" max="1282" width="11.5703125" style="34"/>
    <col min="1283" max="1283" width="14.42578125" style="34" customWidth="1"/>
    <col min="1284" max="1284" width="12.28515625" style="34" bestFit="1" customWidth="1"/>
    <col min="1285" max="1285" width="9.140625" style="34" customWidth="1"/>
    <col min="1286" max="1286" width="13.140625" style="34" customWidth="1"/>
    <col min="1287" max="1536" width="11.5703125" style="34"/>
    <col min="1537" max="1537" width="3.140625" style="34" customWidth="1"/>
    <col min="1538" max="1538" width="11.5703125" style="34"/>
    <col min="1539" max="1539" width="14.42578125" style="34" customWidth="1"/>
    <col min="1540" max="1540" width="12.28515625" style="34" bestFit="1" customWidth="1"/>
    <col min="1541" max="1541" width="9.140625" style="34" customWidth="1"/>
    <col min="1542" max="1542" width="13.140625" style="34" customWidth="1"/>
    <col min="1543" max="1792" width="11.5703125" style="34"/>
    <col min="1793" max="1793" width="3.140625" style="34" customWidth="1"/>
    <col min="1794" max="1794" width="11.5703125" style="34"/>
    <col min="1795" max="1795" width="14.42578125" style="34" customWidth="1"/>
    <col min="1796" max="1796" width="12.28515625" style="34" bestFit="1" customWidth="1"/>
    <col min="1797" max="1797" width="9.140625" style="34" customWidth="1"/>
    <col min="1798" max="1798" width="13.140625" style="34" customWidth="1"/>
    <col min="1799" max="2048" width="11.5703125" style="34"/>
    <col min="2049" max="2049" width="3.140625" style="34" customWidth="1"/>
    <col min="2050" max="2050" width="11.5703125" style="34"/>
    <col min="2051" max="2051" width="14.42578125" style="34" customWidth="1"/>
    <col min="2052" max="2052" width="12.28515625" style="34" bestFit="1" customWidth="1"/>
    <col min="2053" max="2053" width="9.140625" style="34" customWidth="1"/>
    <col min="2054" max="2054" width="13.140625" style="34" customWidth="1"/>
    <col min="2055" max="2304" width="11.5703125" style="34"/>
    <col min="2305" max="2305" width="3.140625" style="34" customWidth="1"/>
    <col min="2306" max="2306" width="11.5703125" style="34"/>
    <col min="2307" max="2307" width="14.42578125" style="34" customWidth="1"/>
    <col min="2308" max="2308" width="12.28515625" style="34" bestFit="1" customWidth="1"/>
    <col min="2309" max="2309" width="9.140625" style="34" customWidth="1"/>
    <col min="2310" max="2310" width="13.140625" style="34" customWidth="1"/>
    <col min="2311" max="2560" width="11.5703125" style="34"/>
    <col min="2561" max="2561" width="3.140625" style="34" customWidth="1"/>
    <col min="2562" max="2562" width="11.5703125" style="34"/>
    <col min="2563" max="2563" width="14.42578125" style="34" customWidth="1"/>
    <col min="2564" max="2564" width="12.28515625" style="34" bestFit="1" customWidth="1"/>
    <col min="2565" max="2565" width="9.140625" style="34" customWidth="1"/>
    <col min="2566" max="2566" width="13.140625" style="34" customWidth="1"/>
    <col min="2567" max="2816" width="11.5703125" style="34"/>
    <col min="2817" max="2817" width="3.140625" style="34" customWidth="1"/>
    <col min="2818" max="2818" width="11.5703125" style="34"/>
    <col min="2819" max="2819" width="14.42578125" style="34" customWidth="1"/>
    <col min="2820" max="2820" width="12.28515625" style="34" bestFit="1" customWidth="1"/>
    <col min="2821" max="2821" width="9.140625" style="34" customWidth="1"/>
    <col min="2822" max="2822" width="13.140625" style="34" customWidth="1"/>
    <col min="2823" max="3072" width="11.5703125" style="34"/>
    <col min="3073" max="3073" width="3.140625" style="34" customWidth="1"/>
    <col min="3074" max="3074" width="11.5703125" style="34"/>
    <col min="3075" max="3075" width="14.42578125" style="34" customWidth="1"/>
    <col min="3076" max="3076" width="12.28515625" style="34" bestFit="1" customWidth="1"/>
    <col min="3077" max="3077" width="9.140625" style="34" customWidth="1"/>
    <col min="3078" max="3078" width="13.140625" style="34" customWidth="1"/>
    <col min="3079" max="3328" width="11.5703125" style="34"/>
    <col min="3329" max="3329" width="3.140625" style="34" customWidth="1"/>
    <col min="3330" max="3330" width="11.5703125" style="34"/>
    <col min="3331" max="3331" width="14.42578125" style="34" customWidth="1"/>
    <col min="3332" max="3332" width="12.28515625" style="34" bestFit="1" customWidth="1"/>
    <col min="3333" max="3333" width="9.140625" style="34" customWidth="1"/>
    <col min="3334" max="3334" width="13.140625" style="34" customWidth="1"/>
    <col min="3335" max="3584" width="11.5703125" style="34"/>
    <col min="3585" max="3585" width="3.140625" style="34" customWidth="1"/>
    <col min="3586" max="3586" width="11.5703125" style="34"/>
    <col min="3587" max="3587" width="14.42578125" style="34" customWidth="1"/>
    <col min="3588" max="3588" width="12.28515625" style="34" bestFit="1" customWidth="1"/>
    <col min="3589" max="3589" width="9.140625" style="34" customWidth="1"/>
    <col min="3590" max="3590" width="13.140625" style="34" customWidth="1"/>
    <col min="3591" max="3840" width="11.5703125" style="34"/>
    <col min="3841" max="3841" width="3.140625" style="34" customWidth="1"/>
    <col min="3842" max="3842" width="11.5703125" style="34"/>
    <col min="3843" max="3843" width="14.42578125" style="34" customWidth="1"/>
    <col min="3844" max="3844" width="12.28515625" style="34" bestFit="1" customWidth="1"/>
    <col min="3845" max="3845" width="9.140625" style="34" customWidth="1"/>
    <col min="3846" max="3846" width="13.140625" style="34" customWidth="1"/>
    <col min="3847" max="4096" width="11.5703125" style="34"/>
    <col min="4097" max="4097" width="3.140625" style="34" customWidth="1"/>
    <col min="4098" max="4098" width="11.5703125" style="34"/>
    <col min="4099" max="4099" width="14.42578125" style="34" customWidth="1"/>
    <col min="4100" max="4100" width="12.28515625" style="34" bestFit="1" customWidth="1"/>
    <col min="4101" max="4101" width="9.140625" style="34" customWidth="1"/>
    <col min="4102" max="4102" width="13.140625" style="34" customWidth="1"/>
    <col min="4103" max="4352" width="11.5703125" style="34"/>
    <col min="4353" max="4353" width="3.140625" style="34" customWidth="1"/>
    <col min="4354" max="4354" width="11.5703125" style="34"/>
    <col min="4355" max="4355" width="14.42578125" style="34" customWidth="1"/>
    <col min="4356" max="4356" width="12.28515625" style="34" bestFit="1" customWidth="1"/>
    <col min="4357" max="4357" width="9.140625" style="34" customWidth="1"/>
    <col min="4358" max="4358" width="13.140625" style="34" customWidth="1"/>
    <col min="4359" max="4608" width="11.5703125" style="34"/>
    <col min="4609" max="4609" width="3.140625" style="34" customWidth="1"/>
    <col min="4610" max="4610" width="11.5703125" style="34"/>
    <col min="4611" max="4611" width="14.42578125" style="34" customWidth="1"/>
    <col min="4612" max="4612" width="12.28515625" style="34" bestFit="1" customWidth="1"/>
    <col min="4613" max="4613" width="9.140625" style="34" customWidth="1"/>
    <col min="4614" max="4614" width="13.140625" style="34" customWidth="1"/>
    <col min="4615" max="4864" width="11.5703125" style="34"/>
    <col min="4865" max="4865" width="3.140625" style="34" customWidth="1"/>
    <col min="4866" max="4866" width="11.5703125" style="34"/>
    <col min="4867" max="4867" width="14.42578125" style="34" customWidth="1"/>
    <col min="4868" max="4868" width="12.28515625" style="34" bestFit="1" customWidth="1"/>
    <col min="4869" max="4869" width="9.140625" style="34" customWidth="1"/>
    <col min="4870" max="4870" width="13.140625" style="34" customWidth="1"/>
    <col min="4871" max="5120" width="11.5703125" style="34"/>
    <col min="5121" max="5121" width="3.140625" style="34" customWidth="1"/>
    <col min="5122" max="5122" width="11.5703125" style="34"/>
    <col min="5123" max="5123" width="14.42578125" style="34" customWidth="1"/>
    <col min="5124" max="5124" width="12.28515625" style="34" bestFit="1" customWidth="1"/>
    <col min="5125" max="5125" width="9.140625" style="34" customWidth="1"/>
    <col min="5126" max="5126" width="13.140625" style="34" customWidth="1"/>
    <col min="5127" max="5376" width="11.5703125" style="34"/>
    <col min="5377" max="5377" width="3.140625" style="34" customWidth="1"/>
    <col min="5378" max="5378" width="11.5703125" style="34"/>
    <col min="5379" max="5379" width="14.42578125" style="34" customWidth="1"/>
    <col min="5380" max="5380" width="12.28515625" style="34" bestFit="1" customWidth="1"/>
    <col min="5381" max="5381" width="9.140625" style="34" customWidth="1"/>
    <col min="5382" max="5382" width="13.140625" style="34" customWidth="1"/>
    <col min="5383" max="5632" width="11.5703125" style="34"/>
    <col min="5633" max="5633" width="3.140625" style="34" customWidth="1"/>
    <col min="5634" max="5634" width="11.5703125" style="34"/>
    <col min="5635" max="5635" width="14.42578125" style="34" customWidth="1"/>
    <col min="5636" max="5636" width="12.28515625" style="34" bestFit="1" customWidth="1"/>
    <col min="5637" max="5637" width="9.140625" style="34" customWidth="1"/>
    <col min="5638" max="5638" width="13.140625" style="34" customWidth="1"/>
    <col min="5639" max="5888" width="11.5703125" style="34"/>
    <col min="5889" max="5889" width="3.140625" style="34" customWidth="1"/>
    <col min="5890" max="5890" width="11.5703125" style="34"/>
    <col min="5891" max="5891" width="14.42578125" style="34" customWidth="1"/>
    <col min="5892" max="5892" width="12.28515625" style="34" bestFit="1" customWidth="1"/>
    <col min="5893" max="5893" width="9.140625" style="34" customWidth="1"/>
    <col min="5894" max="5894" width="13.140625" style="34" customWidth="1"/>
    <col min="5895" max="6144" width="11.5703125" style="34"/>
    <col min="6145" max="6145" width="3.140625" style="34" customWidth="1"/>
    <col min="6146" max="6146" width="11.5703125" style="34"/>
    <col min="6147" max="6147" width="14.42578125" style="34" customWidth="1"/>
    <col min="6148" max="6148" width="12.28515625" style="34" bestFit="1" customWidth="1"/>
    <col min="6149" max="6149" width="9.140625" style="34" customWidth="1"/>
    <col min="6150" max="6150" width="13.140625" style="34" customWidth="1"/>
    <col min="6151" max="6400" width="11.5703125" style="34"/>
    <col min="6401" max="6401" width="3.140625" style="34" customWidth="1"/>
    <col min="6402" max="6402" width="11.5703125" style="34"/>
    <col min="6403" max="6403" width="14.42578125" style="34" customWidth="1"/>
    <col min="6404" max="6404" width="12.28515625" style="34" bestFit="1" customWidth="1"/>
    <col min="6405" max="6405" width="9.140625" style="34" customWidth="1"/>
    <col min="6406" max="6406" width="13.140625" style="34" customWidth="1"/>
    <col min="6407" max="6656" width="11.5703125" style="34"/>
    <col min="6657" max="6657" width="3.140625" style="34" customWidth="1"/>
    <col min="6658" max="6658" width="11.5703125" style="34"/>
    <col min="6659" max="6659" width="14.42578125" style="34" customWidth="1"/>
    <col min="6660" max="6660" width="12.28515625" style="34" bestFit="1" customWidth="1"/>
    <col min="6661" max="6661" width="9.140625" style="34" customWidth="1"/>
    <col min="6662" max="6662" width="13.140625" style="34" customWidth="1"/>
    <col min="6663" max="6912" width="11.5703125" style="34"/>
    <col min="6913" max="6913" width="3.140625" style="34" customWidth="1"/>
    <col min="6914" max="6914" width="11.5703125" style="34"/>
    <col min="6915" max="6915" width="14.42578125" style="34" customWidth="1"/>
    <col min="6916" max="6916" width="12.28515625" style="34" bestFit="1" customWidth="1"/>
    <col min="6917" max="6917" width="9.140625" style="34" customWidth="1"/>
    <col min="6918" max="6918" width="13.140625" style="34" customWidth="1"/>
    <col min="6919" max="7168" width="11.5703125" style="34"/>
    <col min="7169" max="7169" width="3.140625" style="34" customWidth="1"/>
    <col min="7170" max="7170" width="11.5703125" style="34"/>
    <col min="7171" max="7171" width="14.42578125" style="34" customWidth="1"/>
    <col min="7172" max="7172" width="12.28515625" style="34" bestFit="1" customWidth="1"/>
    <col min="7173" max="7173" width="9.140625" style="34" customWidth="1"/>
    <col min="7174" max="7174" width="13.140625" style="34" customWidth="1"/>
    <col min="7175" max="7424" width="11.5703125" style="34"/>
    <col min="7425" max="7425" width="3.140625" style="34" customWidth="1"/>
    <col min="7426" max="7426" width="11.5703125" style="34"/>
    <col min="7427" max="7427" width="14.42578125" style="34" customWidth="1"/>
    <col min="7428" max="7428" width="12.28515625" style="34" bestFit="1" customWidth="1"/>
    <col min="7429" max="7429" width="9.140625" style="34" customWidth="1"/>
    <col min="7430" max="7430" width="13.140625" style="34" customWidth="1"/>
    <col min="7431" max="7680" width="11.5703125" style="34"/>
    <col min="7681" max="7681" width="3.140625" style="34" customWidth="1"/>
    <col min="7682" max="7682" width="11.5703125" style="34"/>
    <col min="7683" max="7683" width="14.42578125" style="34" customWidth="1"/>
    <col min="7684" max="7684" width="12.28515625" style="34" bestFit="1" customWidth="1"/>
    <col min="7685" max="7685" width="9.140625" style="34" customWidth="1"/>
    <col min="7686" max="7686" width="13.140625" style="34" customWidth="1"/>
    <col min="7687" max="7936" width="11.5703125" style="34"/>
    <col min="7937" max="7937" width="3.140625" style="34" customWidth="1"/>
    <col min="7938" max="7938" width="11.5703125" style="34"/>
    <col min="7939" max="7939" width="14.42578125" style="34" customWidth="1"/>
    <col min="7940" max="7940" width="12.28515625" style="34" bestFit="1" customWidth="1"/>
    <col min="7941" max="7941" width="9.140625" style="34" customWidth="1"/>
    <col min="7942" max="7942" width="13.140625" style="34" customWidth="1"/>
    <col min="7943" max="8192" width="11.5703125" style="34"/>
    <col min="8193" max="8193" width="3.140625" style="34" customWidth="1"/>
    <col min="8194" max="8194" width="11.5703125" style="34"/>
    <col min="8195" max="8195" width="14.42578125" style="34" customWidth="1"/>
    <col min="8196" max="8196" width="12.28515625" style="34" bestFit="1" customWidth="1"/>
    <col min="8197" max="8197" width="9.140625" style="34" customWidth="1"/>
    <col min="8198" max="8198" width="13.140625" style="34" customWidth="1"/>
    <col min="8199" max="8448" width="11.5703125" style="34"/>
    <col min="8449" max="8449" width="3.140625" style="34" customWidth="1"/>
    <col min="8450" max="8450" width="11.5703125" style="34"/>
    <col min="8451" max="8451" width="14.42578125" style="34" customWidth="1"/>
    <col min="8452" max="8452" width="12.28515625" style="34" bestFit="1" customWidth="1"/>
    <col min="8453" max="8453" width="9.140625" style="34" customWidth="1"/>
    <col min="8454" max="8454" width="13.140625" style="34" customWidth="1"/>
    <col min="8455" max="8704" width="11.5703125" style="34"/>
    <col min="8705" max="8705" width="3.140625" style="34" customWidth="1"/>
    <col min="8706" max="8706" width="11.5703125" style="34"/>
    <col min="8707" max="8707" width="14.42578125" style="34" customWidth="1"/>
    <col min="8708" max="8708" width="12.28515625" style="34" bestFit="1" customWidth="1"/>
    <col min="8709" max="8709" width="9.140625" style="34" customWidth="1"/>
    <col min="8710" max="8710" width="13.140625" style="34" customWidth="1"/>
    <col min="8711" max="8960" width="11.5703125" style="34"/>
    <col min="8961" max="8961" width="3.140625" style="34" customWidth="1"/>
    <col min="8962" max="8962" width="11.5703125" style="34"/>
    <col min="8963" max="8963" width="14.42578125" style="34" customWidth="1"/>
    <col min="8964" max="8964" width="12.28515625" style="34" bestFit="1" customWidth="1"/>
    <col min="8965" max="8965" width="9.140625" style="34" customWidth="1"/>
    <col min="8966" max="8966" width="13.140625" style="34" customWidth="1"/>
    <col min="8967" max="9216" width="11.5703125" style="34"/>
    <col min="9217" max="9217" width="3.140625" style="34" customWidth="1"/>
    <col min="9218" max="9218" width="11.5703125" style="34"/>
    <col min="9219" max="9219" width="14.42578125" style="34" customWidth="1"/>
    <col min="9220" max="9220" width="12.28515625" style="34" bestFit="1" customWidth="1"/>
    <col min="9221" max="9221" width="9.140625" style="34" customWidth="1"/>
    <col min="9222" max="9222" width="13.140625" style="34" customWidth="1"/>
    <col min="9223" max="9472" width="11.5703125" style="34"/>
    <col min="9473" max="9473" width="3.140625" style="34" customWidth="1"/>
    <col min="9474" max="9474" width="11.5703125" style="34"/>
    <col min="9475" max="9475" width="14.42578125" style="34" customWidth="1"/>
    <col min="9476" max="9476" width="12.28515625" style="34" bestFit="1" customWidth="1"/>
    <col min="9477" max="9477" width="9.140625" style="34" customWidth="1"/>
    <col min="9478" max="9478" width="13.140625" style="34" customWidth="1"/>
    <col min="9479" max="9728" width="11.5703125" style="34"/>
    <col min="9729" max="9729" width="3.140625" style="34" customWidth="1"/>
    <col min="9730" max="9730" width="11.5703125" style="34"/>
    <col min="9731" max="9731" width="14.42578125" style="34" customWidth="1"/>
    <col min="9732" max="9732" width="12.28515625" style="34" bestFit="1" customWidth="1"/>
    <col min="9733" max="9733" width="9.140625" style="34" customWidth="1"/>
    <col min="9734" max="9734" width="13.140625" style="34" customWidth="1"/>
    <col min="9735" max="9984" width="11.5703125" style="34"/>
    <col min="9985" max="9985" width="3.140625" style="34" customWidth="1"/>
    <col min="9986" max="9986" width="11.5703125" style="34"/>
    <col min="9987" max="9987" width="14.42578125" style="34" customWidth="1"/>
    <col min="9988" max="9988" width="12.28515625" style="34" bestFit="1" customWidth="1"/>
    <col min="9989" max="9989" width="9.140625" style="34" customWidth="1"/>
    <col min="9990" max="9990" width="13.140625" style="34" customWidth="1"/>
    <col min="9991" max="10240" width="11.5703125" style="34"/>
    <col min="10241" max="10241" width="3.140625" style="34" customWidth="1"/>
    <col min="10242" max="10242" width="11.5703125" style="34"/>
    <col min="10243" max="10243" width="14.42578125" style="34" customWidth="1"/>
    <col min="10244" max="10244" width="12.28515625" style="34" bestFit="1" customWidth="1"/>
    <col min="10245" max="10245" width="9.140625" style="34" customWidth="1"/>
    <col min="10246" max="10246" width="13.140625" style="34" customWidth="1"/>
    <col min="10247" max="10496" width="11.5703125" style="34"/>
    <col min="10497" max="10497" width="3.140625" style="34" customWidth="1"/>
    <col min="10498" max="10498" width="11.5703125" style="34"/>
    <col min="10499" max="10499" width="14.42578125" style="34" customWidth="1"/>
    <col min="10500" max="10500" width="12.28515625" style="34" bestFit="1" customWidth="1"/>
    <col min="10501" max="10501" width="9.140625" style="34" customWidth="1"/>
    <col min="10502" max="10502" width="13.140625" style="34" customWidth="1"/>
    <col min="10503" max="10752" width="11.5703125" style="34"/>
    <col min="10753" max="10753" width="3.140625" style="34" customWidth="1"/>
    <col min="10754" max="10754" width="11.5703125" style="34"/>
    <col min="10755" max="10755" width="14.42578125" style="34" customWidth="1"/>
    <col min="10756" max="10756" width="12.28515625" style="34" bestFit="1" customWidth="1"/>
    <col min="10757" max="10757" width="9.140625" style="34" customWidth="1"/>
    <col min="10758" max="10758" width="13.140625" style="34" customWidth="1"/>
    <col min="10759" max="11008" width="11.5703125" style="34"/>
    <col min="11009" max="11009" width="3.140625" style="34" customWidth="1"/>
    <col min="11010" max="11010" width="11.5703125" style="34"/>
    <col min="11011" max="11011" width="14.42578125" style="34" customWidth="1"/>
    <col min="11012" max="11012" width="12.28515625" style="34" bestFit="1" customWidth="1"/>
    <col min="11013" max="11013" width="9.140625" style="34" customWidth="1"/>
    <col min="11014" max="11014" width="13.140625" style="34" customWidth="1"/>
    <col min="11015" max="11264" width="11.5703125" style="34"/>
    <col min="11265" max="11265" width="3.140625" style="34" customWidth="1"/>
    <col min="11266" max="11266" width="11.5703125" style="34"/>
    <col min="11267" max="11267" width="14.42578125" style="34" customWidth="1"/>
    <col min="11268" max="11268" width="12.28515625" style="34" bestFit="1" customWidth="1"/>
    <col min="11269" max="11269" width="9.140625" style="34" customWidth="1"/>
    <col min="11270" max="11270" width="13.140625" style="34" customWidth="1"/>
    <col min="11271" max="11520" width="11.5703125" style="34"/>
    <col min="11521" max="11521" width="3.140625" style="34" customWidth="1"/>
    <col min="11522" max="11522" width="11.5703125" style="34"/>
    <col min="11523" max="11523" width="14.42578125" style="34" customWidth="1"/>
    <col min="11524" max="11524" width="12.28515625" style="34" bestFit="1" customWidth="1"/>
    <col min="11525" max="11525" width="9.140625" style="34" customWidth="1"/>
    <col min="11526" max="11526" width="13.140625" style="34" customWidth="1"/>
    <col min="11527" max="11776" width="11.5703125" style="34"/>
    <col min="11777" max="11777" width="3.140625" style="34" customWidth="1"/>
    <col min="11778" max="11778" width="11.5703125" style="34"/>
    <col min="11779" max="11779" width="14.42578125" style="34" customWidth="1"/>
    <col min="11780" max="11780" width="12.28515625" style="34" bestFit="1" customWidth="1"/>
    <col min="11781" max="11781" width="9.140625" style="34" customWidth="1"/>
    <col min="11782" max="11782" width="13.140625" style="34" customWidth="1"/>
    <col min="11783" max="12032" width="11.5703125" style="34"/>
    <col min="12033" max="12033" width="3.140625" style="34" customWidth="1"/>
    <col min="12034" max="12034" width="11.5703125" style="34"/>
    <col min="12035" max="12035" width="14.42578125" style="34" customWidth="1"/>
    <col min="12036" max="12036" width="12.28515625" style="34" bestFit="1" customWidth="1"/>
    <col min="12037" max="12037" width="9.140625" style="34" customWidth="1"/>
    <col min="12038" max="12038" width="13.140625" style="34" customWidth="1"/>
    <col min="12039" max="12288" width="11.5703125" style="34"/>
    <col min="12289" max="12289" width="3.140625" style="34" customWidth="1"/>
    <col min="12290" max="12290" width="11.5703125" style="34"/>
    <col min="12291" max="12291" width="14.42578125" style="34" customWidth="1"/>
    <col min="12292" max="12292" width="12.28515625" style="34" bestFit="1" customWidth="1"/>
    <col min="12293" max="12293" width="9.140625" style="34" customWidth="1"/>
    <col min="12294" max="12294" width="13.140625" style="34" customWidth="1"/>
    <col min="12295" max="12544" width="11.5703125" style="34"/>
    <col min="12545" max="12545" width="3.140625" style="34" customWidth="1"/>
    <col min="12546" max="12546" width="11.5703125" style="34"/>
    <col min="12547" max="12547" width="14.42578125" style="34" customWidth="1"/>
    <col min="12548" max="12548" width="12.28515625" style="34" bestFit="1" customWidth="1"/>
    <col min="12549" max="12549" width="9.140625" style="34" customWidth="1"/>
    <col min="12550" max="12550" width="13.140625" style="34" customWidth="1"/>
    <col min="12551" max="12800" width="11.5703125" style="34"/>
    <col min="12801" max="12801" width="3.140625" style="34" customWidth="1"/>
    <col min="12802" max="12802" width="11.5703125" style="34"/>
    <col min="12803" max="12803" width="14.42578125" style="34" customWidth="1"/>
    <col min="12804" max="12804" width="12.28515625" style="34" bestFit="1" customWidth="1"/>
    <col min="12805" max="12805" width="9.140625" style="34" customWidth="1"/>
    <col min="12806" max="12806" width="13.140625" style="34" customWidth="1"/>
    <col min="12807" max="13056" width="11.5703125" style="34"/>
    <col min="13057" max="13057" width="3.140625" style="34" customWidth="1"/>
    <col min="13058" max="13058" width="11.5703125" style="34"/>
    <col min="13059" max="13059" width="14.42578125" style="34" customWidth="1"/>
    <col min="13060" max="13060" width="12.28515625" style="34" bestFit="1" customWidth="1"/>
    <col min="13061" max="13061" width="9.140625" style="34" customWidth="1"/>
    <col min="13062" max="13062" width="13.140625" style="34" customWidth="1"/>
    <col min="13063" max="13312" width="11.5703125" style="34"/>
    <col min="13313" max="13313" width="3.140625" style="34" customWidth="1"/>
    <col min="13314" max="13314" width="11.5703125" style="34"/>
    <col min="13315" max="13315" width="14.42578125" style="34" customWidth="1"/>
    <col min="13316" max="13316" width="12.28515625" style="34" bestFit="1" customWidth="1"/>
    <col min="13317" max="13317" width="9.140625" style="34" customWidth="1"/>
    <col min="13318" max="13318" width="13.140625" style="34" customWidth="1"/>
    <col min="13319" max="13568" width="11.5703125" style="34"/>
    <col min="13569" max="13569" width="3.140625" style="34" customWidth="1"/>
    <col min="13570" max="13570" width="11.5703125" style="34"/>
    <col min="13571" max="13571" width="14.42578125" style="34" customWidth="1"/>
    <col min="13572" max="13572" width="12.28515625" style="34" bestFit="1" customWidth="1"/>
    <col min="13573" max="13573" width="9.140625" style="34" customWidth="1"/>
    <col min="13574" max="13574" width="13.140625" style="34" customWidth="1"/>
    <col min="13575" max="13824" width="11.5703125" style="34"/>
    <col min="13825" max="13825" width="3.140625" style="34" customWidth="1"/>
    <col min="13826" max="13826" width="11.5703125" style="34"/>
    <col min="13827" max="13827" width="14.42578125" style="34" customWidth="1"/>
    <col min="13828" max="13828" width="12.28515625" style="34" bestFit="1" customWidth="1"/>
    <col min="13829" max="13829" width="9.140625" style="34" customWidth="1"/>
    <col min="13830" max="13830" width="13.140625" style="34" customWidth="1"/>
    <col min="13831" max="14080" width="11.5703125" style="34"/>
    <col min="14081" max="14081" width="3.140625" style="34" customWidth="1"/>
    <col min="14082" max="14082" width="11.5703125" style="34"/>
    <col min="14083" max="14083" width="14.42578125" style="34" customWidth="1"/>
    <col min="14084" max="14084" width="12.28515625" style="34" bestFit="1" customWidth="1"/>
    <col min="14085" max="14085" width="9.140625" style="34" customWidth="1"/>
    <col min="14086" max="14086" width="13.140625" style="34" customWidth="1"/>
    <col min="14087" max="14336" width="11.5703125" style="34"/>
    <col min="14337" max="14337" width="3.140625" style="34" customWidth="1"/>
    <col min="14338" max="14338" width="11.5703125" style="34"/>
    <col min="14339" max="14339" width="14.42578125" style="34" customWidth="1"/>
    <col min="14340" max="14340" width="12.28515625" style="34" bestFit="1" customWidth="1"/>
    <col min="14341" max="14341" width="9.140625" style="34" customWidth="1"/>
    <col min="14342" max="14342" width="13.140625" style="34" customWidth="1"/>
    <col min="14343" max="14592" width="11.5703125" style="34"/>
    <col min="14593" max="14593" width="3.140625" style="34" customWidth="1"/>
    <col min="14594" max="14594" width="11.5703125" style="34"/>
    <col min="14595" max="14595" width="14.42578125" style="34" customWidth="1"/>
    <col min="14596" max="14596" width="12.28515625" style="34" bestFit="1" customWidth="1"/>
    <col min="14597" max="14597" width="9.140625" style="34" customWidth="1"/>
    <col min="14598" max="14598" width="13.140625" style="34" customWidth="1"/>
    <col min="14599" max="14848" width="11.5703125" style="34"/>
    <col min="14849" max="14849" width="3.140625" style="34" customWidth="1"/>
    <col min="14850" max="14850" width="11.5703125" style="34"/>
    <col min="14851" max="14851" width="14.42578125" style="34" customWidth="1"/>
    <col min="14852" max="14852" width="12.28515625" style="34" bestFit="1" customWidth="1"/>
    <col min="14853" max="14853" width="9.140625" style="34" customWidth="1"/>
    <col min="14854" max="14854" width="13.140625" style="34" customWidth="1"/>
    <col min="14855" max="15104" width="11.5703125" style="34"/>
    <col min="15105" max="15105" width="3.140625" style="34" customWidth="1"/>
    <col min="15106" max="15106" width="11.5703125" style="34"/>
    <col min="15107" max="15107" width="14.42578125" style="34" customWidth="1"/>
    <col min="15108" max="15108" width="12.28515625" style="34" bestFit="1" customWidth="1"/>
    <col min="15109" max="15109" width="9.140625" style="34" customWidth="1"/>
    <col min="15110" max="15110" width="13.140625" style="34" customWidth="1"/>
    <col min="15111" max="15360" width="11.5703125" style="34"/>
    <col min="15361" max="15361" width="3.140625" style="34" customWidth="1"/>
    <col min="15362" max="15362" width="11.5703125" style="34"/>
    <col min="15363" max="15363" width="14.42578125" style="34" customWidth="1"/>
    <col min="15364" max="15364" width="12.28515625" style="34" bestFit="1" customWidth="1"/>
    <col min="15365" max="15365" width="9.140625" style="34" customWidth="1"/>
    <col min="15366" max="15366" width="13.140625" style="34" customWidth="1"/>
    <col min="15367" max="15616" width="11.5703125" style="34"/>
    <col min="15617" max="15617" width="3.140625" style="34" customWidth="1"/>
    <col min="15618" max="15618" width="11.5703125" style="34"/>
    <col min="15619" max="15619" width="14.42578125" style="34" customWidth="1"/>
    <col min="15620" max="15620" width="12.28515625" style="34" bestFit="1" customWidth="1"/>
    <col min="15621" max="15621" width="9.140625" style="34" customWidth="1"/>
    <col min="15622" max="15622" width="13.140625" style="34" customWidth="1"/>
    <col min="15623" max="15872" width="11.5703125" style="34"/>
    <col min="15873" max="15873" width="3.140625" style="34" customWidth="1"/>
    <col min="15874" max="15874" width="11.5703125" style="34"/>
    <col min="15875" max="15875" width="14.42578125" style="34" customWidth="1"/>
    <col min="15876" max="15876" width="12.28515625" style="34" bestFit="1" customWidth="1"/>
    <col min="15877" max="15877" width="9.140625" style="34" customWidth="1"/>
    <col min="15878" max="15878" width="13.140625" style="34" customWidth="1"/>
    <col min="15879" max="16128" width="11.5703125" style="34"/>
    <col min="16129" max="16129" width="3.140625" style="34" customWidth="1"/>
    <col min="16130" max="16130" width="11.5703125" style="34"/>
    <col min="16131" max="16131" width="14.42578125" style="34" customWidth="1"/>
    <col min="16132" max="16132" width="12.28515625" style="34" bestFit="1" customWidth="1"/>
    <col min="16133" max="16133" width="9.140625" style="34" customWidth="1"/>
    <col min="16134" max="16134" width="13.140625" style="34" customWidth="1"/>
    <col min="16135" max="16383" width="11.5703125" style="34"/>
    <col min="16384" max="16384" width="11.5703125" style="34" customWidth="1"/>
  </cols>
  <sheetData>
    <row r="2" spans="2:13" x14ac:dyDescent="0.2">
      <c r="B2" s="33" t="s">
        <v>203</v>
      </c>
      <c r="H2" s="513"/>
      <c r="I2" s="462"/>
    </row>
    <row r="3" spans="2:13" x14ac:dyDescent="0.2">
      <c r="B3" s="35"/>
      <c r="C3" s="35"/>
      <c r="D3" s="35" t="s">
        <v>204</v>
      </c>
      <c r="E3" s="127">
        <f>'INVERSION INICIAL'!F32</f>
        <v>20000</v>
      </c>
      <c r="F3" s="35"/>
      <c r="G3" s="35"/>
      <c r="H3" s="513"/>
      <c r="I3" s="195"/>
    </row>
    <row r="4" spans="2:13" x14ac:dyDescent="0.2">
      <c r="B4" s="35"/>
      <c r="C4" s="35"/>
      <c r="D4" s="35" t="s">
        <v>205</v>
      </c>
      <c r="E4" s="490">
        <f>Resumen!H10</f>
        <v>0.21629999999999999</v>
      </c>
      <c r="F4" s="35"/>
      <c r="G4" s="35"/>
      <c r="H4" s="641"/>
      <c r="I4" s="638"/>
    </row>
    <row r="5" spans="2:13" x14ac:dyDescent="0.2">
      <c r="B5" s="35"/>
      <c r="C5" s="35"/>
      <c r="D5" s="35" t="s">
        <v>206</v>
      </c>
      <c r="E5" s="490">
        <f>POWER((1+E4),(1/12))-1</f>
        <v>1.645165087055811E-2</v>
      </c>
      <c r="F5" s="35"/>
      <c r="G5" s="35"/>
      <c r="H5" s="641"/>
      <c r="I5" s="638"/>
    </row>
    <row r="6" spans="2:13" x14ac:dyDescent="0.2">
      <c r="B6" s="35"/>
      <c r="C6" s="35"/>
      <c r="D6" s="35" t="s">
        <v>207</v>
      </c>
      <c r="E6" s="124">
        <f>Resumen!H8</f>
        <v>2.9000000000000001E-2</v>
      </c>
      <c r="F6" s="35"/>
      <c r="G6" s="35"/>
    </row>
    <row r="7" spans="2:13" x14ac:dyDescent="0.2">
      <c r="B7" s="35"/>
      <c r="C7" s="35"/>
      <c r="D7" s="35" t="s">
        <v>208</v>
      </c>
      <c r="E7" s="125">
        <f>POWER((1+E6),(1/E9))-1</f>
        <v>1.1918537293076348E-3</v>
      </c>
      <c r="F7" s="35"/>
      <c r="G7" s="35"/>
    </row>
    <row r="8" spans="2:13" x14ac:dyDescent="0.2">
      <c r="B8" s="35"/>
      <c r="C8" s="35"/>
      <c r="D8" s="35" t="s">
        <v>209</v>
      </c>
      <c r="E8" s="125">
        <f>((1+E5)/(1+E7)) - 1</f>
        <v>1.5241631346089912E-2</v>
      </c>
      <c r="F8" s="508" t="s">
        <v>494</v>
      </c>
      <c r="G8" s="35"/>
    </row>
    <row r="9" spans="2:13" x14ac:dyDescent="0.2">
      <c r="B9" s="35"/>
      <c r="C9" s="35"/>
      <c r="D9" s="35" t="s">
        <v>210</v>
      </c>
      <c r="E9" s="130">
        <v>24</v>
      </c>
      <c r="F9" s="35" t="s">
        <v>274</v>
      </c>
      <c r="G9" s="35" t="s">
        <v>275</v>
      </c>
    </row>
    <row r="10" spans="2:13" x14ac:dyDescent="0.2">
      <c r="B10" s="35"/>
      <c r="C10" s="35"/>
      <c r="D10" s="35" t="s">
        <v>211</v>
      </c>
      <c r="E10" s="126">
        <f>PMT(E8,E9,E3)</f>
        <v>-1001.2863111019767</v>
      </c>
      <c r="F10" s="35" t="s">
        <v>274</v>
      </c>
      <c r="G10" s="35"/>
    </row>
    <row r="11" spans="2:13" ht="38.25" x14ac:dyDescent="0.2">
      <c r="B11" s="35"/>
      <c r="C11" s="35"/>
      <c r="D11" s="467" t="s">
        <v>295</v>
      </c>
      <c r="E11" s="467" t="s">
        <v>296</v>
      </c>
      <c r="F11" s="467" t="s">
        <v>297</v>
      </c>
      <c r="G11" s="468" t="s">
        <v>298</v>
      </c>
      <c r="H11" s="467" t="s">
        <v>299</v>
      </c>
      <c r="J11" s="470" t="s">
        <v>361</v>
      </c>
      <c r="K11" s="470" t="s">
        <v>362</v>
      </c>
      <c r="L11" s="470" t="s">
        <v>363</v>
      </c>
      <c r="M11" s="470" t="s">
        <v>364</v>
      </c>
    </row>
    <row r="12" spans="2:13" x14ac:dyDescent="0.2">
      <c r="D12" s="463" t="s">
        <v>300</v>
      </c>
      <c r="E12" s="464">
        <f>E3</f>
        <v>20000</v>
      </c>
      <c r="F12" s="465">
        <v>0</v>
      </c>
      <c r="G12" s="465">
        <v>0</v>
      </c>
      <c r="H12" s="466">
        <v>0</v>
      </c>
      <c r="J12" s="469">
        <f>SUM(H13:H24)</f>
        <v>12015.43573322372</v>
      </c>
      <c r="K12" s="469">
        <f>SUM(H25:H36)</f>
        <v>12015.43573322372</v>
      </c>
      <c r="L12" s="469">
        <f>SUM(G13:G24)</f>
        <v>2920.5505228470306</v>
      </c>
      <c r="M12" s="469">
        <f>SUM(G25:G36)</f>
        <v>1110.3209436004149</v>
      </c>
    </row>
    <row r="13" spans="2:13" x14ac:dyDescent="0.2">
      <c r="D13" s="192" t="s">
        <v>301</v>
      </c>
      <c r="E13" s="193">
        <f>E12-F13</f>
        <v>19303.546315819822</v>
      </c>
      <c r="F13" s="193">
        <f>H13-G13</f>
        <v>696.45368418017847</v>
      </c>
      <c r="G13" s="193">
        <f>E12*$E$8</f>
        <v>304.83262692179824</v>
      </c>
      <c r="H13" s="261">
        <f>-$E$10</f>
        <v>1001.2863111019767</v>
      </c>
    </row>
    <row r="14" spans="2:13" x14ac:dyDescent="0.2">
      <c r="D14" s="192" t="s">
        <v>302</v>
      </c>
      <c r="E14" s="193">
        <f t="shared" ref="E14:E36" si="0">E13-F14</f>
        <v>18596.477541335742</v>
      </c>
      <c r="F14" s="193">
        <f t="shared" ref="F14:F36" si="1">H14-G14</f>
        <v>707.06877448407886</v>
      </c>
      <c r="G14" s="193">
        <f>E13*$E$8</f>
        <v>294.21753661789785</v>
      </c>
      <c r="H14" s="261">
        <f t="shared" ref="H14:H36" si="2">-$E$10</f>
        <v>1001.2863111019767</v>
      </c>
    </row>
    <row r="15" spans="2:13" x14ac:dyDescent="0.2">
      <c r="D15" s="192" t="s">
        <v>303</v>
      </c>
      <c r="E15" s="193">
        <f t="shared" si="0"/>
        <v>17878.631885254646</v>
      </c>
      <c r="F15" s="193">
        <f t="shared" si="1"/>
        <v>717.84565608109688</v>
      </c>
      <c r="G15" s="193">
        <f t="shared" ref="G15:G36" si="3">E14*$E$8</f>
        <v>283.44065502087989</v>
      </c>
      <c r="H15" s="261">
        <f t="shared" si="2"/>
        <v>1001.2863111019767</v>
      </c>
    </row>
    <row r="16" spans="2:13" x14ac:dyDescent="0.2">
      <c r="D16" s="192" t="s">
        <v>304</v>
      </c>
      <c r="E16" s="193">
        <f t="shared" si="0"/>
        <v>17149.84509032017</v>
      </c>
      <c r="F16" s="193">
        <f t="shared" si="1"/>
        <v>728.78679493447692</v>
      </c>
      <c r="G16" s="193">
        <f t="shared" si="3"/>
        <v>272.49951616749979</v>
      </c>
      <c r="H16" s="261">
        <f t="shared" si="2"/>
        <v>1001.2863111019767</v>
      </c>
    </row>
    <row r="17" spans="4:8" x14ac:dyDescent="0.2">
      <c r="D17" s="192" t="s">
        <v>305</v>
      </c>
      <c r="E17" s="193">
        <f t="shared" si="0"/>
        <v>16409.950395727403</v>
      </c>
      <c r="F17" s="193">
        <f t="shared" si="1"/>
        <v>739.89469459276665</v>
      </c>
      <c r="G17" s="193">
        <f t="shared" si="3"/>
        <v>261.39161650921011</v>
      </c>
      <c r="H17" s="261">
        <f t="shared" si="2"/>
        <v>1001.2863111019767</v>
      </c>
    </row>
    <row r="18" spans="4:8" x14ac:dyDescent="0.2">
      <c r="D18" s="192" t="s">
        <v>306</v>
      </c>
      <c r="E18" s="193">
        <f t="shared" si="0"/>
        <v>15658.778498964726</v>
      </c>
      <c r="F18" s="193">
        <f t="shared" si="1"/>
        <v>751.17189676267731</v>
      </c>
      <c r="G18" s="193">
        <f t="shared" si="3"/>
        <v>250.11441433929934</v>
      </c>
      <c r="H18" s="261">
        <f t="shared" si="2"/>
        <v>1001.2863111019767</v>
      </c>
    </row>
    <row r="19" spans="4:8" x14ac:dyDescent="0.2">
      <c r="D19" s="192" t="s">
        <v>307</v>
      </c>
      <c r="E19" s="193">
        <f t="shared" si="0"/>
        <v>14896.157517074049</v>
      </c>
      <c r="F19" s="193">
        <f t="shared" si="1"/>
        <v>762.62098189067717</v>
      </c>
      <c r="G19" s="193">
        <f t="shared" si="3"/>
        <v>238.66532921129951</v>
      </c>
      <c r="H19" s="261">
        <f t="shared" si="2"/>
        <v>1001.2863111019767</v>
      </c>
    </row>
    <row r="20" spans="4:8" x14ac:dyDescent="0.2">
      <c r="D20" s="192" t="s">
        <v>308</v>
      </c>
      <c r="E20" s="193">
        <f t="shared" si="0"/>
        <v>14121.912947320601</v>
      </c>
      <c r="F20" s="193">
        <f t="shared" si="1"/>
        <v>774.24456975344799</v>
      </c>
      <c r="G20" s="193">
        <f t="shared" si="3"/>
        <v>227.04174134852869</v>
      </c>
      <c r="H20" s="261">
        <f t="shared" si="2"/>
        <v>1001.2863111019767</v>
      </c>
    </row>
    <row r="21" spans="4:8" x14ac:dyDescent="0.2">
      <c r="D21" s="192" t="s">
        <v>309</v>
      </c>
      <c r="E21" s="193">
        <f t="shared" si="0"/>
        <v>13335.867627263258</v>
      </c>
      <c r="F21" s="193">
        <f t="shared" si="1"/>
        <v>786.045320057342</v>
      </c>
      <c r="G21" s="193">
        <f t="shared" si="3"/>
        <v>215.24099104463465</v>
      </c>
      <c r="H21" s="261">
        <f t="shared" si="2"/>
        <v>1001.2863111019767</v>
      </c>
    </row>
    <row r="22" spans="4:8" x14ac:dyDescent="0.2">
      <c r="D22" s="192" t="s">
        <v>310</v>
      </c>
      <c r="E22" s="193">
        <f t="shared" si="0"/>
        <v>12537.841694216284</v>
      </c>
      <c r="F22" s="193">
        <f t="shared" si="1"/>
        <v>798.0259330469753</v>
      </c>
      <c r="G22" s="193">
        <f t="shared" si="3"/>
        <v>203.26037805500138</v>
      </c>
      <c r="H22" s="261">
        <f t="shared" si="2"/>
        <v>1001.2863111019767</v>
      </c>
    </row>
    <row r="23" spans="4:8" x14ac:dyDescent="0.2">
      <c r="D23" s="192" t="s">
        <v>311</v>
      </c>
      <c r="E23" s="193">
        <f t="shared" si="0"/>
        <v>11727.652544093187</v>
      </c>
      <c r="F23" s="193">
        <f t="shared" si="1"/>
        <v>810.18915012309674</v>
      </c>
      <c r="G23" s="193">
        <f t="shared" si="3"/>
        <v>191.09716097887997</v>
      </c>
      <c r="H23" s="261">
        <f t="shared" si="2"/>
        <v>1001.2863111019767</v>
      </c>
    </row>
    <row r="24" spans="4:8" x14ac:dyDescent="0.2">
      <c r="D24" s="192" t="s">
        <v>312</v>
      </c>
      <c r="E24" s="193">
        <f t="shared" si="0"/>
        <v>10905.114789623312</v>
      </c>
      <c r="F24" s="193">
        <f t="shared" si="1"/>
        <v>822.53775446987493</v>
      </c>
      <c r="G24" s="193">
        <f t="shared" si="3"/>
        <v>178.74855663210184</v>
      </c>
      <c r="H24" s="261">
        <f t="shared" si="2"/>
        <v>1001.2863111019767</v>
      </c>
    </row>
    <row r="25" spans="4:8" x14ac:dyDescent="0.2">
      <c r="D25" s="192" t="s">
        <v>313</v>
      </c>
      <c r="E25" s="193">
        <f t="shared" si="0"/>
        <v>10070.040217931568</v>
      </c>
      <c r="F25" s="193">
        <f t="shared" si="1"/>
        <v>835.07457169174529</v>
      </c>
      <c r="G25" s="193">
        <f t="shared" si="3"/>
        <v>166.21173941023139</v>
      </c>
      <c r="H25" s="261">
        <f t="shared" si="2"/>
        <v>1001.2863111019767</v>
      </c>
    </row>
    <row r="26" spans="4:8" x14ac:dyDescent="0.2">
      <c r="D26" s="192" t="s">
        <v>314</v>
      </c>
      <c r="E26" s="193">
        <f t="shared" si="0"/>
        <v>9222.2377474716031</v>
      </c>
      <c r="F26" s="193">
        <f t="shared" si="1"/>
        <v>847.80247045996487</v>
      </c>
      <c r="G26" s="193">
        <f t="shared" si="3"/>
        <v>153.48384064201187</v>
      </c>
      <c r="H26" s="261">
        <f t="shared" si="2"/>
        <v>1001.2863111019767</v>
      </c>
    </row>
    <row r="27" spans="4:8" x14ac:dyDescent="0.2">
      <c r="D27" s="192" t="s">
        <v>315</v>
      </c>
      <c r="E27" s="193">
        <f t="shared" si="0"/>
        <v>8361.5133843025833</v>
      </c>
      <c r="F27" s="193">
        <f t="shared" si="1"/>
        <v>860.72436316901985</v>
      </c>
      <c r="G27" s="193">
        <f t="shared" si="3"/>
        <v>140.5619479329568</v>
      </c>
      <c r="H27" s="261">
        <f t="shared" si="2"/>
        <v>1001.2863111019767</v>
      </c>
    </row>
    <row r="28" spans="4:8" x14ac:dyDescent="0.2">
      <c r="D28" s="192" t="s">
        <v>316</v>
      </c>
      <c r="E28" s="193">
        <f t="shared" si="0"/>
        <v>7487.6701776995433</v>
      </c>
      <c r="F28" s="193">
        <f t="shared" si="1"/>
        <v>873.84320660304013</v>
      </c>
      <c r="G28" s="193">
        <f t="shared" si="3"/>
        <v>127.44310449893661</v>
      </c>
      <c r="H28" s="261">
        <f t="shared" si="2"/>
        <v>1001.2863111019767</v>
      </c>
    </row>
    <row r="29" spans="4:8" x14ac:dyDescent="0.2">
      <c r="D29" s="192" t="s">
        <v>317</v>
      </c>
      <c r="E29" s="193">
        <f t="shared" si="0"/>
        <v>6600.5081750871741</v>
      </c>
      <c r="F29" s="193">
        <f t="shared" si="1"/>
        <v>887.16200261236872</v>
      </c>
      <c r="G29" s="193">
        <f t="shared" si="3"/>
        <v>114.12430848960798</v>
      </c>
      <c r="H29" s="261">
        <f t="shared" si="2"/>
        <v>1001.2863111019767</v>
      </c>
    </row>
    <row r="30" spans="4:8" x14ac:dyDescent="0.2">
      <c r="D30" s="192" t="s">
        <v>318</v>
      </c>
      <c r="E30" s="193">
        <f t="shared" si="0"/>
        <v>5699.8243762867287</v>
      </c>
      <c r="F30" s="193">
        <f t="shared" si="1"/>
        <v>900.68379880044529</v>
      </c>
      <c r="G30" s="193">
        <f t="shared" si="3"/>
        <v>100.60251230153139</v>
      </c>
      <c r="H30" s="261">
        <f t="shared" si="2"/>
        <v>1001.2863111019767</v>
      </c>
    </row>
    <row r="31" spans="4:8" x14ac:dyDescent="0.2">
      <c r="D31" s="192" t="s">
        <v>319</v>
      </c>
      <c r="E31" s="193">
        <f t="shared" si="0"/>
        <v>4785.4126870655709</v>
      </c>
      <c r="F31" s="193">
        <f t="shared" si="1"/>
        <v>914.41168922115753</v>
      </c>
      <c r="G31" s="193">
        <f t="shared" si="3"/>
        <v>86.874621880819191</v>
      </c>
      <c r="H31" s="261">
        <f t="shared" si="2"/>
        <v>1001.2863111019767</v>
      </c>
    </row>
    <row r="32" spans="4:8" x14ac:dyDescent="0.2">
      <c r="D32" s="192" t="s">
        <v>320</v>
      </c>
      <c r="E32" s="193">
        <f t="shared" si="0"/>
        <v>3857.0638719787494</v>
      </c>
      <c r="F32" s="193">
        <f t="shared" si="1"/>
        <v>928.34881508682179</v>
      </c>
      <c r="G32" s="193">
        <f t="shared" si="3"/>
        <v>72.937496015154963</v>
      </c>
      <c r="H32" s="261">
        <f t="shared" si="2"/>
        <v>1001.2863111019767</v>
      </c>
    </row>
    <row r="33" spans="4:8" x14ac:dyDescent="0.2">
      <c r="D33" s="192" t="s">
        <v>321</v>
      </c>
      <c r="E33" s="193">
        <f t="shared" si="0"/>
        <v>2914.5655064917946</v>
      </c>
      <c r="F33" s="193">
        <f t="shared" si="1"/>
        <v>942.49836548695453</v>
      </c>
      <c r="G33" s="193">
        <f t="shared" si="3"/>
        <v>58.787945615022238</v>
      </c>
      <c r="H33" s="261">
        <f t="shared" si="2"/>
        <v>1001.2863111019767</v>
      </c>
    </row>
    <row r="34" spans="4:8" x14ac:dyDescent="0.2">
      <c r="D34" s="192" t="s">
        <v>322</v>
      </c>
      <c r="E34" s="193">
        <f t="shared" si="0"/>
        <v>1957.7019283737957</v>
      </c>
      <c r="F34" s="193">
        <f t="shared" si="1"/>
        <v>956.86357811799894</v>
      </c>
      <c r="G34" s="193">
        <f t="shared" si="3"/>
        <v>44.42273298397776</v>
      </c>
      <c r="H34" s="261">
        <f t="shared" si="2"/>
        <v>1001.2863111019767</v>
      </c>
    </row>
    <row r="35" spans="4:8" x14ac:dyDescent="0.2">
      <c r="D35" s="192" t="s">
        <v>323</v>
      </c>
      <c r="E35" s="193">
        <f t="shared" si="0"/>
        <v>986.2541883496217</v>
      </c>
      <c r="F35" s="193">
        <f t="shared" si="1"/>
        <v>971.44774002417398</v>
      </c>
      <c r="G35" s="193">
        <f t="shared" si="3"/>
        <v>29.838571077802712</v>
      </c>
      <c r="H35" s="261">
        <f t="shared" si="2"/>
        <v>1001.2863111019767</v>
      </c>
    </row>
    <row r="36" spans="4:8" ht="13.5" thickBot="1" x14ac:dyDescent="0.25">
      <c r="D36" s="194" t="s">
        <v>324</v>
      </c>
      <c r="E36" s="193">
        <f t="shared" si="0"/>
        <v>7.0485839387401938E-12</v>
      </c>
      <c r="F36" s="193">
        <f t="shared" si="1"/>
        <v>986.25418834961465</v>
      </c>
      <c r="G36" s="193">
        <f t="shared" si="3"/>
        <v>15.032122752362058</v>
      </c>
      <c r="H36" s="261">
        <f t="shared" si="2"/>
        <v>1001.2863111019767</v>
      </c>
    </row>
    <row r="37" spans="4:8" ht="13.5" thickBot="1" x14ac:dyDescent="0.25">
      <c r="D37" s="639" t="s">
        <v>325</v>
      </c>
      <c r="E37" s="640"/>
      <c r="F37" s="262">
        <f>SUM(F13:F36)</f>
        <v>19999.999999999993</v>
      </c>
      <c r="G37" s="263">
        <f t="shared" ref="G37" si="4">SUM(G13:G36)</f>
        <v>4030.8714664474451</v>
      </c>
      <c r="H37" s="264">
        <f>SUM(H13:H36)</f>
        <v>24030.871466447432</v>
      </c>
    </row>
  </sheetData>
  <mergeCells count="3">
    <mergeCell ref="I4:I5"/>
    <mergeCell ref="D37:E37"/>
    <mergeCell ref="H4:H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B1:L1000"/>
  <sheetViews>
    <sheetView topLeftCell="B13" zoomScale="110" zoomScaleNormal="110" workbookViewId="0">
      <selection activeCell="J21" sqref="J21"/>
    </sheetView>
  </sheetViews>
  <sheetFormatPr baseColWidth="10" defaultColWidth="14.42578125" defaultRowHeight="15" customHeight="1" x14ac:dyDescent="0.2"/>
  <cols>
    <col min="1" max="1" width="9.140625" style="482" customWidth="1"/>
    <col min="2" max="2" width="27.7109375" style="482" customWidth="1"/>
    <col min="3" max="3" width="21.5703125" style="482" customWidth="1"/>
    <col min="4" max="4" width="2.7109375" style="482" customWidth="1"/>
    <col min="5" max="5" width="15.42578125" style="482" customWidth="1"/>
    <col min="6" max="6" width="2.7109375" style="482" customWidth="1"/>
    <col min="7" max="7" width="9" style="482" customWidth="1"/>
    <col min="8" max="8" width="34.28515625" style="482" customWidth="1"/>
    <col min="9" max="9" width="15.28515625" style="482" customWidth="1"/>
    <col min="10" max="10" width="10" style="482" customWidth="1"/>
    <col min="11" max="12" width="11.5703125" style="482" bestFit="1" customWidth="1"/>
    <col min="13" max="15" width="10" style="482" customWidth="1"/>
    <col min="16" max="16384" width="14.42578125" style="482"/>
  </cols>
  <sheetData>
    <row r="1" spans="2:12" ht="13.5" customHeight="1" thickBot="1" x14ac:dyDescent="0.25"/>
    <row r="2" spans="2:12" ht="13.5" customHeight="1" thickBot="1" x14ac:dyDescent="0.25">
      <c r="B2" s="642" t="s">
        <v>131</v>
      </c>
      <c r="C2" s="643"/>
      <c r="H2" s="644" t="s">
        <v>463</v>
      </c>
      <c r="I2" s="645"/>
      <c r="J2" s="482">
        <v>3600</v>
      </c>
    </row>
    <row r="3" spans="2:12" ht="13.5" customHeight="1" thickBot="1" x14ac:dyDescent="0.25">
      <c r="H3" s="96"/>
      <c r="I3" s="97"/>
    </row>
    <row r="4" spans="2:12" ht="13.5" customHeight="1" thickBot="1" x14ac:dyDescent="0.25">
      <c r="B4" s="369" t="s">
        <v>132</v>
      </c>
      <c r="C4" s="208">
        <f>G8+G12</f>
        <v>6.6070158514492752</v>
      </c>
      <c r="D4" s="203"/>
      <c r="H4" s="156" t="s">
        <v>133</v>
      </c>
      <c r="I4" s="338" t="s">
        <v>134</v>
      </c>
    </row>
    <row r="5" spans="2:12" ht="12.75" customHeight="1" x14ac:dyDescent="0.2">
      <c r="H5" s="335" t="s">
        <v>461</v>
      </c>
      <c r="I5" s="381">
        <f>'Gastos Operativos'!H13</f>
        <v>2398.7347222222224</v>
      </c>
    </row>
    <row r="6" spans="2:12" ht="12.75" customHeight="1" x14ac:dyDescent="0.2">
      <c r="B6" s="96" t="s">
        <v>135</v>
      </c>
      <c r="H6" s="335" t="s">
        <v>136</v>
      </c>
      <c r="I6" s="381">
        <f>'Depreciacion y VR'!$F$11/12</f>
        <v>238.06944444444443</v>
      </c>
    </row>
    <row r="7" spans="2:12" ht="12.75" customHeight="1" x14ac:dyDescent="0.2">
      <c r="H7" s="335" t="s">
        <v>137</v>
      </c>
      <c r="I7" s="381">
        <f>('INVERSION INICIAL'!D16/Resumen!$H$9)/12</f>
        <v>23.916666666666668</v>
      </c>
    </row>
    <row r="8" spans="2:12" ht="13.5" customHeight="1" thickBot="1" x14ac:dyDescent="0.25">
      <c r="B8" s="370" t="s">
        <v>138</v>
      </c>
      <c r="C8" s="99" t="s">
        <v>139</v>
      </c>
      <c r="D8" s="204" t="s">
        <v>327</v>
      </c>
      <c r="E8" s="205">
        <f>I9</f>
        <v>3175.7208333333333</v>
      </c>
      <c r="F8" s="204" t="s">
        <v>327</v>
      </c>
      <c r="G8" s="206">
        <f>E8/E9</f>
        <v>0.88214467592592594</v>
      </c>
      <c r="H8" s="335" t="s">
        <v>276</v>
      </c>
      <c r="I8" s="381">
        <f>'Gastos Operativos'!$H$18</f>
        <v>515</v>
      </c>
    </row>
    <row r="9" spans="2:12" ht="12.75" customHeight="1" x14ac:dyDescent="0.2">
      <c r="C9" s="100" t="s">
        <v>140</v>
      </c>
      <c r="D9" s="100"/>
      <c r="E9" s="100">
        <f>I18</f>
        <v>3600</v>
      </c>
      <c r="F9" s="100"/>
      <c r="G9" s="207"/>
      <c r="H9" s="337" t="s">
        <v>141</v>
      </c>
      <c r="I9" s="340">
        <f>SUM(I5:I8)</f>
        <v>3175.7208333333333</v>
      </c>
      <c r="K9" s="482">
        <f>+I9*12</f>
        <v>38108.65</v>
      </c>
    </row>
    <row r="10" spans="2:12" ht="12.75" customHeight="1" x14ac:dyDescent="0.2">
      <c r="G10" s="207"/>
      <c r="H10" s="157" t="s">
        <v>142</v>
      </c>
      <c r="I10" s="342" t="s">
        <v>134</v>
      </c>
    </row>
    <row r="11" spans="2:12" ht="12.75" customHeight="1" x14ac:dyDescent="0.2">
      <c r="G11" s="207"/>
      <c r="H11" s="335" t="s">
        <v>145</v>
      </c>
      <c r="I11" s="381">
        <f>+'costos por mes'!N22*'Costos_Unitario '!J2</f>
        <v>19800</v>
      </c>
    </row>
    <row r="12" spans="2:12" ht="13.5" customHeight="1" thickBot="1" x14ac:dyDescent="0.25">
      <c r="B12" s="370" t="s">
        <v>143</v>
      </c>
      <c r="C12" s="99" t="s">
        <v>144</v>
      </c>
      <c r="D12" s="204" t="s">
        <v>327</v>
      </c>
      <c r="E12" s="205">
        <f>I15</f>
        <v>20609.536231884056</v>
      </c>
      <c r="F12" s="204" t="s">
        <v>327</v>
      </c>
      <c r="G12" s="206">
        <f>E12/E13</f>
        <v>5.724871175523349</v>
      </c>
      <c r="H12" s="335" t="s">
        <v>146</v>
      </c>
      <c r="I12" s="381">
        <f>+'costos por mes'!N27*'Costos_Unitario '!J2</f>
        <v>663.47826086956525</v>
      </c>
      <c r="L12" s="487">
        <f>+K9+K15</f>
        <v>512127.98333333334</v>
      </c>
    </row>
    <row r="13" spans="2:12" ht="12.75" customHeight="1" x14ac:dyDescent="0.2">
      <c r="C13" s="100" t="s">
        <v>140</v>
      </c>
      <c r="D13" s="100"/>
      <c r="E13" s="100">
        <f>I18</f>
        <v>3600</v>
      </c>
      <c r="F13" s="100"/>
      <c r="H13" s="335" t="s">
        <v>462</v>
      </c>
      <c r="I13" s="381">
        <f>+'costos por mes'!N30*'Costos_Unitario '!J2</f>
        <v>146.05797101449275</v>
      </c>
    </row>
    <row r="14" spans="2:12" ht="12.75" customHeight="1" x14ac:dyDescent="0.2">
      <c r="H14" s="336"/>
      <c r="I14" s="339"/>
    </row>
    <row r="15" spans="2:12" ht="12.75" customHeight="1" thickBot="1" x14ac:dyDescent="0.25">
      <c r="H15" s="341" t="s">
        <v>147</v>
      </c>
      <c r="I15" s="340">
        <f>SUM(I11:I14)</f>
        <v>20609.536231884056</v>
      </c>
      <c r="J15" s="482">
        <f>+I15/J2</f>
        <v>5.724871175523349</v>
      </c>
      <c r="K15" s="487">
        <f>+J15*'Presupuesto de ventas'!O7</f>
        <v>474019.33333333331</v>
      </c>
    </row>
    <row r="16" spans="2:12" ht="13.5" customHeight="1" thickBot="1" x14ac:dyDescent="0.25">
      <c r="B16" s="201"/>
      <c r="C16" s="202"/>
      <c r="D16" s="202"/>
    </row>
    <row r="17" spans="2:11" ht="13.5" customHeight="1" thickBot="1" x14ac:dyDescent="0.25">
      <c r="H17" s="158" t="s">
        <v>148</v>
      </c>
      <c r="I17" s="155" t="s">
        <v>134</v>
      </c>
    </row>
    <row r="18" spans="2:11" ht="13.5" customHeight="1" x14ac:dyDescent="0.2">
      <c r="H18" s="101" t="s">
        <v>149</v>
      </c>
      <c r="I18" s="382">
        <v>3600</v>
      </c>
    </row>
    <row r="19" spans="2:11" ht="12.75" customHeight="1" x14ac:dyDescent="0.2">
      <c r="H19" s="98" t="s">
        <v>150</v>
      </c>
      <c r="I19" s="383">
        <f>G8</f>
        <v>0.88214467592592594</v>
      </c>
    </row>
    <row r="20" spans="2:11" ht="12.75" customHeight="1" x14ac:dyDescent="0.2">
      <c r="C20" s="176"/>
      <c r="D20" s="176"/>
      <c r="E20" s="178"/>
      <c r="F20" s="178"/>
      <c r="H20" s="98" t="s">
        <v>151</v>
      </c>
      <c r="I20" s="471">
        <f>G12</f>
        <v>5.724871175523349</v>
      </c>
      <c r="K20" s="482">
        <v>10</v>
      </c>
    </row>
    <row r="21" spans="2:11" ht="12.75" customHeight="1" thickBot="1" x14ac:dyDescent="0.25">
      <c r="C21" s="176"/>
      <c r="D21" s="176"/>
      <c r="E21" s="178"/>
      <c r="F21" s="178"/>
      <c r="H21" s="103" t="s">
        <v>152</v>
      </c>
      <c r="I21" s="384">
        <f>C4</f>
        <v>6.6070158514492752</v>
      </c>
      <c r="K21" s="487">
        <f>+K20-I21</f>
        <v>3.3929841485507248</v>
      </c>
    </row>
    <row r="22" spans="2:11" ht="13.5" customHeight="1" x14ac:dyDescent="0.2">
      <c r="K22" s="488">
        <f>+K21*'Presupuesto de ventas'!O7</f>
        <v>280939.08750000002</v>
      </c>
    </row>
    <row r="23" spans="2:11" ht="12.75" customHeight="1" x14ac:dyDescent="0.2">
      <c r="B23" s="102"/>
    </row>
    <row r="24" spans="2:11" ht="12.75" customHeight="1" x14ac:dyDescent="0.2">
      <c r="B24" s="96"/>
    </row>
    <row r="25" spans="2:11" ht="12.75" customHeight="1" x14ac:dyDescent="0.2">
      <c r="B25" s="96"/>
    </row>
    <row r="26" spans="2:11" ht="12.75" customHeight="1" x14ac:dyDescent="0.2">
      <c r="B26" s="96"/>
    </row>
    <row r="27" spans="2:11" ht="12.75" customHeight="1" x14ac:dyDescent="0.2"/>
    <row r="28" spans="2:11" ht="12.75" customHeight="1" x14ac:dyDescent="0.2"/>
    <row r="29" spans="2:11" ht="12.75" customHeight="1" x14ac:dyDescent="0.2"/>
    <row r="30" spans="2:11" ht="12.75" customHeight="1" x14ac:dyDescent="0.2"/>
    <row r="31" spans="2:11" ht="12.75" customHeight="1" x14ac:dyDescent="0.2"/>
    <row r="32" spans="2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2:C2"/>
    <mergeCell ref="H2:I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H954"/>
  <sheetViews>
    <sheetView topLeftCell="A10" zoomScale="120" zoomScaleNormal="120" workbookViewId="0">
      <selection activeCell="F18" sqref="F18"/>
    </sheetView>
  </sheetViews>
  <sheetFormatPr baseColWidth="10" defaultColWidth="14.42578125" defaultRowHeight="15" customHeight="1" x14ac:dyDescent="0.2"/>
  <cols>
    <col min="1" max="1" width="13.5703125" style="50" customWidth="1"/>
    <col min="2" max="2" width="18" style="50" customWidth="1"/>
    <col min="3" max="3" width="11.28515625" style="50" customWidth="1"/>
    <col min="4" max="4" width="16.140625" style="50" customWidth="1"/>
    <col min="5" max="5" width="14.140625" style="50" customWidth="1"/>
    <col min="6" max="6" width="13.140625" style="50" customWidth="1"/>
    <col min="7" max="7" width="27.5703125" style="50" customWidth="1"/>
    <col min="8" max="8" width="16.7109375" style="50" customWidth="1"/>
    <col min="9" max="26" width="10" style="50" customWidth="1"/>
    <col min="27" max="16384" width="14.42578125" style="50"/>
  </cols>
  <sheetData>
    <row r="1" spans="1:8" ht="12.75" customHeight="1" x14ac:dyDescent="0.2">
      <c r="A1" s="49"/>
    </row>
    <row r="2" spans="1:8" ht="13.5" customHeight="1" x14ac:dyDescent="0.2">
      <c r="A2" s="49"/>
      <c r="B2" s="102"/>
    </row>
    <row r="3" spans="1:8" ht="20.25" customHeight="1" x14ac:dyDescent="0.25">
      <c r="A3" s="49"/>
      <c r="B3" s="646" t="s">
        <v>277</v>
      </c>
      <c r="C3" s="647"/>
      <c r="D3" s="647"/>
      <c r="E3" s="647"/>
      <c r="F3" s="647"/>
    </row>
    <row r="4" spans="1:8" ht="13.5" customHeight="1" x14ac:dyDescent="0.2">
      <c r="A4" s="49"/>
    </row>
    <row r="5" spans="1:8" ht="18.75" customHeight="1" x14ac:dyDescent="0.2">
      <c r="A5" s="49"/>
      <c r="B5" s="426" t="s">
        <v>153</v>
      </c>
      <c r="C5" s="427" t="s">
        <v>291</v>
      </c>
      <c r="D5" s="426" t="s">
        <v>154</v>
      </c>
      <c r="E5" s="426" t="s">
        <v>155</v>
      </c>
      <c r="F5" s="104"/>
    </row>
    <row r="6" spans="1:8" ht="13.5" customHeight="1" thickBot="1" x14ac:dyDescent="0.25">
      <c r="A6" s="49"/>
      <c r="B6" s="105" t="s">
        <v>156</v>
      </c>
      <c r="C6" s="378">
        <f>'Presupuesto de ventas'!C17*1.18</f>
        <v>8.26</v>
      </c>
      <c r="D6" s="106">
        <f>'Costos_Unitario '!I20</f>
        <v>5.724871175523349</v>
      </c>
      <c r="E6" s="107">
        <f>C6-D6</f>
        <v>2.5351288244766508</v>
      </c>
      <c r="F6" s="108"/>
    </row>
    <row r="7" spans="1:8" ht="12.75" customHeight="1" x14ac:dyDescent="0.2">
      <c r="A7" s="49"/>
      <c r="B7" s="109" t="s">
        <v>157</v>
      </c>
      <c r="C7" s="71"/>
      <c r="D7" s="110"/>
      <c r="E7" s="110"/>
      <c r="F7" s="111"/>
      <c r="G7" s="190"/>
    </row>
    <row r="8" spans="1:8" ht="12.75" customHeight="1" x14ac:dyDescent="0.2">
      <c r="A8" s="49"/>
      <c r="B8" s="109" t="s">
        <v>158</v>
      </c>
      <c r="C8" s="71"/>
      <c r="D8" s="110"/>
      <c r="E8" s="110"/>
      <c r="F8" s="111"/>
      <c r="G8" s="190"/>
    </row>
    <row r="9" spans="1:8" ht="13.5" customHeight="1" thickBot="1" x14ac:dyDescent="0.25">
      <c r="A9" s="84"/>
      <c r="B9" s="71"/>
      <c r="C9" s="71"/>
      <c r="D9" s="71"/>
      <c r="E9" s="71"/>
      <c r="F9" s="71"/>
    </row>
    <row r="10" spans="1:8" ht="13.5" customHeight="1" thickBot="1" x14ac:dyDescent="0.25">
      <c r="A10" s="84"/>
      <c r="B10" s="112" t="s">
        <v>159</v>
      </c>
      <c r="C10" s="113" t="s">
        <v>160</v>
      </c>
      <c r="D10" s="71"/>
      <c r="E10" s="71"/>
      <c r="F10" s="71"/>
    </row>
    <row r="11" spans="1:8" ht="13.5" customHeight="1" thickBot="1" x14ac:dyDescent="0.25">
      <c r="A11" s="84"/>
      <c r="B11" s="114"/>
      <c r="C11" s="115" t="s">
        <v>155</v>
      </c>
      <c r="D11" s="71"/>
      <c r="F11" s="71"/>
    </row>
    <row r="12" spans="1:8" ht="12.75" customHeight="1" thickBot="1" x14ac:dyDescent="0.25">
      <c r="A12" s="49"/>
      <c r="B12" s="71"/>
      <c r="C12" s="71"/>
      <c r="D12" s="71"/>
      <c r="E12" s="71"/>
      <c r="F12" s="71"/>
    </row>
    <row r="13" spans="1:8" ht="12.75" customHeight="1" thickBot="1" x14ac:dyDescent="0.25">
      <c r="A13" s="116"/>
      <c r="B13" s="437" t="s">
        <v>161</v>
      </c>
      <c r="C13" s="364">
        <f>'Costos_Unitario '!I9</f>
        <v>3175.7208333333333</v>
      </c>
      <c r="D13" s="365">
        <f>C13/C14</f>
        <v>1252.6861762099707</v>
      </c>
      <c r="E13" s="71" t="s">
        <v>272</v>
      </c>
      <c r="F13" s="71"/>
      <c r="G13" s="439" t="s">
        <v>162</v>
      </c>
      <c r="H13" s="438">
        <f>D13*C6</f>
        <v>10347.187815494357</v>
      </c>
    </row>
    <row r="14" spans="1:8" ht="12.75" customHeight="1" x14ac:dyDescent="0.2">
      <c r="A14" s="49"/>
      <c r="B14" s="366"/>
      <c r="C14" s="367">
        <f>E6</f>
        <v>2.5351288244766508</v>
      </c>
      <c r="D14" s="368"/>
      <c r="E14" s="71"/>
      <c r="F14" s="71"/>
      <c r="H14" s="177"/>
    </row>
    <row r="15" spans="1:8" ht="12.75" customHeight="1" x14ac:dyDescent="0.2">
      <c r="A15" s="49"/>
    </row>
    <row r="16" spans="1:8" ht="13.5" customHeight="1" x14ac:dyDescent="0.2">
      <c r="A16" s="49"/>
      <c r="B16" s="598" t="s">
        <v>163</v>
      </c>
      <c r="C16" s="597"/>
      <c r="D16" s="597"/>
      <c r="E16" s="597"/>
      <c r="F16" s="597"/>
    </row>
    <row r="17" spans="1:8" ht="30" customHeight="1" x14ac:dyDescent="0.2">
      <c r="A17" s="49"/>
      <c r="B17" s="428" t="s">
        <v>164</v>
      </c>
      <c r="C17" s="429" t="s">
        <v>165</v>
      </c>
      <c r="D17" s="429" t="s">
        <v>166</v>
      </c>
      <c r="E17" s="429" t="s">
        <v>167</v>
      </c>
      <c r="F17" s="429" t="s">
        <v>168</v>
      </c>
      <c r="G17" s="50">
        <v>25</v>
      </c>
      <c r="H17" s="50" t="s">
        <v>278</v>
      </c>
    </row>
    <row r="18" spans="1:8" ht="39.75" customHeight="1" x14ac:dyDescent="0.2">
      <c r="A18" s="49"/>
      <c r="B18" s="436" t="str">
        <f>B24</f>
        <v>Chocolates endulzados con Yacon</v>
      </c>
      <c r="C18" s="430" t="s">
        <v>169</v>
      </c>
      <c r="D18" s="431">
        <f>'Presupuesto de ventas'!O7</f>
        <v>82800</v>
      </c>
      <c r="E18" s="431">
        <f>'Presupuesto de ventas'!C7</f>
        <v>3600</v>
      </c>
      <c r="F18" s="431">
        <f>E18/G17</f>
        <v>144</v>
      </c>
    </row>
    <row r="19" spans="1:8" ht="12.75" customHeight="1" x14ac:dyDescent="0.2">
      <c r="A19" s="49"/>
      <c r="B19" s="49"/>
      <c r="C19" s="49"/>
      <c r="D19" s="49"/>
      <c r="E19" s="49"/>
      <c r="F19" s="49"/>
    </row>
    <row r="20" spans="1:8" ht="12.75" customHeight="1" x14ac:dyDescent="0.2">
      <c r="A20" s="49"/>
      <c r="B20" s="117"/>
      <c r="C20" s="71"/>
      <c r="D20" s="71"/>
      <c r="E20" s="71"/>
      <c r="F20" s="71"/>
    </row>
    <row r="21" spans="1:8" ht="12.75" customHeight="1" x14ac:dyDescent="0.2">
      <c r="A21" s="49"/>
      <c r="B21" s="598" t="s">
        <v>170</v>
      </c>
      <c r="C21" s="597"/>
      <c r="D21" s="597"/>
      <c r="E21" s="597"/>
      <c r="F21" s="597"/>
    </row>
    <row r="22" spans="1:8" ht="13.5" customHeight="1" x14ac:dyDescent="0.2">
      <c r="A22" s="49"/>
      <c r="B22" s="71"/>
      <c r="C22" s="71"/>
      <c r="D22" s="71"/>
      <c r="E22" s="71"/>
      <c r="F22" s="71"/>
    </row>
    <row r="23" spans="1:8" ht="26.25" customHeight="1" x14ac:dyDescent="0.2">
      <c r="A23" s="49"/>
      <c r="B23" s="432" t="s">
        <v>164</v>
      </c>
      <c r="C23" s="433" t="s">
        <v>171</v>
      </c>
      <c r="D23" s="433" t="s">
        <v>172</v>
      </c>
      <c r="E23" s="433" t="s">
        <v>173</v>
      </c>
      <c r="F23" s="433" t="s">
        <v>174</v>
      </c>
    </row>
    <row r="24" spans="1:8" ht="39.75" customHeight="1" x14ac:dyDescent="0.2">
      <c r="A24" s="49"/>
      <c r="B24" s="436" t="s">
        <v>471</v>
      </c>
      <c r="C24" s="435">
        <v>11.8</v>
      </c>
      <c r="D24" s="434">
        <f>D18*C24</f>
        <v>977040.00000000012</v>
      </c>
      <c r="E24" s="434">
        <f>E18*C24</f>
        <v>42480</v>
      </c>
      <c r="F24" s="434">
        <f>F18*C24</f>
        <v>1699.2</v>
      </c>
    </row>
    <row r="25" spans="1:8" ht="12.75" customHeight="1" x14ac:dyDescent="0.2">
      <c r="A25" s="49"/>
      <c r="B25" s="49"/>
      <c r="C25" s="71"/>
      <c r="D25" s="71"/>
      <c r="E25" s="71"/>
      <c r="F25" s="71"/>
    </row>
    <row r="26" spans="1:8" ht="13.5" customHeight="1" x14ac:dyDescent="0.2">
      <c r="A26" s="49"/>
      <c r="C26" s="71"/>
      <c r="D26" s="71"/>
      <c r="E26" s="71"/>
      <c r="F26" s="71"/>
    </row>
    <row r="27" spans="1:8" ht="12.75" customHeight="1" x14ac:dyDescent="0.2">
      <c r="A27" s="49"/>
    </row>
    <row r="28" spans="1:8" ht="12.75" customHeight="1" x14ac:dyDescent="0.2">
      <c r="A28" s="49"/>
    </row>
    <row r="29" spans="1:8" ht="12.75" customHeight="1" x14ac:dyDescent="0.2">
      <c r="A29" s="49"/>
    </row>
    <row r="30" spans="1:8" ht="12.75" customHeight="1" x14ac:dyDescent="0.2">
      <c r="A30" s="49"/>
    </row>
    <row r="31" spans="1:8" ht="12.75" customHeight="1" x14ac:dyDescent="0.2">
      <c r="A31" s="49"/>
    </row>
    <row r="32" spans="1:8" ht="12.75" customHeight="1" x14ac:dyDescent="0.2">
      <c r="A32" s="49"/>
    </row>
    <row r="33" spans="1:1" ht="12.75" customHeight="1" x14ac:dyDescent="0.2">
      <c r="A33" s="49"/>
    </row>
    <row r="34" spans="1:1" ht="12.75" customHeight="1" x14ac:dyDescent="0.2">
      <c r="A34" s="49"/>
    </row>
    <row r="35" spans="1:1" ht="12.75" customHeight="1" x14ac:dyDescent="0.2">
      <c r="A35" s="49"/>
    </row>
    <row r="36" spans="1:1" ht="12.75" customHeight="1" x14ac:dyDescent="0.2">
      <c r="A36" s="49"/>
    </row>
    <row r="37" spans="1:1" ht="12.75" customHeight="1" x14ac:dyDescent="0.2">
      <c r="A37" s="49"/>
    </row>
    <row r="38" spans="1:1" ht="12.75" customHeight="1" x14ac:dyDescent="0.2">
      <c r="A38" s="49"/>
    </row>
    <row r="39" spans="1:1" ht="12.75" customHeight="1" x14ac:dyDescent="0.2">
      <c r="A39" s="49"/>
    </row>
    <row r="40" spans="1:1" ht="12.75" customHeight="1" x14ac:dyDescent="0.2">
      <c r="A40" s="49"/>
    </row>
    <row r="41" spans="1:1" ht="12.75" customHeight="1" x14ac:dyDescent="0.2">
      <c r="A41" s="49"/>
    </row>
    <row r="42" spans="1:1" ht="12.75" customHeight="1" x14ac:dyDescent="0.2">
      <c r="A42" s="49"/>
    </row>
    <row r="43" spans="1:1" ht="12.75" customHeight="1" x14ac:dyDescent="0.2">
      <c r="A43" s="49"/>
    </row>
    <row r="44" spans="1:1" ht="12.75" customHeight="1" x14ac:dyDescent="0.2">
      <c r="A44" s="49"/>
    </row>
    <row r="45" spans="1:1" ht="12.75" customHeight="1" x14ac:dyDescent="0.2">
      <c r="A45" s="49"/>
    </row>
    <row r="46" spans="1:1" ht="12.75" customHeight="1" x14ac:dyDescent="0.2">
      <c r="A46" s="49"/>
    </row>
    <row r="47" spans="1:1" ht="12.75" customHeight="1" x14ac:dyDescent="0.2">
      <c r="A47" s="49"/>
    </row>
    <row r="48" spans="1:1" ht="12.75" customHeight="1" x14ac:dyDescent="0.2">
      <c r="A48" s="49"/>
    </row>
    <row r="49" spans="1:1" ht="12.75" customHeight="1" x14ac:dyDescent="0.2">
      <c r="A49" s="49"/>
    </row>
    <row r="50" spans="1:1" ht="12.75" customHeight="1" x14ac:dyDescent="0.2">
      <c r="A50" s="49"/>
    </row>
    <row r="51" spans="1:1" ht="12.75" customHeight="1" x14ac:dyDescent="0.2">
      <c r="A51" s="49"/>
    </row>
    <row r="52" spans="1:1" ht="12.75" customHeight="1" x14ac:dyDescent="0.2">
      <c r="A52" s="49"/>
    </row>
    <row r="53" spans="1:1" ht="12.75" customHeight="1" x14ac:dyDescent="0.2">
      <c r="A53" s="49"/>
    </row>
    <row r="54" spans="1:1" ht="12.75" customHeight="1" x14ac:dyDescent="0.2">
      <c r="A54" s="49"/>
    </row>
    <row r="55" spans="1:1" ht="12.75" customHeight="1" x14ac:dyDescent="0.2">
      <c r="A55" s="49"/>
    </row>
    <row r="56" spans="1:1" ht="12.75" customHeight="1" x14ac:dyDescent="0.2">
      <c r="A56" s="49"/>
    </row>
    <row r="57" spans="1:1" ht="12.75" customHeight="1" x14ac:dyDescent="0.2">
      <c r="A57" s="49"/>
    </row>
    <row r="58" spans="1:1" ht="12.75" customHeight="1" x14ac:dyDescent="0.2">
      <c r="A58" s="49"/>
    </row>
    <row r="59" spans="1:1" ht="12.75" customHeight="1" x14ac:dyDescent="0.2">
      <c r="A59" s="49"/>
    </row>
    <row r="60" spans="1:1" ht="12.75" customHeight="1" x14ac:dyDescent="0.2">
      <c r="A60" s="49"/>
    </row>
    <row r="61" spans="1:1" ht="12.75" customHeight="1" x14ac:dyDescent="0.2">
      <c r="A61" s="49"/>
    </row>
    <row r="62" spans="1:1" ht="12.75" customHeight="1" x14ac:dyDescent="0.2">
      <c r="A62" s="49"/>
    </row>
    <row r="63" spans="1:1" ht="12.75" customHeight="1" x14ac:dyDescent="0.2">
      <c r="A63" s="49"/>
    </row>
    <row r="64" spans="1:1" ht="12.75" customHeight="1" x14ac:dyDescent="0.2">
      <c r="A64" s="49"/>
    </row>
    <row r="65" spans="1:1" ht="12.75" customHeight="1" x14ac:dyDescent="0.2">
      <c r="A65" s="49"/>
    </row>
    <row r="66" spans="1:1" ht="12.75" customHeight="1" x14ac:dyDescent="0.2">
      <c r="A66" s="49"/>
    </row>
    <row r="67" spans="1:1" ht="12.75" customHeight="1" x14ac:dyDescent="0.2">
      <c r="A67" s="49"/>
    </row>
    <row r="68" spans="1:1" ht="12.75" customHeight="1" x14ac:dyDescent="0.2">
      <c r="A68" s="49"/>
    </row>
    <row r="69" spans="1:1" ht="12.75" customHeight="1" x14ac:dyDescent="0.2">
      <c r="A69" s="49"/>
    </row>
    <row r="70" spans="1:1" ht="12.75" customHeight="1" x14ac:dyDescent="0.2">
      <c r="A70" s="49"/>
    </row>
    <row r="71" spans="1:1" ht="12.75" customHeight="1" x14ac:dyDescent="0.2">
      <c r="A71" s="49"/>
    </row>
    <row r="72" spans="1:1" ht="12.75" customHeight="1" x14ac:dyDescent="0.2">
      <c r="A72" s="49"/>
    </row>
    <row r="73" spans="1:1" ht="12.75" customHeight="1" x14ac:dyDescent="0.2">
      <c r="A73" s="49"/>
    </row>
    <row r="74" spans="1:1" ht="12.75" customHeight="1" x14ac:dyDescent="0.2">
      <c r="A74" s="49"/>
    </row>
    <row r="75" spans="1:1" ht="12.75" customHeight="1" x14ac:dyDescent="0.2">
      <c r="A75" s="49"/>
    </row>
    <row r="76" spans="1:1" ht="12.75" customHeight="1" x14ac:dyDescent="0.2">
      <c r="A76" s="49"/>
    </row>
    <row r="77" spans="1:1" ht="12.75" customHeight="1" x14ac:dyDescent="0.2">
      <c r="A77" s="49"/>
    </row>
    <row r="78" spans="1:1" ht="12.75" customHeight="1" x14ac:dyDescent="0.2">
      <c r="A78" s="49"/>
    </row>
    <row r="79" spans="1:1" ht="12.75" customHeight="1" x14ac:dyDescent="0.2">
      <c r="A79" s="49"/>
    </row>
    <row r="80" spans="1:1" ht="12.75" customHeight="1" x14ac:dyDescent="0.2">
      <c r="A80" s="49"/>
    </row>
    <row r="81" spans="1:1" ht="12.75" customHeight="1" x14ac:dyDescent="0.2">
      <c r="A81" s="49"/>
    </row>
    <row r="82" spans="1:1" ht="12.75" customHeight="1" x14ac:dyDescent="0.2">
      <c r="A82" s="49"/>
    </row>
    <row r="83" spans="1:1" ht="12.75" customHeight="1" x14ac:dyDescent="0.2">
      <c r="A83" s="49"/>
    </row>
    <row r="84" spans="1:1" ht="12.75" customHeight="1" x14ac:dyDescent="0.2">
      <c r="A84" s="49"/>
    </row>
    <row r="85" spans="1:1" ht="12.75" customHeight="1" x14ac:dyDescent="0.2">
      <c r="A85" s="49"/>
    </row>
    <row r="86" spans="1:1" ht="12.75" customHeight="1" x14ac:dyDescent="0.2">
      <c r="A86" s="49"/>
    </row>
    <row r="87" spans="1:1" ht="12.75" customHeight="1" x14ac:dyDescent="0.2">
      <c r="A87" s="49"/>
    </row>
    <row r="88" spans="1:1" ht="12.75" customHeight="1" x14ac:dyDescent="0.2">
      <c r="A88" s="49"/>
    </row>
    <row r="89" spans="1:1" ht="12.75" customHeight="1" x14ac:dyDescent="0.2">
      <c r="A89" s="49"/>
    </row>
    <row r="90" spans="1:1" ht="12.75" customHeight="1" x14ac:dyDescent="0.2">
      <c r="A90" s="49"/>
    </row>
    <row r="91" spans="1:1" ht="12.75" customHeight="1" x14ac:dyDescent="0.2">
      <c r="A91" s="49"/>
    </row>
    <row r="92" spans="1:1" ht="12.75" customHeight="1" x14ac:dyDescent="0.2">
      <c r="A92" s="49"/>
    </row>
    <row r="93" spans="1:1" ht="12.75" customHeight="1" x14ac:dyDescent="0.2">
      <c r="A93" s="49"/>
    </row>
    <row r="94" spans="1:1" ht="12.75" customHeight="1" x14ac:dyDescent="0.2">
      <c r="A94" s="49"/>
    </row>
    <row r="95" spans="1:1" ht="12.75" customHeight="1" x14ac:dyDescent="0.2">
      <c r="A95" s="49"/>
    </row>
    <row r="96" spans="1:1" ht="12.75" customHeight="1" x14ac:dyDescent="0.2">
      <c r="A96" s="49"/>
    </row>
    <row r="97" spans="1:1" ht="12.75" customHeight="1" x14ac:dyDescent="0.2">
      <c r="A97" s="49"/>
    </row>
    <row r="98" spans="1:1" ht="12.75" customHeight="1" x14ac:dyDescent="0.2">
      <c r="A98" s="49"/>
    </row>
    <row r="99" spans="1:1" ht="12.75" customHeight="1" x14ac:dyDescent="0.2">
      <c r="A99" s="49"/>
    </row>
    <row r="100" spans="1:1" ht="12.75" customHeight="1" x14ac:dyDescent="0.2">
      <c r="A100" s="49"/>
    </row>
    <row r="101" spans="1:1" ht="12.75" customHeight="1" x14ac:dyDescent="0.2">
      <c r="A101" s="49"/>
    </row>
    <row r="102" spans="1:1" ht="12.75" customHeight="1" x14ac:dyDescent="0.2">
      <c r="A102" s="49"/>
    </row>
    <row r="103" spans="1:1" ht="12.75" customHeight="1" x14ac:dyDescent="0.2">
      <c r="A103" s="49"/>
    </row>
    <row r="104" spans="1:1" ht="12.75" customHeight="1" x14ac:dyDescent="0.2">
      <c r="A104" s="49"/>
    </row>
    <row r="105" spans="1:1" ht="12.75" customHeight="1" x14ac:dyDescent="0.2">
      <c r="A105" s="49"/>
    </row>
    <row r="106" spans="1:1" ht="12.75" customHeight="1" x14ac:dyDescent="0.2">
      <c r="A106" s="49"/>
    </row>
    <row r="107" spans="1:1" ht="12.75" customHeight="1" x14ac:dyDescent="0.2">
      <c r="A107" s="49"/>
    </row>
    <row r="108" spans="1:1" ht="12.75" customHeight="1" x14ac:dyDescent="0.2">
      <c r="A108" s="49"/>
    </row>
    <row r="109" spans="1:1" ht="12.75" customHeight="1" x14ac:dyDescent="0.2">
      <c r="A109" s="49"/>
    </row>
    <row r="110" spans="1:1" ht="12.75" customHeight="1" x14ac:dyDescent="0.2">
      <c r="A110" s="49"/>
    </row>
    <row r="111" spans="1:1" ht="12.75" customHeight="1" x14ac:dyDescent="0.2">
      <c r="A111" s="49"/>
    </row>
    <row r="112" spans="1:1" ht="12.75" customHeight="1" x14ac:dyDescent="0.2">
      <c r="A112" s="49"/>
    </row>
    <row r="113" spans="1:1" ht="12.75" customHeight="1" x14ac:dyDescent="0.2">
      <c r="A113" s="49"/>
    </row>
    <row r="114" spans="1:1" ht="12.75" customHeight="1" x14ac:dyDescent="0.2">
      <c r="A114" s="49"/>
    </row>
    <row r="115" spans="1:1" ht="12.75" customHeight="1" x14ac:dyDescent="0.2">
      <c r="A115" s="49"/>
    </row>
    <row r="116" spans="1:1" ht="12.75" customHeight="1" x14ac:dyDescent="0.2">
      <c r="A116" s="49"/>
    </row>
    <row r="117" spans="1:1" ht="12.75" customHeight="1" x14ac:dyDescent="0.2">
      <c r="A117" s="49"/>
    </row>
    <row r="118" spans="1:1" ht="12.75" customHeight="1" x14ac:dyDescent="0.2">
      <c r="A118" s="49"/>
    </row>
    <row r="119" spans="1:1" ht="12.75" customHeight="1" x14ac:dyDescent="0.2">
      <c r="A119" s="49"/>
    </row>
    <row r="120" spans="1:1" ht="12.75" customHeight="1" x14ac:dyDescent="0.2">
      <c r="A120" s="49"/>
    </row>
    <row r="121" spans="1:1" ht="12.75" customHeight="1" x14ac:dyDescent="0.2">
      <c r="A121" s="49"/>
    </row>
    <row r="122" spans="1:1" ht="12.75" customHeight="1" x14ac:dyDescent="0.2">
      <c r="A122" s="49"/>
    </row>
    <row r="123" spans="1:1" ht="12.75" customHeight="1" x14ac:dyDescent="0.2">
      <c r="A123" s="49"/>
    </row>
    <row r="124" spans="1:1" ht="12.75" customHeight="1" x14ac:dyDescent="0.2">
      <c r="A124" s="49"/>
    </row>
    <row r="125" spans="1:1" ht="12.75" customHeight="1" x14ac:dyDescent="0.2">
      <c r="A125" s="49"/>
    </row>
    <row r="126" spans="1:1" ht="12.75" customHeight="1" x14ac:dyDescent="0.2">
      <c r="A126" s="49"/>
    </row>
    <row r="127" spans="1:1" ht="12.75" customHeight="1" x14ac:dyDescent="0.2">
      <c r="A127" s="49"/>
    </row>
    <row r="128" spans="1:1" ht="12.75" customHeight="1" x14ac:dyDescent="0.2">
      <c r="A128" s="49"/>
    </row>
    <row r="129" spans="1:1" ht="12.75" customHeight="1" x14ac:dyDescent="0.2">
      <c r="A129" s="49"/>
    </row>
    <row r="130" spans="1:1" ht="12.75" customHeight="1" x14ac:dyDescent="0.2">
      <c r="A130" s="49"/>
    </row>
    <row r="131" spans="1:1" ht="12.75" customHeight="1" x14ac:dyDescent="0.2">
      <c r="A131" s="49"/>
    </row>
    <row r="132" spans="1:1" ht="12.75" customHeight="1" x14ac:dyDescent="0.2">
      <c r="A132" s="49"/>
    </row>
    <row r="133" spans="1:1" ht="12.75" customHeight="1" x14ac:dyDescent="0.2">
      <c r="A133" s="49"/>
    </row>
    <row r="134" spans="1:1" ht="12.75" customHeight="1" x14ac:dyDescent="0.2">
      <c r="A134" s="49"/>
    </row>
    <row r="135" spans="1:1" ht="12.75" customHeight="1" x14ac:dyDescent="0.2">
      <c r="A135" s="49"/>
    </row>
    <row r="136" spans="1:1" ht="12.75" customHeight="1" x14ac:dyDescent="0.2">
      <c r="A136" s="49"/>
    </row>
    <row r="137" spans="1:1" ht="12.75" customHeight="1" x14ac:dyDescent="0.2">
      <c r="A137" s="49"/>
    </row>
    <row r="138" spans="1:1" ht="12.75" customHeight="1" x14ac:dyDescent="0.2">
      <c r="A138" s="49"/>
    </row>
    <row r="139" spans="1:1" ht="12.75" customHeight="1" x14ac:dyDescent="0.2">
      <c r="A139" s="49"/>
    </row>
    <row r="140" spans="1:1" ht="12.75" customHeight="1" x14ac:dyDescent="0.2">
      <c r="A140" s="49"/>
    </row>
    <row r="141" spans="1:1" ht="12.75" customHeight="1" x14ac:dyDescent="0.2">
      <c r="A141" s="49"/>
    </row>
    <row r="142" spans="1:1" ht="12.75" customHeight="1" x14ac:dyDescent="0.2">
      <c r="A142" s="49"/>
    </row>
    <row r="143" spans="1:1" ht="12.75" customHeight="1" x14ac:dyDescent="0.2">
      <c r="A143" s="49"/>
    </row>
    <row r="144" spans="1:1" ht="12.75" customHeight="1" x14ac:dyDescent="0.2">
      <c r="A144" s="49"/>
    </row>
    <row r="145" spans="1:1" ht="12.75" customHeight="1" x14ac:dyDescent="0.2">
      <c r="A145" s="49"/>
    </row>
    <row r="146" spans="1:1" ht="12.75" customHeight="1" x14ac:dyDescent="0.2">
      <c r="A146" s="49"/>
    </row>
    <row r="147" spans="1:1" ht="12.75" customHeight="1" x14ac:dyDescent="0.2">
      <c r="A147" s="49"/>
    </row>
    <row r="148" spans="1:1" ht="12.75" customHeight="1" x14ac:dyDescent="0.2">
      <c r="A148" s="49"/>
    </row>
    <row r="149" spans="1:1" ht="12.75" customHeight="1" x14ac:dyDescent="0.2">
      <c r="A149" s="49"/>
    </row>
    <row r="150" spans="1:1" ht="12.75" customHeight="1" x14ac:dyDescent="0.2">
      <c r="A150" s="49"/>
    </row>
    <row r="151" spans="1:1" ht="12.75" customHeight="1" x14ac:dyDescent="0.2">
      <c r="A151" s="49"/>
    </row>
    <row r="152" spans="1:1" ht="12.75" customHeight="1" x14ac:dyDescent="0.2">
      <c r="A152" s="49"/>
    </row>
    <row r="153" spans="1:1" ht="12.75" customHeight="1" x14ac:dyDescent="0.2">
      <c r="A153" s="49"/>
    </row>
    <row r="154" spans="1:1" ht="12.75" customHeight="1" x14ac:dyDescent="0.2">
      <c r="A154" s="49"/>
    </row>
    <row r="155" spans="1:1" ht="12.75" customHeight="1" x14ac:dyDescent="0.2">
      <c r="A155" s="49"/>
    </row>
    <row r="156" spans="1:1" ht="12.75" customHeight="1" x14ac:dyDescent="0.2">
      <c r="A156" s="49"/>
    </row>
    <row r="157" spans="1:1" ht="12.75" customHeight="1" x14ac:dyDescent="0.2">
      <c r="A157" s="49"/>
    </row>
    <row r="158" spans="1:1" ht="12.75" customHeight="1" x14ac:dyDescent="0.2">
      <c r="A158" s="49"/>
    </row>
    <row r="159" spans="1:1" ht="12.75" customHeight="1" x14ac:dyDescent="0.2">
      <c r="A159" s="49"/>
    </row>
    <row r="160" spans="1:1" ht="12.75" customHeight="1" x14ac:dyDescent="0.2">
      <c r="A160" s="49"/>
    </row>
    <row r="161" spans="1:1" ht="12.75" customHeight="1" x14ac:dyDescent="0.2">
      <c r="A161" s="49"/>
    </row>
    <row r="162" spans="1:1" ht="12.75" customHeight="1" x14ac:dyDescent="0.2">
      <c r="A162" s="49"/>
    </row>
    <row r="163" spans="1:1" ht="12.75" customHeight="1" x14ac:dyDescent="0.2">
      <c r="A163" s="49"/>
    </row>
    <row r="164" spans="1:1" ht="12.75" customHeight="1" x14ac:dyDescent="0.2">
      <c r="A164" s="49"/>
    </row>
    <row r="165" spans="1:1" ht="12.75" customHeight="1" x14ac:dyDescent="0.2">
      <c r="A165" s="49"/>
    </row>
    <row r="166" spans="1:1" ht="12.75" customHeight="1" x14ac:dyDescent="0.2">
      <c r="A166" s="49"/>
    </row>
    <row r="167" spans="1:1" ht="12.75" customHeight="1" x14ac:dyDescent="0.2">
      <c r="A167" s="49"/>
    </row>
    <row r="168" spans="1:1" ht="12.75" customHeight="1" x14ac:dyDescent="0.2">
      <c r="A168" s="49"/>
    </row>
    <row r="169" spans="1:1" ht="12.75" customHeight="1" x14ac:dyDescent="0.2">
      <c r="A169" s="49"/>
    </row>
    <row r="170" spans="1:1" ht="12.75" customHeight="1" x14ac:dyDescent="0.2">
      <c r="A170" s="49"/>
    </row>
    <row r="171" spans="1:1" ht="12.75" customHeight="1" x14ac:dyDescent="0.2">
      <c r="A171" s="49"/>
    </row>
    <row r="172" spans="1:1" ht="12.75" customHeight="1" x14ac:dyDescent="0.2">
      <c r="A172" s="49"/>
    </row>
    <row r="173" spans="1:1" ht="12.75" customHeight="1" x14ac:dyDescent="0.2">
      <c r="A173" s="49"/>
    </row>
    <row r="174" spans="1:1" ht="12.75" customHeight="1" x14ac:dyDescent="0.2">
      <c r="A174" s="49"/>
    </row>
    <row r="175" spans="1:1" ht="12.75" customHeight="1" x14ac:dyDescent="0.2">
      <c r="A175" s="49"/>
    </row>
    <row r="176" spans="1:1" ht="12.75" customHeight="1" x14ac:dyDescent="0.2">
      <c r="A176" s="49"/>
    </row>
    <row r="177" spans="1:1" ht="12.75" customHeight="1" x14ac:dyDescent="0.2">
      <c r="A177" s="49"/>
    </row>
    <row r="178" spans="1:1" ht="12.75" customHeight="1" x14ac:dyDescent="0.2">
      <c r="A178" s="49"/>
    </row>
    <row r="179" spans="1:1" ht="12.75" customHeight="1" x14ac:dyDescent="0.2">
      <c r="A179" s="49"/>
    </row>
    <row r="180" spans="1:1" ht="12.75" customHeight="1" x14ac:dyDescent="0.2">
      <c r="A180" s="49"/>
    </row>
    <row r="181" spans="1:1" ht="12.75" customHeight="1" x14ac:dyDescent="0.2">
      <c r="A181" s="49"/>
    </row>
    <row r="182" spans="1:1" ht="12.75" customHeight="1" x14ac:dyDescent="0.2">
      <c r="A182" s="49"/>
    </row>
    <row r="183" spans="1:1" ht="12.75" customHeight="1" x14ac:dyDescent="0.2">
      <c r="A183" s="49"/>
    </row>
    <row r="184" spans="1:1" ht="12.75" customHeight="1" x14ac:dyDescent="0.2">
      <c r="A184" s="49"/>
    </row>
    <row r="185" spans="1:1" ht="12.75" customHeight="1" x14ac:dyDescent="0.2">
      <c r="A185" s="49"/>
    </row>
    <row r="186" spans="1:1" ht="12.75" customHeight="1" x14ac:dyDescent="0.2">
      <c r="A186" s="49"/>
    </row>
    <row r="187" spans="1:1" ht="12.75" customHeight="1" x14ac:dyDescent="0.2">
      <c r="A187" s="49"/>
    </row>
    <row r="188" spans="1:1" ht="12.75" customHeight="1" x14ac:dyDescent="0.2">
      <c r="A188" s="49"/>
    </row>
    <row r="189" spans="1:1" ht="12.75" customHeight="1" x14ac:dyDescent="0.2">
      <c r="A189" s="49"/>
    </row>
    <row r="190" spans="1:1" ht="12.75" customHeight="1" x14ac:dyDescent="0.2">
      <c r="A190" s="49"/>
    </row>
    <row r="191" spans="1:1" ht="12.75" customHeight="1" x14ac:dyDescent="0.2">
      <c r="A191" s="49"/>
    </row>
    <row r="192" spans="1:1" ht="12.75" customHeight="1" x14ac:dyDescent="0.2">
      <c r="A192" s="49"/>
    </row>
    <row r="193" spans="1:1" ht="12.75" customHeight="1" x14ac:dyDescent="0.2">
      <c r="A193" s="49"/>
    </row>
    <row r="194" spans="1:1" ht="12.75" customHeight="1" x14ac:dyDescent="0.2">
      <c r="A194" s="49"/>
    </row>
    <row r="195" spans="1:1" ht="12.75" customHeight="1" x14ac:dyDescent="0.2">
      <c r="A195" s="49"/>
    </row>
    <row r="196" spans="1:1" ht="12.75" customHeight="1" x14ac:dyDescent="0.2">
      <c r="A196" s="49"/>
    </row>
    <row r="197" spans="1:1" ht="12.75" customHeight="1" x14ac:dyDescent="0.2">
      <c r="A197" s="49"/>
    </row>
    <row r="198" spans="1:1" ht="12.75" customHeight="1" x14ac:dyDescent="0.2">
      <c r="A198" s="49"/>
    </row>
    <row r="199" spans="1:1" ht="12.75" customHeight="1" x14ac:dyDescent="0.2">
      <c r="A199" s="49"/>
    </row>
    <row r="200" spans="1:1" ht="12.75" customHeight="1" x14ac:dyDescent="0.2">
      <c r="A200" s="49"/>
    </row>
    <row r="201" spans="1:1" ht="12.75" customHeight="1" x14ac:dyDescent="0.2">
      <c r="A201" s="49"/>
    </row>
    <row r="202" spans="1:1" ht="12.75" customHeight="1" x14ac:dyDescent="0.2">
      <c r="A202" s="49"/>
    </row>
    <row r="203" spans="1:1" ht="12.75" customHeight="1" x14ac:dyDescent="0.2">
      <c r="A203" s="49"/>
    </row>
    <row r="204" spans="1:1" ht="12.75" customHeight="1" x14ac:dyDescent="0.2">
      <c r="A204" s="49"/>
    </row>
    <row r="205" spans="1:1" ht="12.75" customHeight="1" x14ac:dyDescent="0.2">
      <c r="A205" s="49"/>
    </row>
    <row r="206" spans="1:1" ht="12.75" customHeight="1" x14ac:dyDescent="0.2">
      <c r="A206" s="49"/>
    </row>
    <row r="207" spans="1:1" ht="12.75" customHeight="1" x14ac:dyDescent="0.2">
      <c r="A207" s="49"/>
    </row>
    <row r="208" spans="1:1" ht="12.75" customHeight="1" x14ac:dyDescent="0.2">
      <c r="A208" s="49"/>
    </row>
    <row r="209" spans="1:1" ht="12.75" customHeight="1" x14ac:dyDescent="0.2">
      <c r="A209" s="49"/>
    </row>
    <row r="210" spans="1:1" ht="12.75" customHeight="1" x14ac:dyDescent="0.2">
      <c r="A210" s="49"/>
    </row>
    <row r="211" spans="1:1" ht="12.75" customHeight="1" x14ac:dyDescent="0.2">
      <c r="A211" s="49"/>
    </row>
    <row r="212" spans="1:1" ht="12.75" customHeight="1" x14ac:dyDescent="0.2">
      <c r="A212" s="49"/>
    </row>
    <row r="213" spans="1:1" ht="12.75" customHeight="1" x14ac:dyDescent="0.2">
      <c r="A213" s="49"/>
    </row>
    <row r="214" spans="1:1" ht="12.75" customHeight="1" x14ac:dyDescent="0.2">
      <c r="A214" s="49"/>
    </row>
    <row r="215" spans="1:1" ht="12.75" customHeight="1" x14ac:dyDescent="0.2">
      <c r="A215" s="49"/>
    </row>
    <row r="216" spans="1:1" ht="12.75" customHeight="1" x14ac:dyDescent="0.2">
      <c r="A216" s="49"/>
    </row>
    <row r="217" spans="1:1" ht="12.75" customHeight="1" x14ac:dyDescent="0.2">
      <c r="A217" s="49"/>
    </row>
    <row r="218" spans="1:1" ht="12.75" customHeight="1" x14ac:dyDescent="0.2">
      <c r="A218" s="49"/>
    </row>
    <row r="219" spans="1:1" ht="12.75" customHeight="1" x14ac:dyDescent="0.2">
      <c r="A219" s="49"/>
    </row>
    <row r="220" spans="1:1" ht="12.75" customHeight="1" x14ac:dyDescent="0.2">
      <c r="A220" s="49"/>
    </row>
    <row r="221" spans="1:1" ht="12.75" customHeight="1" x14ac:dyDescent="0.2">
      <c r="A221" s="49"/>
    </row>
    <row r="222" spans="1:1" ht="12.75" customHeight="1" x14ac:dyDescent="0.2">
      <c r="A222" s="49"/>
    </row>
    <row r="223" spans="1:1" ht="12.75" customHeight="1" x14ac:dyDescent="0.2">
      <c r="A223" s="49"/>
    </row>
    <row r="224" spans="1:1" ht="12.75" customHeight="1" x14ac:dyDescent="0.2">
      <c r="A224" s="49"/>
    </row>
    <row r="225" spans="1:1" ht="12.75" customHeight="1" x14ac:dyDescent="0.2">
      <c r="A225" s="49"/>
    </row>
    <row r="226" spans="1:1" ht="12.75" customHeight="1" x14ac:dyDescent="0.2">
      <c r="A226" s="49"/>
    </row>
    <row r="227" spans="1:1" ht="12.75" customHeight="1" x14ac:dyDescent="0.2">
      <c r="A227" s="49"/>
    </row>
    <row r="228" spans="1:1" ht="12.75" customHeight="1" x14ac:dyDescent="0.2">
      <c r="A228" s="49"/>
    </row>
    <row r="229" spans="1:1" ht="12.75" customHeight="1" x14ac:dyDescent="0.2">
      <c r="A229" s="49"/>
    </row>
    <row r="230" spans="1:1" ht="12.75" customHeight="1" x14ac:dyDescent="0.2">
      <c r="A230" s="49"/>
    </row>
    <row r="231" spans="1:1" ht="12.75" customHeight="1" x14ac:dyDescent="0.2">
      <c r="A231" s="49"/>
    </row>
    <row r="232" spans="1:1" ht="12.75" customHeight="1" x14ac:dyDescent="0.2">
      <c r="A232" s="49"/>
    </row>
    <row r="233" spans="1:1" ht="12.75" customHeight="1" x14ac:dyDescent="0.2">
      <c r="A233" s="49"/>
    </row>
    <row r="234" spans="1:1" ht="12.75" customHeight="1" x14ac:dyDescent="0.2">
      <c r="A234" s="49"/>
    </row>
    <row r="235" spans="1:1" ht="12.75" customHeight="1" x14ac:dyDescent="0.2">
      <c r="A235" s="49"/>
    </row>
    <row r="236" spans="1:1" ht="12.75" customHeight="1" x14ac:dyDescent="0.2">
      <c r="A236" s="49"/>
    </row>
    <row r="237" spans="1:1" ht="12.75" customHeight="1" x14ac:dyDescent="0.2">
      <c r="A237" s="49"/>
    </row>
    <row r="238" spans="1:1" ht="12.75" customHeight="1" x14ac:dyDescent="0.2">
      <c r="A238" s="49"/>
    </row>
    <row r="239" spans="1:1" ht="12.75" customHeight="1" x14ac:dyDescent="0.2">
      <c r="A239" s="49"/>
    </row>
    <row r="240" spans="1:1" ht="12.75" customHeight="1" x14ac:dyDescent="0.2">
      <c r="A240" s="49"/>
    </row>
    <row r="241" spans="1:1" ht="12.75" customHeight="1" x14ac:dyDescent="0.2">
      <c r="A241" s="49"/>
    </row>
    <row r="242" spans="1:1" ht="12.75" customHeight="1" x14ac:dyDescent="0.2">
      <c r="A242" s="49"/>
    </row>
    <row r="243" spans="1:1" ht="12.75" customHeight="1" x14ac:dyDescent="0.2">
      <c r="A243" s="49"/>
    </row>
    <row r="244" spans="1:1" ht="12.75" customHeight="1" x14ac:dyDescent="0.2">
      <c r="A244" s="49"/>
    </row>
    <row r="245" spans="1:1" ht="12.75" customHeight="1" x14ac:dyDescent="0.2">
      <c r="A245" s="49"/>
    </row>
    <row r="246" spans="1:1" ht="12.75" customHeight="1" x14ac:dyDescent="0.2">
      <c r="A246" s="49"/>
    </row>
    <row r="247" spans="1:1" ht="12.75" customHeight="1" x14ac:dyDescent="0.2">
      <c r="A247" s="49"/>
    </row>
    <row r="248" spans="1:1" ht="12.75" customHeight="1" x14ac:dyDescent="0.2">
      <c r="A248" s="49"/>
    </row>
    <row r="249" spans="1:1" ht="12.75" customHeight="1" x14ac:dyDescent="0.2">
      <c r="A249" s="49"/>
    </row>
    <row r="250" spans="1:1" ht="12.75" customHeight="1" x14ac:dyDescent="0.2">
      <c r="A250" s="49"/>
    </row>
    <row r="251" spans="1:1" ht="12.75" customHeight="1" x14ac:dyDescent="0.2">
      <c r="A251" s="49"/>
    </row>
    <row r="252" spans="1:1" ht="12.75" customHeight="1" x14ac:dyDescent="0.2">
      <c r="A252" s="49"/>
    </row>
    <row r="253" spans="1:1" ht="12.75" customHeight="1" x14ac:dyDescent="0.2">
      <c r="A253" s="49"/>
    </row>
    <row r="254" spans="1:1" ht="12.75" customHeight="1" x14ac:dyDescent="0.2">
      <c r="A254" s="49"/>
    </row>
    <row r="255" spans="1:1" ht="12.75" customHeight="1" x14ac:dyDescent="0.2">
      <c r="A255" s="49"/>
    </row>
    <row r="256" spans="1:1" ht="12.75" customHeight="1" x14ac:dyDescent="0.2">
      <c r="A256" s="49"/>
    </row>
    <row r="257" spans="1:1" ht="12.75" customHeight="1" x14ac:dyDescent="0.2">
      <c r="A257" s="49"/>
    </row>
    <row r="258" spans="1:1" ht="12.75" customHeight="1" x14ac:dyDescent="0.2">
      <c r="A258" s="49"/>
    </row>
    <row r="259" spans="1:1" ht="12.75" customHeight="1" x14ac:dyDescent="0.2">
      <c r="A259" s="49"/>
    </row>
    <row r="260" spans="1:1" ht="12.75" customHeight="1" x14ac:dyDescent="0.2">
      <c r="A260" s="49"/>
    </row>
    <row r="261" spans="1:1" ht="12.75" customHeight="1" x14ac:dyDescent="0.2">
      <c r="A261" s="49"/>
    </row>
    <row r="262" spans="1:1" ht="12.75" customHeight="1" x14ac:dyDescent="0.2">
      <c r="A262" s="49"/>
    </row>
    <row r="263" spans="1:1" ht="12.75" customHeight="1" x14ac:dyDescent="0.2">
      <c r="A263" s="49"/>
    </row>
    <row r="264" spans="1:1" ht="12.75" customHeight="1" x14ac:dyDescent="0.2">
      <c r="A264" s="49"/>
    </row>
    <row r="265" spans="1:1" ht="12.75" customHeight="1" x14ac:dyDescent="0.2">
      <c r="A265" s="49"/>
    </row>
    <row r="266" spans="1:1" ht="12.75" customHeight="1" x14ac:dyDescent="0.2">
      <c r="A266" s="49"/>
    </row>
    <row r="267" spans="1:1" ht="12.75" customHeight="1" x14ac:dyDescent="0.2">
      <c r="A267" s="49"/>
    </row>
    <row r="268" spans="1:1" ht="12.75" customHeight="1" x14ac:dyDescent="0.2">
      <c r="A268" s="49"/>
    </row>
    <row r="269" spans="1:1" ht="12.75" customHeight="1" x14ac:dyDescent="0.2">
      <c r="A269" s="49"/>
    </row>
    <row r="270" spans="1:1" ht="12.75" customHeight="1" x14ac:dyDescent="0.2">
      <c r="A270" s="49"/>
    </row>
    <row r="271" spans="1:1" ht="12.75" customHeight="1" x14ac:dyDescent="0.2">
      <c r="A271" s="49"/>
    </row>
    <row r="272" spans="1:1" ht="12.75" customHeight="1" x14ac:dyDescent="0.2">
      <c r="A272" s="49"/>
    </row>
    <row r="273" spans="1:1" ht="12.75" customHeight="1" x14ac:dyDescent="0.2">
      <c r="A273" s="49"/>
    </row>
    <row r="274" spans="1:1" ht="12.75" customHeight="1" x14ac:dyDescent="0.2">
      <c r="A274" s="49"/>
    </row>
    <row r="275" spans="1:1" ht="12.75" customHeight="1" x14ac:dyDescent="0.2">
      <c r="A275" s="49"/>
    </row>
    <row r="276" spans="1:1" ht="12.75" customHeight="1" x14ac:dyDescent="0.2">
      <c r="A276" s="49"/>
    </row>
    <row r="277" spans="1:1" ht="12.75" customHeight="1" x14ac:dyDescent="0.2">
      <c r="A277" s="49"/>
    </row>
    <row r="278" spans="1:1" ht="12.75" customHeight="1" x14ac:dyDescent="0.2">
      <c r="A278" s="49"/>
    </row>
    <row r="279" spans="1:1" ht="12.75" customHeight="1" x14ac:dyDescent="0.2">
      <c r="A279" s="49"/>
    </row>
    <row r="280" spans="1:1" ht="12.75" customHeight="1" x14ac:dyDescent="0.2">
      <c r="A280" s="49"/>
    </row>
    <row r="281" spans="1:1" ht="12.75" customHeight="1" x14ac:dyDescent="0.2">
      <c r="A281" s="49"/>
    </row>
    <row r="282" spans="1:1" ht="12.75" customHeight="1" x14ac:dyDescent="0.2">
      <c r="A282" s="49"/>
    </row>
    <row r="283" spans="1:1" ht="12.75" customHeight="1" x14ac:dyDescent="0.2">
      <c r="A283" s="49"/>
    </row>
    <row r="284" spans="1:1" ht="12.75" customHeight="1" x14ac:dyDescent="0.2">
      <c r="A284" s="49"/>
    </row>
    <row r="285" spans="1:1" ht="12.75" customHeight="1" x14ac:dyDescent="0.2">
      <c r="A285" s="49"/>
    </row>
    <row r="286" spans="1:1" ht="12.75" customHeight="1" x14ac:dyDescent="0.2">
      <c r="A286" s="49"/>
    </row>
    <row r="287" spans="1:1" ht="12.75" customHeight="1" x14ac:dyDescent="0.2">
      <c r="A287" s="49"/>
    </row>
    <row r="288" spans="1:1" ht="12.75" customHeight="1" x14ac:dyDescent="0.2">
      <c r="A288" s="49"/>
    </row>
    <row r="289" spans="1:1" ht="12.75" customHeight="1" x14ac:dyDescent="0.2">
      <c r="A289" s="49"/>
    </row>
    <row r="290" spans="1:1" ht="12.75" customHeight="1" x14ac:dyDescent="0.2">
      <c r="A290" s="49"/>
    </row>
    <row r="291" spans="1:1" ht="12.75" customHeight="1" x14ac:dyDescent="0.2">
      <c r="A291" s="49"/>
    </row>
    <row r="292" spans="1:1" ht="12.75" customHeight="1" x14ac:dyDescent="0.2">
      <c r="A292" s="49"/>
    </row>
    <row r="293" spans="1:1" ht="12.75" customHeight="1" x14ac:dyDescent="0.2">
      <c r="A293" s="49"/>
    </row>
    <row r="294" spans="1:1" ht="12.75" customHeight="1" x14ac:dyDescent="0.2">
      <c r="A294" s="49"/>
    </row>
    <row r="295" spans="1:1" ht="12.75" customHeight="1" x14ac:dyDescent="0.2">
      <c r="A295" s="49"/>
    </row>
    <row r="296" spans="1:1" ht="12.75" customHeight="1" x14ac:dyDescent="0.2">
      <c r="A296" s="49"/>
    </row>
    <row r="297" spans="1:1" ht="12.75" customHeight="1" x14ac:dyDescent="0.2">
      <c r="A297" s="49"/>
    </row>
    <row r="298" spans="1:1" ht="12.75" customHeight="1" x14ac:dyDescent="0.2">
      <c r="A298" s="49"/>
    </row>
    <row r="299" spans="1:1" ht="12.75" customHeight="1" x14ac:dyDescent="0.2">
      <c r="A299" s="49"/>
    </row>
    <row r="300" spans="1:1" ht="12.75" customHeight="1" x14ac:dyDescent="0.2">
      <c r="A300" s="49"/>
    </row>
    <row r="301" spans="1:1" ht="12.75" customHeight="1" x14ac:dyDescent="0.2">
      <c r="A301" s="49"/>
    </row>
    <row r="302" spans="1:1" ht="12.75" customHeight="1" x14ac:dyDescent="0.2">
      <c r="A302" s="49"/>
    </row>
    <row r="303" spans="1:1" ht="12.75" customHeight="1" x14ac:dyDescent="0.2">
      <c r="A303" s="49"/>
    </row>
    <row r="304" spans="1:1" ht="12.75" customHeight="1" x14ac:dyDescent="0.2">
      <c r="A304" s="49"/>
    </row>
    <row r="305" spans="1:1" ht="12.75" customHeight="1" x14ac:dyDescent="0.2">
      <c r="A305" s="49"/>
    </row>
    <row r="306" spans="1:1" ht="12.75" customHeight="1" x14ac:dyDescent="0.2">
      <c r="A306" s="49"/>
    </row>
    <row r="307" spans="1:1" ht="12.75" customHeight="1" x14ac:dyDescent="0.2">
      <c r="A307" s="49"/>
    </row>
    <row r="308" spans="1:1" ht="12.75" customHeight="1" x14ac:dyDescent="0.2">
      <c r="A308" s="49"/>
    </row>
    <row r="309" spans="1:1" ht="12.75" customHeight="1" x14ac:dyDescent="0.2">
      <c r="A309" s="49"/>
    </row>
    <row r="310" spans="1:1" ht="12.75" customHeight="1" x14ac:dyDescent="0.2">
      <c r="A310" s="49"/>
    </row>
    <row r="311" spans="1:1" ht="12.75" customHeight="1" x14ac:dyDescent="0.2">
      <c r="A311" s="49"/>
    </row>
    <row r="312" spans="1:1" ht="12.75" customHeight="1" x14ac:dyDescent="0.2">
      <c r="A312" s="49"/>
    </row>
    <row r="313" spans="1:1" ht="12.75" customHeight="1" x14ac:dyDescent="0.2">
      <c r="A313" s="49"/>
    </row>
    <row r="314" spans="1:1" ht="12.75" customHeight="1" x14ac:dyDescent="0.2">
      <c r="A314" s="49"/>
    </row>
    <row r="315" spans="1:1" ht="12.75" customHeight="1" x14ac:dyDescent="0.2">
      <c r="A315" s="49"/>
    </row>
    <row r="316" spans="1:1" ht="12.75" customHeight="1" x14ac:dyDescent="0.2">
      <c r="A316" s="49"/>
    </row>
    <row r="317" spans="1:1" ht="12.75" customHeight="1" x14ac:dyDescent="0.2">
      <c r="A317" s="49"/>
    </row>
    <row r="318" spans="1:1" ht="12.75" customHeight="1" x14ac:dyDescent="0.2">
      <c r="A318" s="49"/>
    </row>
    <row r="319" spans="1:1" ht="12.75" customHeight="1" x14ac:dyDescent="0.2">
      <c r="A319" s="49"/>
    </row>
    <row r="320" spans="1:1" ht="12.75" customHeight="1" x14ac:dyDescent="0.2">
      <c r="A320" s="49"/>
    </row>
    <row r="321" spans="1:1" ht="12.75" customHeight="1" x14ac:dyDescent="0.2">
      <c r="A321" s="49"/>
    </row>
    <row r="322" spans="1:1" ht="12.75" customHeight="1" x14ac:dyDescent="0.2">
      <c r="A322" s="49"/>
    </row>
    <row r="323" spans="1:1" ht="12.75" customHeight="1" x14ac:dyDescent="0.2">
      <c r="A323" s="49"/>
    </row>
    <row r="324" spans="1:1" ht="12.75" customHeight="1" x14ac:dyDescent="0.2">
      <c r="A324" s="49"/>
    </row>
    <row r="325" spans="1:1" ht="12.75" customHeight="1" x14ac:dyDescent="0.2">
      <c r="A325" s="49"/>
    </row>
    <row r="326" spans="1:1" ht="12.75" customHeight="1" x14ac:dyDescent="0.2">
      <c r="A326" s="49"/>
    </row>
    <row r="327" spans="1:1" ht="12.75" customHeight="1" x14ac:dyDescent="0.2">
      <c r="A327" s="49"/>
    </row>
    <row r="328" spans="1:1" ht="12.75" customHeight="1" x14ac:dyDescent="0.2">
      <c r="A328" s="49"/>
    </row>
    <row r="329" spans="1:1" ht="12.75" customHeight="1" x14ac:dyDescent="0.2">
      <c r="A329" s="49"/>
    </row>
    <row r="330" spans="1:1" ht="12.75" customHeight="1" x14ac:dyDescent="0.2">
      <c r="A330" s="49"/>
    </row>
    <row r="331" spans="1:1" ht="12.75" customHeight="1" x14ac:dyDescent="0.2">
      <c r="A331" s="49"/>
    </row>
    <row r="332" spans="1:1" ht="12.75" customHeight="1" x14ac:dyDescent="0.2">
      <c r="A332" s="49"/>
    </row>
    <row r="333" spans="1:1" ht="12.75" customHeight="1" x14ac:dyDescent="0.2">
      <c r="A333" s="49"/>
    </row>
    <row r="334" spans="1:1" ht="12.75" customHeight="1" x14ac:dyDescent="0.2">
      <c r="A334" s="49"/>
    </row>
    <row r="335" spans="1:1" ht="12.75" customHeight="1" x14ac:dyDescent="0.2">
      <c r="A335" s="49"/>
    </row>
    <row r="336" spans="1:1" ht="12.75" customHeight="1" x14ac:dyDescent="0.2">
      <c r="A336" s="49"/>
    </row>
    <row r="337" spans="1:1" ht="12.75" customHeight="1" x14ac:dyDescent="0.2">
      <c r="A337" s="49"/>
    </row>
    <row r="338" spans="1:1" ht="12.75" customHeight="1" x14ac:dyDescent="0.2">
      <c r="A338" s="49"/>
    </row>
    <row r="339" spans="1:1" ht="12.75" customHeight="1" x14ac:dyDescent="0.2">
      <c r="A339" s="49"/>
    </row>
    <row r="340" spans="1:1" ht="12.75" customHeight="1" x14ac:dyDescent="0.2">
      <c r="A340" s="49"/>
    </row>
    <row r="341" spans="1:1" ht="12.75" customHeight="1" x14ac:dyDescent="0.2">
      <c r="A341" s="49"/>
    </row>
    <row r="342" spans="1:1" ht="12.75" customHeight="1" x14ac:dyDescent="0.2">
      <c r="A342" s="49"/>
    </row>
    <row r="343" spans="1:1" ht="12.75" customHeight="1" x14ac:dyDescent="0.2">
      <c r="A343" s="49"/>
    </row>
    <row r="344" spans="1:1" ht="12.75" customHeight="1" x14ac:dyDescent="0.2">
      <c r="A344" s="49"/>
    </row>
    <row r="345" spans="1:1" ht="12.75" customHeight="1" x14ac:dyDescent="0.2">
      <c r="A345" s="49"/>
    </row>
    <row r="346" spans="1:1" ht="12.75" customHeight="1" x14ac:dyDescent="0.2">
      <c r="A346" s="49"/>
    </row>
    <row r="347" spans="1:1" ht="12.75" customHeight="1" x14ac:dyDescent="0.2">
      <c r="A347" s="49"/>
    </row>
    <row r="348" spans="1:1" ht="12.75" customHeight="1" x14ac:dyDescent="0.2">
      <c r="A348" s="49"/>
    </row>
    <row r="349" spans="1:1" ht="12.75" customHeight="1" x14ac:dyDescent="0.2">
      <c r="A349" s="49"/>
    </row>
    <row r="350" spans="1:1" ht="12.75" customHeight="1" x14ac:dyDescent="0.2">
      <c r="A350" s="49"/>
    </row>
    <row r="351" spans="1:1" ht="12.75" customHeight="1" x14ac:dyDescent="0.2">
      <c r="A351" s="49"/>
    </row>
    <row r="352" spans="1:1" ht="12.75" customHeight="1" x14ac:dyDescent="0.2">
      <c r="A352" s="49"/>
    </row>
    <row r="353" spans="1:1" ht="12.75" customHeight="1" x14ac:dyDescent="0.2">
      <c r="A353" s="49"/>
    </row>
    <row r="354" spans="1:1" ht="12.75" customHeight="1" x14ac:dyDescent="0.2">
      <c r="A354" s="49"/>
    </row>
    <row r="355" spans="1:1" ht="12.75" customHeight="1" x14ac:dyDescent="0.2">
      <c r="A355" s="49"/>
    </row>
    <row r="356" spans="1:1" ht="12.75" customHeight="1" x14ac:dyDescent="0.2">
      <c r="A356" s="49"/>
    </row>
    <row r="357" spans="1:1" ht="12.75" customHeight="1" x14ac:dyDescent="0.2">
      <c r="A357" s="49"/>
    </row>
    <row r="358" spans="1:1" ht="12.75" customHeight="1" x14ac:dyDescent="0.2">
      <c r="A358" s="49"/>
    </row>
    <row r="359" spans="1:1" ht="12.75" customHeight="1" x14ac:dyDescent="0.2">
      <c r="A359" s="49"/>
    </row>
    <row r="360" spans="1:1" ht="12.75" customHeight="1" x14ac:dyDescent="0.2">
      <c r="A360" s="49"/>
    </row>
    <row r="361" spans="1:1" ht="12.75" customHeight="1" x14ac:dyDescent="0.2">
      <c r="A361" s="49"/>
    </row>
    <row r="362" spans="1:1" ht="12.75" customHeight="1" x14ac:dyDescent="0.2">
      <c r="A362" s="49"/>
    </row>
    <row r="363" spans="1:1" ht="12.75" customHeight="1" x14ac:dyDescent="0.2">
      <c r="A363" s="49"/>
    </row>
    <row r="364" spans="1:1" ht="12.75" customHeight="1" x14ac:dyDescent="0.2">
      <c r="A364" s="49"/>
    </row>
    <row r="365" spans="1:1" ht="12.75" customHeight="1" x14ac:dyDescent="0.2">
      <c r="A365" s="49"/>
    </row>
    <row r="366" spans="1:1" ht="12.75" customHeight="1" x14ac:dyDescent="0.2">
      <c r="A366" s="49"/>
    </row>
    <row r="367" spans="1:1" ht="12.75" customHeight="1" x14ac:dyDescent="0.2">
      <c r="A367" s="49"/>
    </row>
    <row r="368" spans="1:1" ht="12.75" customHeight="1" x14ac:dyDescent="0.2">
      <c r="A368" s="49"/>
    </row>
    <row r="369" spans="1:1" ht="12.75" customHeight="1" x14ac:dyDescent="0.2">
      <c r="A369" s="49"/>
    </row>
    <row r="370" spans="1:1" ht="12.75" customHeight="1" x14ac:dyDescent="0.2">
      <c r="A370" s="49"/>
    </row>
    <row r="371" spans="1:1" ht="12.75" customHeight="1" x14ac:dyDescent="0.2">
      <c r="A371" s="49"/>
    </row>
    <row r="372" spans="1:1" ht="12.75" customHeight="1" x14ac:dyDescent="0.2">
      <c r="A372" s="49"/>
    </row>
    <row r="373" spans="1:1" ht="12.75" customHeight="1" x14ac:dyDescent="0.2">
      <c r="A373" s="49"/>
    </row>
    <row r="374" spans="1:1" ht="12.75" customHeight="1" x14ac:dyDescent="0.2">
      <c r="A374" s="49"/>
    </row>
    <row r="375" spans="1:1" ht="12.75" customHeight="1" x14ac:dyDescent="0.2">
      <c r="A375" s="49"/>
    </row>
    <row r="376" spans="1:1" ht="12.75" customHeight="1" x14ac:dyDescent="0.2">
      <c r="A376" s="49"/>
    </row>
    <row r="377" spans="1:1" ht="12.75" customHeight="1" x14ac:dyDescent="0.2">
      <c r="A377" s="49"/>
    </row>
    <row r="378" spans="1:1" ht="12.75" customHeight="1" x14ac:dyDescent="0.2">
      <c r="A378" s="49"/>
    </row>
    <row r="379" spans="1:1" ht="12.75" customHeight="1" x14ac:dyDescent="0.2">
      <c r="A379" s="49"/>
    </row>
    <row r="380" spans="1:1" ht="12.75" customHeight="1" x14ac:dyDescent="0.2">
      <c r="A380" s="49"/>
    </row>
    <row r="381" spans="1:1" ht="12.75" customHeight="1" x14ac:dyDescent="0.2">
      <c r="A381" s="49"/>
    </row>
    <row r="382" spans="1:1" ht="12.75" customHeight="1" x14ac:dyDescent="0.2">
      <c r="A382" s="49"/>
    </row>
    <row r="383" spans="1:1" ht="12.75" customHeight="1" x14ac:dyDescent="0.2">
      <c r="A383" s="49"/>
    </row>
    <row r="384" spans="1:1" ht="12.75" customHeight="1" x14ac:dyDescent="0.2">
      <c r="A384" s="49"/>
    </row>
    <row r="385" spans="1:1" ht="12.75" customHeight="1" x14ac:dyDescent="0.2">
      <c r="A385" s="49"/>
    </row>
    <row r="386" spans="1:1" ht="12.75" customHeight="1" x14ac:dyDescent="0.2">
      <c r="A386" s="49"/>
    </row>
    <row r="387" spans="1:1" ht="12.75" customHeight="1" x14ac:dyDescent="0.2">
      <c r="A387" s="49"/>
    </row>
    <row r="388" spans="1:1" ht="12.75" customHeight="1" x14ac:dyDescent="0.2">
      <c r="A388" s="49"/>
    </row>
    <row r="389" spans="1:1" ht="12.75" customHeight="1" x14ac:dyDescent="0.2">
      <c r="A389" s="49"/>
    </row>
    <row r="390" spans="1:1" ht="12.75" customHeight="1" x14ac:dyDescent="0.2">
      <c r="A390" s="49"/>
    </row>
    <row r="391" spans="1:1" ht="12.75" customHeight="1" x14ac:dyDescent="0.2">
      <c r="A391" s="49"/>
    </row>
    <row r="392" spans="1:1" ht="12.75" customHeight="1" x14ac:dyDescent="0.2">
      <c r="A392" s="49"/>
    </row>
    <row r="393" spans="1:1" ht="12.75" customHeight="1" x14ac:dyDescent="0.2">
      <c r="A393" s="49"/>
    </row>
    <row r="394" spans="1:1" ht="12.75" customHeight="1" x14ac:dyDescent="0.2">
      <c r="A394" s="49"/>
    </row>
    <row r="395" spans="1:1" ht="12.75" customHeight="1" x14ac:dyDescent="0.2">
      <c r="A395" s="49"/>
    </row>
    <row r="396" spans="1:1" ht="12.75" customHeight="1" x14ac:dyDescent="0.2">
      <c r="A396" s="49"/>
    </row>
    <row r="397" spans="1:1" ht="12.75" customHeight="1" x14ac:dyDescent="0.2">
      <c r="A397" s="49"/>
    </row>
    <row r="398" spans="1:1" ht="12.75" customHeight="1" x14ac:dyDescent="0.2">
      <c r="A398" s="49"/>
    </row>
    <row r="399" spans="1:1" ht="12.75" customHeight="1" x14ac:dyDescent="0.2">
      <c r="A399" s="49"/>
    </row>
    <row r="400" spans="1:1" ht="12.75" customHeight="1" x14ac:dyDescent="0.2">
      <c r="A400" s="49"/>
    </row>
    <row r="401" spans="1:1" ht="12.75" customHeight="1" x14ac:dyDescent="0.2">
      <c r="A401" s="49"/>
    </row>
    <row r="402" spans="1:1" ht="12.75" customHeight="1" x14ac:dyDescent="0.2">
      <c r="A402" s="49"/>
    </row>
    <row r="403" spans="1:1" ht="12.75" customHeight="1" x14ac:dyDescent="0.2">
      <c r="A403" s="49"/>
    </row>
    <row r="404" spans="1:1" ht="12.75" customHeight="1" x14ac:dyDescent="0.2">
      <c r="A404" s="49"/>
    </row>
    <row r="405" spans="1:1" ht="12.75" customHeight="1" x14ac:dyDescent="0.2">
      <c r="A405" s="49"/>
    </row>
    <row r="406" spans="1:1" ht="12.75" customHeight="1" x14ac:dyDescent="0.2">
      <c r="A406" s="49"/>
    </row>
    <row r="407" spans="1:1" ht="12.75" customHeight="1" x14ac:dyDescent="0.2">
      <c r="A407" s="49"/>
    </row>
    <row r="408" spans="1:1" ht="12.75" customHeight="1" x14ac:dyDescent="0.2">
      <c r="A408" s="49"/>
    </row>
    <row r="409" spans="1:1" ht="12.75" customHeight="1" x14ac:dyDescent="0.2">
      <c r="A409" s="49"/>
    </row>
    <row r="410" spans="1:1" ht="12.75" customHeight="1" x14ac:dyDescent="0.2">
      <c r="A410" s="49"/>
    </row>
    <row r="411" spans="1:1" ht="12.75" customHeight="1" x14ac:dyDescent="0.2">
      <c r="A411" s="49"/>
    </row>
    <row r="412" spans="1:1" ht="12.75" customHeight="1" x14ac:dyDescent="0.2">
      <c r="A412" s="49"/>
    </row>
    <row r="413" spans="1:1" ht="12.75" customHeight="1" x14ac:dyDescent="0.2">
      <c r="A413" s="49"/>
    </row>
    <row r="414" spans="1:1" ht="12.75" customHeight="1" x14ac:dyDescent="0.2">
      <c r="A414" s="49"/>
    </row>
    <row r="415" spans="1:1" ht="12.75" customHeight="1" x14ac:dyDescent="0.2">
      <c r="A415" s="49"/>
    </row>
    <row r="416" spans="1:1" ht="12.75" customHeight="1" x14ac:dyDescent="0.2">
      <c r="A416" s="49"/>
    </row>
    <row r="417" spans="1:1" ht="12.75" customHeight="1" x14ac:dyDescent="0.2">
      <c r="A417" s="49"/>
    </row>
    <row r="418" spans="1:1" ht="12.75" customHeight="1" x14ac:dyDescent="0.2">
      <c r="A418" s="49"/>
    </row>
    <row r="419" spans="1:1" ht="12.75" customHeight="1" x14ac:dyDescent="0.2">
      <c r="A419" s="49"/>
    </row>
    <row r="420" spans="1:1" ht="12.75" customHeight="1" x14ac:dyDescent="0.2">
      <c r="A420" s="49"/>
    </row>
    <row r="421" spans="1:1" ht="12.75" customHeight="1" x14ac:dyDescent="0.2">
      <c r="A421" s="49"/>
    </row>
    <row r="422" spans="1:1" ht="12.75" customHeight="1" x14ac:dyDescent="0.2">
      <c r="A422" s="49"/>
    </row>
    <row r="423" spans="1:1" ht="12.75" customHeight="1" x14ac:dyDescent="0.2">
      <c r="A423" s="49"/>
    </row>
    <row r="424" spans="1:1" ht="12.75" customHeight="1" x14ac:dyDescent="0.2">
      <c r="A424" s="49"/>
    </row>
    <row r="425" spans="1:1" ht="12.75" customHeight="1" x14ac:dyDescent="0.2">
      <c r="A425" s="49"/>
    </row>
    <row r="426" spans="1:1" ht="12.75" customHeight="1" x14ac:dyDescent="0.2">
      <c r="A426" s="49"/>
    </row>
    <row r="427" spans="1:1" ht="12.75" customHeight="1" x14ac:dyDescent="0.2">
      <c r="A427" s="49"/>
    </row>
    <row r="428" spans="1:1" ht="12.75" customHeight="1" x14ac:dyDescent="0.2">
      <c r="A428" s="49"/>
    </row>
    <row r="429" spans="1:1" ht="12.75" customHeight="1" x14ac:dyDescent="0.2">
      <c r="A429" s="49"/>
    </row>
    <row r="430" spans="1:1" ht="12.75" customHeight="1" x14ac:dyDescent="0.2">
      <c r="A430" s="49"/>
    </row>
    <row r="431" spans="1:1" ht="12.75" customHeight="1" x14ac:dyDescent="0.2">
      <c r="A431" s="49"/>
    </row>
    <row r="432" spans="1:1" ht="12.75" customHeight="1" x14ac:dyDescent="0.2">
      <c r="A432" s="49"/>
    </row>
    <row r="433" spans="1:1" ht="12.75" customHeight="1" x14ac:dyDescent="0.2">
      <c r="A433" s="49"/>
    </row>
    <row r="434" spans="1:1" ht="12.75" customHeight="1" x14ac:dyDescent="0.2">
      <c r="A434" s="49"/>
    </row>
    <row r="435" spans="1:1" ht="12.75" customHeight="1" x14ac:dyDescent="0.2">
      <c r="A435" s="49"/>
    </row>
    <row r="436" spans="1:1" ht="12.75" customHeight="1" x14ac:dyDescent="0.2">
      <c r="A436" s="49"/>
    </row>
    <row r="437" spans="1:1" ht="12.75" customHeight="1" x14ac:dyDescent="0.2">
      <c r="A437" s="49"/>
    </row>
    <row r="438" spans="1:1" ht="12.75" customHeight="1" x14ac:dyDescent="0.2">
      <c r="A438" s="49"/>
    </row>
    <row r="439" spans="1:1" ht="12.75" customHeight="1" x14ac:dyDescent="0.2">
      <c r="A439" s="49"/>
    </row>
    <row r="440" spans="1:1" ht="12.75" customHeight="1" x14ac:dyDescent="0.2">
      <c r="A440" s="49"/>
    </row>
    <row r="441" spans="1:1" ht="12.75" customHeight="1" x14ac:dyDescent="0.2">
      <c r="A441" s="49"/>
    </row>
    <row r="442" spans="1:1" ht="12.75" customHeight="1" x14ac:dyDescent="0.2">
      <c r="A442" s="49"/>
    </row>
    <row r="443" spans="1:1" ht="12.75" customHeight="1" x14ac:dyDescent="0.2">
      <c r="A443" s="49"/>
    </row>
    <row r="444" spans="1:1" ht="12.75" customHeight="1" x14ac:dyDescent="0.2">
      <c r="A444" s="49"/>
    </row>
    <row r="445" spans="1:1" ht="12.75" customHeight="1" x14ac:dyDescent="0.2">
      <c r="A445" s="49"/>
    </row>
    <row r="446" spans="1:1" ht="12.75" customHeight="1" x14ac:dyDescent="0.2">
      <c r="A446" s="49"/>
    </row>
    <row r="447" spans="1:1" ht="12.75" customHeight="1" x14ac:dyDescent="0.2">
      <c r="A447" s="49"/>
    </row>
    <row r="448" spans="1:1" ht="12.75" customHeight="1" x14ac:dyDescent="0.2">
      <c r="A448" s="49"/>
    </row>
    <row r="449" spans="1:1" ht="12.75" customHeight="1" x14ac:dyDescent="0.2">
      <c r="A449" s="49"/>
    </row>
    <row r="450" spans="1:1" ht="12.75" customHeight="1" x14ac:dyDescent="0.2">
      <c r="A450" s="49"/>
    </row>
    <row r="451" spans="1:1" ht="12.75" customHeight="1" x14ac:dyDescent="0.2">
      <c r="A451" s="49"/>
    </row>
    <row r="452" spans="1:1" ht="12.75" customHeight="1" x14ac:dyDescent="0.2">
      <c r="A452" s="49"/>
    </row>
    <row r="453" spans="1:1" ht="12.75" customHeight="1" x14ac:dyDescent="0.2">
      <c r="A453" s="49"/>
    </row>
    <row r="454" spans="1:1" ht="12.75" customHeight="1" x14ac:dyDescent="0.2">
      <c r="A454" s="49"/>
    </row>
    <row r="455" spans="1:1" ht="12.75" customHeight="1" x14ac:dyDescent="0.2">
      <c r="A455" s="49"/>
    </row>
    <row r="456" spans="1:1" ht="12.75" customHeight="1" x14ac:dyDescent="0.2">
      <c r="A456" s="49"/>
    </row>
    <row r="457" spans="1:1" ht="12.75" customHeight="1" x14ac:dyDescent="0.2">
      <c r="A457" s="49"/>
    </row>
    <row r="458" spans="1:1" ht="12.75" customHeight="1" x14ac:dyDescent="0.2">
      <c r="A458" s="49"/>
    </row>
    <row r="459" spans="1:1" ht="12.75" customHeight="1" x14ac:dyDescent="0.2">
      <c r="A459" s="49"/>
    </row>
    <row r="460" spans="1:1" ht="12.75" customHeight="1" x14ac:dyDescent="0.2">
      <c r="A460" s="49"/>
    </row>
    <row r="461" spans="1:1" ht="12.75" customHeight="1" x14ac:dyDescent="0.2">
      <c r="A461" s="49"/>
    </row>
    <row r="462" spans="1:1" ht="12.75" customHeight="1" x14ac:dyDescent="0.2">
      <c r="A462" s="49"/>
    </row>
    <row r="463" spans="1:1" ht="12.75" customHeight="1" x14ac:dyDescent="0.2">
      <c r="A463" s="49"/>
    </row>
    <row r="464" spans="1:1" ht="12.75" customHeight="1" x14ac:dyDescent="0.2">
      <c r="A464" s="49"/>
    </row>
    <row r="465" spans="1:1" ht="12.75" customHeight="1" x14ac:dyDescent="0.2">
      <c r="A465" s="49"/>
    </row>
    <row r="466" spans="1:1" ht="12.75" customHeight="1" x14ac:dyDescent="0.2">
      <c r="A466" s="49"/>
    </row>
    <row r="467" spans="1:1" ht="12.75" customHeight="1" x14ac:dyDescent="0.2">
      <c r="A467" s="49"/>
    </row>
    <row r="468" spans="1:1" ht="12.75" customHeight="1" x14ac:dyDescent="0.2">
      <c r="A468" s="49"/>
    </row>
    <row r="469" spans="1:1" ht="12.75" customHeight="1" x14ac:dyDescent="0.2">
      <c r="A469" s="49"/>
    </row>
    <row r="470" spans="1:1" ht="12.75" customHeight="1" x14ac:dyDescent="0.2">
      <c r="A470" s="49"/>
    </row>
    <row r="471" spans="1:1" ht="12.75" customHeight="1" x14ac:dyDescent="0.2">
      <c r="A471" s="49"/>
    </row>
    <row r="472" spans="1:1" ht="12.75" customHeight="1" x14ac:dyDescent="0.2">
      <c r="A472" s="49"/>
    </row>
    <row r="473" spans="1:1" ht="12.75" customHeight="1" x14ac:dyDescent="0.2">
      <c r="A473" s="49"/>
    </row>
    <row r="474" spans="1:1" ht="12.75" customHeight="1" x14ac:dyDescent="0.2">
      <c r="A474" s="49"/>
    </row>
    <row r="475" spans="1:1" ht="12.75" customHeight="1" x14ac:dyDescent="0.2">
      <c r="A475" s="49"/>
    </row>
    <row r="476" spans="1:1" ht="12.75" customHeight="1" x14ac:dyDescent="0.2">
      <c r="A476" s="49"/>
    </row>
    <row r="477" spans="1:1" ht="12.75" customHeight="1" x14ac:dyDescent="0.2">
      <c r="A477" s="49"/>
    </row>
    <row r="478" spans="1:1" ht="12.75" customHeight="1" x14ac:dyDescent="0.2">
      <c r="A478" s="49"/>
    </row>
    <row r="479" spans="1:1" ht="12.75" customHeight="1" x14ac:dyDescent="0.2">
      <c r="A479" s="49"/>
    </row>
    <row r="480" spans="1:1" ht="12.75" customHeight="1" x14ac:dyDescent="0.2">
      <c r="A480" s="49"/>
    </row>
    <row r="481" spans="1:1" ht="12.75" customHeight="1" x14ac:dyDescent="0.2">
      <c r="A481" s="49"/>
    </row>
    <row r="482" spans="1:1" ht="12.75" customHeight="1" x14ac:dyDescent="0.2">
      <c r="A482" s="49"/>
    </row>
    <row r="483" spans="1:1" ht="12.75" customHeight="1" x14ac:dyDescent="0.2">
      <c r="A483" s="49"/>
    </row>
    <row r="484" spans="1:1" ht="12.75" customHeight="1" x14ac:dyDescent="0.2">
      <c r="A484" s="49"/>
    </row>
    <row r="485" spans="1:1" ht="12.75" customHeight="1" x14ac:dyDescent="0.2">
      <c r="A485" s="49"/>
    </row>
    <row r="486" spans="1:1" ht="12.75" customHeight="1" x14ac:dyDescent="0.2">
      <c r="A486" s="49"/>
    </row>
    <row r="487" spans="1:1" ht="12.75" customHeight="1" x14ac:dyDescent="0.2">
      <c r="A487" s="49"/>
    </row>
    <row r="488" spans="1:1" ht="12.75" customHeight="1" x14ac:dyDescent="0.2">
      <c r="A488" s="49"/>
    </row>
    <row r="489" spans="1:1" ht="12.75" customHeight="1" x14ac:dyDescent="0.2">
      <c r="A489" s="49"/>
    </row>
    <row r="490" spans="1:1" ht="12.75" customHeight="1" x14ac:dyDescent="0.2">
      <c r="A490" s="49"/>
    </row>
    <row r="491" spans="1:1" ht="12.75" customHeight="1" x14ac:dyDescent="0.2">
      <c r="A491" s="49"/>
    </row>
    <row r="492" spans="1:1" ht="12.75" customHeight="1" x14ac:dyDescent="0.2">
      <c r="A492" s="49"/>
    </row>
    <row r="493" spans="1:1" ht="12.75" customHeight="1" x14ac:dyDescent="0.2">
      <c r="A493" s="49"/>
    </row>
    <row r="494" spans="1:1" ht="12.75" customHeight="1" x14ac:dyDescent="0.2">
      <c r="A494" s="49"/>
    </row>
    <row r="495" spans="1:1" ht="12.75" customHeight="1" x14ac:dyDescent="0.2">
      <c r="A495" s="49"/>
    </row>
    <row r="496" spans="1:1" ht="12.75" customHeight="1" x14ac:dyDescent="0.2">
      <c r="A496" s="49"/>
    </row>
    <row r="497" spans="1:1" ht="12.75" customHeight="1" x14ac:dyDescent="0.2">
      <c r="A497" s="49"/>
    </row>
    <row r="498" spans="1:1" ht="12.75" customHeight="1" x14ac:dyDescent="0.2">
      <c r="A498" s="49"/>
    </row>
    <row r="499" spans="1:1" ht="12.75" customHeight="1" x14ac:dyDescent="0.2">
      <c r="A499" s="49"/>
    </row>
    <row r="500" spans="1:1" ht="12.75" customHeight="1" x14ac:dyDescent="0.2">
      <c r="A500" s="49"/>
    </row>
    <row r="501" spans="1:1" ht="12.75" customHeight="1" x14ac:dyDescent="0.2">
      <c r="A501" s="49"/>
    </row>
    <row r="502" spans="1:1" ht="12.75" customHeight="1" x14ac:dyDescent="0.2">
      <c r="A502" s="49"/>
    </row>
    <row r="503" spans="1:1" ht="12.75" customHeight="1" x14ac:dyDescent="0.2">
      <c r="A503" s="49"/>
    </row>
    <row r="504" spans="1:1" ht="12.75" customHeight="1" x14ac:dyDescent="0.2">
      <c r="A504" s="49"/>
    </row>
    <row r="505" spans="1:1" ht="12.75" customHeight="1" x14ac:dyDescent="0.2">
      <c r="A505" s="49"/>
    </row>
    <row r="506" spans="1:1" ht="12.75" customHeight="1" x14ac:dyDescent="0.2">
      <c r="A506" s="49"/>
    </row>
    <row r="507" spans="1:1" ht="12.75" customHeight="1" x14ac:dyDescent="0.2">
      <c r="A507" s="49"/>
    </row>
    <row r="508" spans="1:1" ht="12.75" customHeight="1" x14ac:dyDescent="0.2">
      <c r="A508" s="49"/>
    </row>
    <row r="509" spans="1:1" ht="12.75" customHeight="1" x14ac:dyDescent="0.2">
      <c r="A509" s="49"/>
    </row>
    <row r="510" spans="1:1" ht="12.75" customHeight="1" x14ac:dyDescent="0.2">
      <c r="A510" s="49"/>
    </row>
    <row r="511" spans="1:1" ht="12.75" customHeight="1" x14ac:dyDescent="0.2">
      <c r="A511" s="49"/>
    </row>
    <row r="512" spans="1:1" ht="12.75" customHeight="1" x14ac:dyDescent="0.2">
      <c r="A512" s="49"/>
    </row>
    <row r="513" spans="1:1" ht="12.75" customHeight="1" x14ac:dyDescent="0.2">
      <c r="A513" s="49"/>
    </row>
    <row r="514" spans="1:1" ht="12.75" customHeight="1" x14ac:dyDescent="0.2">
      <c r="A514" s="49"/>
    </row>
    <row r="515" spans="1:1" ht="12.75" customHeight="1" x14ac:dyDescent="0.2">
      <c r="A515" s="49"/>
    </row>
    <row r="516" spans="1:1" ht="12.75" customHeight="1" x14ac:dyDescent="0.2">
      <c r="A516" s="49"/>
    </row>
    <row r="517" spans="1:1" ht="12.75" customHeight="1" x14ac:dyDescent="0.2">
      <c r="A517" s="49"/>
    </row>
    <row r="518" spans="1:1" ht="12.75" customHeight="1" x14ac:dyDescent="0.2">
      <c r="A518" s="49"/>
    </row>
    <row r="519" spans="1:1" ht="12.75" customHeight="1" x14ac:dyDescent="0.2">
      <c r="A519" s="49"/>
    </row>
    <row r="520" spans="1:1" ht="12.75" customHeight="1" x14ac:dyDescent="0.2">
      <c r="A520" s="49"/>
    </row>
    <row r="521" spans="1:1" ht="12.75" customHeight="1" x14ac:dyDescent="0.2">
      <c r="A521" s="49"/>
    </row>
    <row r="522" spans="1:1" ht="12.75" customHeight="1" x14ac:dyDescent="0.2">
      <c r="A522" s="49"/>
    </row>
    <row r="523" spans="1:1" ht="12.75" customHeight="1" x14ac:dyDescent="0.2">
      <c r="A523" s="49"/>
    </row>
    <row r="524" spans="1:1" ht="12.75" customHeight="1" x14ac:dyDescent="0.2">
      <c r="A524" s="49"/>
    </row>
    <row r="525" spans="1:1" ht="12.75" customHeight="1" x14ac:dyDescent="0.2">
      <c r="A525" s="49"/>
    </row>
    <row r="526" spans="1:1" ht="12.75" customHeight="1" x14ac:dyDescent="0.2">
      <c r="A526" s="49"/>
    </row>
    <row r="527" spans="1:1" ht="12.75" customHeight="1" x14ac:dyDescent="0.2">
      <c r="A527" s="49"/>
    </row>
    <row r="528" spans="1:1" ht="12.75" customHeight="1" x14ac:dyDescent="0.2">
      <c r="A528" s="49"/>
    </row>
    <row r="529" spans="1:1" ht="12.75" customHeight="1" x14ac:dyDescent="0.2">
      <c r="A529" s="49"/>
    </row>
    <row r="530" spans="1:1" ht="12.75" customHeight="1" x14ac:dyDescent="0.2">
      <c r="A530" s="49"/>
    </row>
    <row r="531" spans="1:1" ht="12.75" customHeight="1" x14ac:dyDescent="0.2">
      <c r="A531" s="49"/>
    </row>
    <row r="532" spans="1:1" ht="12.75" customHeight="1" x14ac:dyDescent="0.2">
      <c r="A532" s="49"/>
    </row>
    <row r="533" spans="1:1" ht="12.75" customHeight="1" x14ac:dyDescent="0.2">
      <c r="A533" s="49"/>
    </row>
    <row r="534" spans="1:1" ht="12.75" customHeight="1" x14ac:dyDescent="0.2">
      <c r="A534" s="49"/>
    </row>
    <row r="535" spans="1:1" ht="12.75" customHeight="1" x14ac:dyDescent="0.2">
      <c r="A535" s="49"/>
    </row>
    <row r="536" spans="1:1" ht="12.75" customHeight="1" x14ac:dyDescent="0.2">
      <c r="A536" s="49"/>
    </row>
    <row r="537" spans="1:1" ht="12.75" customHeight="1" x14ac:dyDescent="0.2">
      <c r="A537" s="49"/>
    </row>
    <row r="538" spans="1:1" ht="12.75" customHeight="1" x14ac:dyDescent="0.2">
      <c r="A538" s="49"/>
    </row>
    <row r="539" spans="1:1" ht="12.75" customHeight="1" x14ac:dyDescent="0.2">
      <c r="A539" s="49"/>
    </row>
    <row r="540" spans="1:1" ht="12.75" customHeight="1" x14ac:dyDescent="0.2">
      <c r="A540" s="49"/>
    </row>
    <row r="541" spans="1:1" ht="12.75" customHeight="1" x14ac:dyDescent="0.2">
      <c r="A541" s="49"/>
    </row>
    <row r="542" spans="1:1" ht="12.75" customHeight="1" x14ac:dyDescent="0.2">
      <c r="A542" s="49"/>
    </row>
    <row r="543" spans="1:1" ht="12.75" customHeight="1" x14ac:dyDescent="0.2">
      <c r="A543" s="49"/>
    </row>
    <row r="544" spans="1:1" ht="12.75" customHeight="1" x14ac:dyDescent="0.2">
      <c r="A544" s="49"/>
    </row>
    <row r="545" spans="1:1" ht="12.75" customHeight="1" x14ac:dyDescent="0.2">
      <c r="A545" s="49"/>
    </row>
    <row r="546" spans="1:1" ht="12.75" customHeight="1" x14ac:dyDescent="0.2">
      <c r="A546" s="49"/>
    </row>
    <row r="547" spans="1:1" ht="12.75" customHeight="1" x14ac:dyDescent="0.2">
      <c r="A547" s="49"/>
    </row>
    <row r="548" spans="1:1" ht="12.75" customHeight="1" x14ac:dyDescent="0.2">
      <c r="A548" s="49"/>
    </row>
    <row r="549" spans="1:1" ht="12.75" customHeight="1" x14ac:dyDescent="0.2">
      <c r="A549" s="49"/>
    </row>
    <row r="550" spans="1:1" ht="12.75" customHeight="1" x14ac:dyDescent="0.2">
      <c r="A550" s="49"/>
    </row>
    <row r="551" spans="1:1" ht="12.75" customHeight="1" x14ac:dyDescent="0.2">
      <c r="A551" s="49"/>
    </row>
    <row r="552" spans="1:1" ht="12.75" customHeight="1" x14ac:dyDescent="0.2">
      <c r="A552" s="49"/>
    </row>
    <row r="553" spans="1:1" ht="12.75" customHeight="1" x14ac:dyDescent="0.2">
      <c r="A553" s="49"/>
    </row>
    <row r="554" spans="1:1" ht="12.75" customHeight="1" x14ac:dyDescent="0.2">
      <c r="A554" s="49"/>
    </row>
    <row r="555" spans="1:1" ht="12.75" customHeight="1" x14ac:dyDescent="0.2">
      <c r="A555" s="49"/>
    </row>
    <row r="556" spans="1:1" ht="12.75" customHeight="1" x14ac:dyDescent="0.2">
      <c r="A556" s="49"/>
    </row>
    <row r="557" spans="1:1" ht="12.75" customHeight="1" x14ac:dyDescent="0.2">
      <c r="A557" s="49"/>
    </row>
    <row r="558" spans="1:1" ht="12.75" customHeight="1" x14ac:dyDescent="0.2">
      <c r="A558" s="49"/>
    </row>
    <row r="559" spans="1:1" ht="12.75" customHeight="1" x14ac:dyDescent="0.2">
      <c r="A559" s="49"/>
    </row>
    <row r="560" spans="1:1" ht="12.75" customHeight="1" x14ac:dyDescent="0.2">
      <c r="A560" s="49"/>
    </row>
    <row r="561" spans="1:1" ht="12.75" customHeight="1" x14ac:dyDescent="0.2">
      <c r="A561" s="49"/>
    </row>
    <row r="562" spans="1:1" ht="12.75" customHeight="1" x14ac:dyDescent="0.2">
      <c r="A562" s="49"/>
    </row>
    <row r="563" spans="1:1" ht="12.75" customHeight="1" x14ac:dyDescent="0.2">
      <c r="A563" s="49"/>
    </row>
    <row r="564" spans="1:1" ht="12.75" customHeight="1" x14ac:dyDescent="0.2">
      <c r="A564" s="49"/>
    </row>
    <row r="565" spans="1:1" ht="12.75" customHeight="1" x14ac:dyDescent="0.2">
      <c r="A565" s="49"/>
    </row>
    <row r="566" spans="1:1" ht="12.75" customHeight="1" x14ac:dyDescent="0.2">
      <c r="A566" s="49"/>
    </row>
    <row r="567" spans="1:1" ht="12.75" customHeight="1" x14ac:dyDescent="0.2">
      <c r="A567" s="49"/>
    </row>
    <row r="568" spans="1:1" ht="12.75" customHeight="1" x14ac:dyDescent="0.2">
      <c r="A568" s="49"/>
    </row>
    <row r="569" spans="1:1" ht="12.75" customHeight="1" x14ac:dyDescent="0.2">
      <c r="A569" s="49"/>
    </row>
    <row r="570" spans="1:1" ht="12.75" customHeight="1" x14ac:dyDescent="0.2">
      <c r="A570" s="49"/>
    </row>
    <row r="571" spans="1:1" ht="12.75" customHeight="1" x14ac:dyDescent="0.2">
      <c r="A571" s="49"/>
    </row>
    <row r="572" spans="1:1" ht="12.75" customHeight="1" x14ac:dyDescent="0.2">
      <c r="A572" s="49"/>
    </row>
    <row r="573" spans="1:1" ht="12.75" customHeight="1" x14ac:dyDescent="0.2">
      <c r="A573" s="49"/>
    </row>
    <row r="574" spans="1:1" ht="12.75" customHeight="1" x14ac:dyDescent="0.2">
      <c r="A574" s="49"/>
    </row>
    <row r="575" spans="1:1" ht="12.75" customHeight="1" x14ac:dyDescent="0.2">
      <c r="A575" s="49"/>
    </row>
    <row r="576" spans="1:1" ht="12.75" customHeight="1" x14ac:dyDescent="0.2">
      <c r="A576" s="49"/>
    </row>
    <row r="577" spans="1:1" ht="12.75" customHeight="1" x14ac:dyDescent="0.2">
      <c r="A577" s="49"/>
    </row>
    <row r="578" spans="1:1" ht="12.75" customHeight="1" x14ac:dyDescent="0.2">
      <c r="A578" s="49"/>
    </row>
    <row r="579" spans="1:1" ht="12.75" customHeight="1" x14ac:dyDescent="0.2">
      <c r="A579" s="49"/>
    </row>
    <row r="580" spans="1:1" ht="12.75" customHeight="1" x14ac:dyDescent="0.2">
      <c r="A580" s="49"/>
    </row>
    <row r="581" spans="1:1" ht="12.75" customHeight="1" x14ac:dyDescent="0.2">
      <c r="A581" s="49"/>
    </row>
    <row r="582" spans="1:1" ht="12.75" customHeight="1" x14ac:dyDescent="0.2">
      <c r="A582" s="49"/>
    </row>
    <row r="583" spans="1:1" ht="12.75" customHeight="1" x14ac:dyDescent="0.2">
      <c r="A583" s="49"/>
    </row>
    <row r="584" spans="1:1" ht="12.75" customHeight="1" x14ac:dyDescent="0.2">
      <c r="A584" s="49"/>
    </row>
    <row r="585" spans="1:1" ht="12.75" customHeight="1" x14ac:dyDescent="0.2">
      <c r="A585" s="49"/>
    </row>
    <row r="586" spans="1:1" ht="12.75" customHeight="1" x14ac:dyDescent="0.2">
      <c r="A586" s="49"/>
    </row>
    <row r="587" spans="1:1" ht="12.75" customHeight="1" x14ac:dyDescent="0.2">
      <c r="A587" s="49"/>
    </row>
    <row r="588" spans="1:1" ht="12.75" customHeight="1" x14ac:dyDescent="0.2">
      <c r="A588" s="49"/>
    </row>
    <row r="589" spans="1:1" ht="12.75" customHeight="1" x14ac:dyDescent="0.2">
      <c r="A589" s="49"/>
    </row>
    <row r="590" spans="1:1" ht="12.75" customHeight="1" x14ac:dyDescent="0.2">
      <c r="A590" s="49"/>
    </row>
    <row r="591" spans="1:1" ht="12.75" customHeight="1" x14ac:dyDescent="0.2">
      <c r="A591" s="49"/>
    </row>
    <row r="592" spans="1:1" ht="12.75" customHeight="1" x14ac:dyDescent="0.2">
      <c r="A592" s="49"/>
    </row>
    <row r="593" spans="1:1" ht="12.75" customHeight="1" x14ac:dyDescent="0.2">
      <c r="A593" s="49"/>
    </row>
    <row r="594" spans="1:1" ht="12.75" customHeight="1" x14ac:dyDescent="0.2">
      <c r="A594" s="49"/>
    </row>
    <row r="595" spans="1:1" ht="12.75" customHeight="1" x14ac:dyDescent="0.2">
      <c r="A595" s="49"/>
    </row>
    <row r="596" spans="1:1" ht="12.75" customHeight="1" x14ac:dyDescent="0.2">
      <c r="A596" s="49"/>
    </row>
    <row r="597" spans="1:1" ht="12.75" customHeight="1" x14ac:dyDescent="0.2">
      <c r="A597" s="49"/>
    </row>
    <row r="598" spans="1:1" ht="12.75" customHeight="1" x14ac:dyDescent="0.2">
      <c r="A598" s="49"/>
    </row>
    <row r="599" spans="1:1" ht="12.75" customHeight="1" x14ac:dyDescent="0.2">
      <c r="A599" s="49"/>
    </row>
    <row r="600" spans="1:1" ht="12.75" customHeight="1" x14ac:dyDescent="0.2">
      <c r="A600" s="49"/>
    </row>
    <row r="601" spans="1:1" ht="12.75" customHeight="1" x14ac:dyDescent="0.2">
      <c r="A601" s="49"/>
    </row>
    <row r="602" spans="1:1" ht="12.75" customHeight="1" x14ac:dyDescent="0.2">
      <c r="A602" s="49"/>
    </row>
    <row r="603" spans="1:1" ht="12.75" customHeight="1" x14ac:dyDescent="0.2">
      <c r="A603" s="49"/>
    </row>
    <row r="604" spans="1:1" ht="12.75" customHeight="1" x14ac:dyDescent="0.2">
      <c r="A604" s="49"/>
    </row>
    <row r="605" spans="1:1" ht="12.75" customHeight="1" x14ac:dyDescent="0.2">
      <c r="A605" s="49"/>
    </row>
    <row r="606" spans="1:1" ht="12.75" customHeight="1" x14ac:dyDescent="0.2">
      <c r="A606" s="49"/>
    </row>
    <row r="607" spans="1:1" ht="12.75" customHeight="1" x14ac:dyDescent="0.2">
      <c r="A607" s="49"/>
    </row>
    <row r="608" spans="1:1" ht="12.75" customHeight="1" x14ac:dyDescent="0.2">
      <c r="A608" s="49"/>
    </row>
    <row r="609" spans="1:1" ht="12.75" customHeight="1" x14ac:dyDescent="0.2">
      <c r="A609" s="49"/>
    </row>
    <row r="610" spans="1:1" ht="12.75" customHeight="1" x14ac:dyDescent="0.2">
      <c r="A610" s="49"/>
    </row>
    <row r="611" spans="1:1" ht="12.75" customHeight="1" x14ac:dyDescent="0.2">
      <c r="A611" s="49"/>
    </row>
    <row r="612" spans="1:1" ht="12.75" customHeight="1" x14ac:dyDescent="0.2">
      <c r="A612" s="49"/>
    </row>
    <row r="613" spans="1:1" ht="12.75" customHeight="1" x14ac:dyDescent="0.2">
      <c r="A613" s="49"/>
    </row>
    <row r="614" spans="1:1" ht="12.75" customHeight="1" x14ac:dyDescent="0.2">
      <c r="A614" s="49"/>
    </row>
    <row r="615" spans="1:1" ht="12.75" customHeight="1" x14ac:dyDescent="0.2">
      <c r="A615" s="49"/>
    </row>
    <row r="616" spans="1:1" ht="12.75" customHeight="1" x14ac:dyDescent="0.2">
      <c r="A616" s="49"/>
    </row>
    <row r="617" spans="1:1" ht="12.75" customHeight="1" x14ac:dyDescent="0.2">
      <c r="A617" s="49"/>
    </row>
    <row r="618" spans="1:1" ht="12.75" customHeight="1" x14ac:dyDescent="0.2">
      <c r="A618" s="49"/>
    </row>
    <row r="619" spans="1:1" ht="12.75" customHeight="1" x14ac:dyDescent="0.2">
      <c r="A619" s="49"/>
    </row>
    <row r="620" spans="1:1" ht="12.75" customHeight="1" x14ac:dyDescent="0.2">
      <c r="A620" s="49"/>
    </row>
    <row r="621" spans="1:1" ht="12.75" customHeight="1" x14ac:dyDescent="0.2">
      <c r="A621" s="49"/>
    </row>
    <row r="622" spans="1:1" ht="12.75" customHeight="1" x14ac:dyDescent="0.2">
      <c r="A622" s="49"/>
    </row>
    <row r="623" spans="1:1" ht="12.75" customHeight="1" x14ac:dyDescent="0.2">
      <c r="A623" s="49"/>
    </row>
    <row r="624" spans="1:1" ht="12.75" customHeight="1" x14ac:dyDescent="0.2">
      <c r="A624" s="49"/>
    </row>
    <row r="625" spans="1:1" ht="12.75" customHeight="1" x14ac:dyDescent="0.2">
      <c r="A625" s="49"/>
    </row>
    <row r="626" spans="1:1" ht="12.75" customHeight="1" x14ac:dyDescent="0.2">
      <c r="A626" s="49"/>
    </row>
    <row r="627" spans="1:1" ht="12.75" customHeight="1" x14ac:dyDescent="0.2">
      <c r="A627" s="49"/>
    </row>
    <row r="628" spans="1:1" ht="12.75" customHeight="1" x14ac:dyDescent="0.2">
      <c r="A628" s="49"/>
    </row>
    <row r="629" spans="1:1" ht="12.75" customHeight="1" x14ac:dyDescent="0.2">
      <c r="A629" s="49"/>
    </row>
    <row r="630" spans="1:1" ht="12.75" customHeight="1" x14ac:dyDescent="0.2">
      <c r="A630" s="49"/>
    </row>
    <row r="631" spans="1:1" ht="12.75" customHeight="1" x14ac:dyDescent="0.2">
      <c r="A631" s="49"/>
    </row>
    <row r="632" spans="1:1" ht="12.75" customHeight="1" x14ac:dyDescent="0.2">
      <c r="A632" s="49"/>
    </row>
    <row r="633" spans="1:1" ht="12.75" customHeight="1" x14ac:dyDescent="0.2">
      <c r="A633" s="49"/>
    </row>
    <row r="634" spans="1:1" ht="12.75" customHeight="1" x14ac:dyDescent="0.2">
      <c r="A634" s="49"/>
    </row>
    <row r="635" spans="1:1" ht="12.75" customHeight="1" x14ac:dyDescent="0.2">
      <c r="A635" s="49"/>
    </row>
    <row r="636" spans="1:1" ht="12.75" customHeight="1" x14ac:dyDescent="0.2">
      <c r="A636" s="49"/>
    </row>
    <row r="637" spans="1:1" ht="12.75" customHeight="1" x14ac:dyDescent="0.2">
      <c r="A637" s="49"/>
    </row>
    <row r="638" spans="1:1" ht="12.75" customHeight="1" x14ac:dyDescent="0.2">
      <c r="A638" s="49"/>
    </row>
    <row r="639" spans="1:1" ht="12.75" customHeight="1" x14ac:dyDescent="0.2">
      <c r="A639" s="49"/>
    </row>
    <row r="640" spans="1:1" ht="12.75" customHeight="1" x14ac:dyDescent="0.2">
      <c r="A640" s="49"/>
    </row>
    <row r="641" spans="1:1" ht="12.75" customHeight="1" x14ac:dyDescent="0.2">
      <c r="A641" s="49"/>
    </row>
    <row r="642" spans="1:1" ht="12.75" customHeight="1" x14ac:dyDescent="0.2">
      <c r="A642" s="49"/>
    </row>
    <row r="643" spans="1:1" ht="12.75" customHeight="1" x14ac:dyDescent="0.2">
      <c r="A643" s="49"/>
    </row>
    <row r="644" spans="1:1" ht="12.75" customHeight="1" x14ac:dyDescent="0.2">
      <c r="A644" s="49"/>
    </row>
    <row r="645" spans="1:1" ht="12.75" customHeight="1" x14ac:dyDescent="0.2">
      <c r="A645" s="49"/>
    </row>
    <row r="646" spans="1:1" ht="12.75" customHeight="1" x14ac:dyDescent="0.2">
      <c r="A646" s="49"/>
    </row>
    <row r="647" spans="1:1" ht="12.75" customHeight="1" x14ac:dyDescent="0.2">
      <c r="A647" s="49"/>
    </row>
    <row r="648" spans="1:1" ht="12.75" customHeight="1" x14ac:dyDescent="0.2">
      <c r="A648" s="49"/>
    </row>
    <row r="649" spans="1:1" ht="12.75" customHeight="1" x14ac:dyDescent="0.2">
      <c r="A649" s="49"/>
    </row>
    <row r="650" spans="1:1" ht="12.75" customHeight="1" x14ac:dyDescent="0.2">
      <c r="A650" s="49"/>
    </row>
    <row r="651" spans="1:1" ht="12.75" customHeight="1" x14ac:dyDescent="0.2">
      <c r="A651" s="49"/>
    </row>
    <row r="652" spans="1:1" ht="12.75" customHeight="1" x14ac:dyDescent="0.2">
      <c r="A652" s="49"/>
    </row>
    <row r="653" spans="1:1" ht="12.75" customHeight="1" x14ac:dyDescent="0.2">
      <c r="A653" s="49"/>
    </row>
    <row r="654" spans="1:1" ht="12.75" customHeight="1" x14ac:dyDescent="0.2">
      <c r="A654" s="49"/>
    </row>
    <row r="655" spans="1:1" ht="12.75" customHeight="1" x14ac:dyDescent="0.2">
      <c r="A655" s="49"/>
    </row>
    <row r="656" spans="1:1" ht="12.75" customHeight="1" x14ac:dyDescent="0.2">
      <c r="A656" s="49"/>
    </row>
    <row r="657" spans="1:1" ht="12.75" customHeight="1" x14ac:dyDescent="0.2">
      <c r="A657" s="49"/>
    </row>
    <row r="658" spans="1:1" ht="12.75" customHeight="1" x14ac:dyDescent="0.2">
      <c r="A658" s="49"/>
    </row>
    <row r="659" spans="1:1" ht="12.75" customHeight="1" x14ac:dyDescent="0.2">
      <c r="A659" s="49"/>
    </row>
    <row r="660" spans="1:1" ht="12.75" customHeight="1" x14ac:dyDescent="0.2">
      <c r="A660" s="49"/>
    </row>
    <row r="661" spans="1:1" ht="12.75" customHeight="1" x14ac:dyDescent="0.2">
      <c r="A661" s="49"/>
    </row>
    <row r="662" spans="1:1" ht="12.75" customHeight="1" x14ac:dyDescent="0.2">
      <c r="A662" s="49"/>
    </row>
    <row r="663" spans="1:1" ht="12.75" customHeight="1" x14ac:dyDescent="0.2">
      <c r="A663" s="49"/>
    </row>
    <row r="664" spans="1:1" ht="12.75" customHeight="1" x14ac:dyDescent="0.2">
      <c r="A664" s="49"/>
    </row>
    <row r="665" spans="1:1" ht="12.75" customHeight="1" x14ac:dyDescent="0.2">
      <c r="A665" s="49"/>
    </row>
    <row r="666" spans="1:1" ht="12.75" customHeight="1" x14ac:dyDescent="0.2">
      <c r="A666" s="49"/>
    </row>
    <row r="667" spans="1:1" ht="12.75" customHeight="1" x14ac:dyDescent="0.2">
      <c r="A667" s="49"/>
    </row>
    <row r="668" spans="1:1" ht="12.75" customHeight="1" x14ac:dyDescent="0.2">
      <c r="A668" s="49"/>
    </row>
    <row r="669" spans="1:1" ht="12.75" customHeight="1" x14ac:dyDescent="0.2">
      <c r="A669" s="49"/>
    </row>
    <row r="670" spans="1:1" ht="12.75" customHeight="1" x14ac:dyDescent="0.2">
      <c r="A670" s="49"/>
    </row>
    <row r="671" spans="1:1" ht="12.75" customHeight="1" x14ac:dyDescent="0.2">
      <c r="A671" s="49"/>
    </row>
    <row r="672" spans="1:1" ht="12.75" customHeight="1" x14ac:dyDescent="0.2">
      <c r="A672" s="49"/>
    </row>
    <row r="673" spans="1:1" ht="12.75" customHeight="1" x14ac:dyDescent="0.2">
      <c r="A673" s="49"/>
    </row>
    <row r="674" spans="1:1" ht="12.75" customHeight="1" x14ac:dyDescent="0.2">
      <c r="A674" s="49"/>
    </row>
    <row r="675" spans="1:1" ht="12.75" customHeight="1" x14ac:dyDescent="0.2">
      <c r="A675" s="49"/>
    </row>
    <row r="676" spans="1:1" ht="12.75" customHeight="1" x14ac:dyDescent="0.2">
      <c r="A676" s="49"/>
    </row>
    <row r="677" spans="1:1" ht="12.75" customHeight="1" x14ac:dyDescent="0.2">
      <c r="A677" s="49"/>
    </row>
    <row r="678" spans="1:1" ht="12.75" customHeight="1" x14ac:dyDescent="0.2">
      <c r="A678" s="49"/>
    </row>
    <row r="679" spans="1:1" ht="12.75" customHeight="1" x14ac:dyDescent="0.2">
      <c r="A679" s="49"/>
    </row>
    <row r="680" spans="1:1" ht="12.75" customHeight="1" x14ac:dyDescent="0.2">
      <c r="A680" s="49"/>
    </row>
    <row r="681" spans="1:1" ht="12.75" customHeight="1" x14ac:dyDescent="0.2">
      <c r="A681" s="49"/>
    </row>
    <row r="682" spans="1:1" ht="12.75" customHeight="1" x14ac:dyDescent="0.2">
      <c r="A682" s="49"/>
    </row>
    <row r="683" spans="1:1" ht="12.75" customHeight="1" x14ac:dyDescent="0.2">
      <c r="A683" s="49"/>
    </row>
    <row r="684" spans="1:1" ht="12.75" customHeight="1" x14ac:dyDescent="0.2">
      <c r="A684" s="49"/>
    </row>
    <row r="685" spans="1:1" ht="12.75" customHeight="1" x14ac:dyDescent="0.2">
      <c r="A685" s="49"/>
    </row>
    <row r="686" spans="1:1" ht="12.75" customHeight="1" x14ac:dyDescent="0.2">
      <c r="A686" s="49"/>
    </row>
    <row r="687" spans="1:1" ht="12.75" customHeight="1" x14ac:dyDescent="0.2">
      <c r="A687" s="49"/>
    </row>
    <row r="688" spans="1:1" ht="12.75" customHeight="1" x14ac:dyDescent="0.2">
      <c r="A688" s="49"/>
    </row>
    <row r="689" spans="1:1" ht="12.75" customHeight="1" x14ac:dyDescent="0.2">
      <c r="A689" s="49"/>
    </row>
    <row r="690" spans="1:1" ht="12.75" customHeight="1" x14ac:dyDescent="0.2">
      <c r="A690" s="49"/>
    </row>
    <row r="691" spans="1:1" ht="12.75" customHeight="1" x14ac:dyDescent="0.2">
      <c r="A691" s="49"/>
    </row>
    <row r="692" spans="1:1" ht="12.75" customHeight="1" x14ac:dyDescent="0.2">
      <c r="A692" s="49"/>
    </row>
    <row r="693" spans="1:1" ht="12.75" customHeight="1" x14ac:dyDescent="0.2">
      <c r="A693" s="49"/>
    </row>
    <row r="694" spans="1:1" ht="12.75" customHeight="1" x14ac:dyDescent="0.2">
      <c r="A694" s="49"/>
    </row>
    <row r="695" spans="1:1" ht="12.75" customHeight="1" x14ac:dyDescent="0.2">
      <c r="A695" s="49"/>
    </row>
    <row r="696" spans="1:1" ht="12.75" customHeight="1" x14ac:dyDescent="0.2">
      <c r="A696" s="49"/>
    </row>
    <row r="697" spans="1:1" ht="12.75" customHeight="1" x14ac:dyDescent="0.2">
      <c r="A697" s="49"/>
    </row>
    <row r="698" spans="1:1" ht="12.75" customHeight="1" x14ac:dyDescent="0.2">
      <c r="A698" s="49"/>
    </row>
    <row r="699" spans="1:1" ht="12.75" customHeight="1" x14ac:dyDescent="0.2">
      <c r="A699" s="49"/>
    </row>
    <row r="700" spans="1:1" ht="12.75" customHeight="1" x14ac:dyDescent="0.2">
      <c r="A700" s="49"/>
    </row>
    <row r="701" spans="1:1" ht="12.75" customHeight="1" x14ac:dyDescent="0.2">
      <c r="A701" s="49"/>
    </row>
    <row r="702" spans="1:1" ht="12.75" customHeight="1" x14ac:dyDescent="0.2">
      <c r="A702" s="49"/>
    </row>
    <row r="703" spans="1:1" ht="12.75" customHeight="1" x14ac:dyDescent="0.2">
      <c r="A703" s="49"/>
    </row>
    <row r="704" spans="1:1" ht="12.75" customHeight="1" x14ac:dyDescent="0.2">
      <c r="A704" s="49"/>
    </row>
    <row r="705" spans="1:1" ht="12.75" customHeight="1" x14ac:dyDescent="0.2">
      <c r="A705" s="49"/>
    </row>
    <row r="706" spans="1:1" ht="12.75" customHeight="1" x14ac:dyDescent="0.2">
      <c r="A706" s="49"/>
    </row>
    <row r="707" spans="1:1" ht="12.75" customHeight="1" x14ac:dyDescent="0.2">
      <c r="A707" s="49"/>
    </row>
    <row r="708" spans="1:1" ht="12.75" customHeight="1" x14ac:dyDescent="0.2">
      <c r="A708" s="49"/>
    </row>
    <row r="709" spans="1:1" ht="12.75" customHeight="1" x14ac:dyDescent="0.2">
      <c r="A709" s="49"/>
    </row>
    <row r="710" spans="1:1" ht="12.75" customHeight="1" x14ac:dyDescent="0.2">
      <c r="A710" s="49"/>
    </row>
    <row r="711" spans="1:1" ht="12.75" customHeight="1" x14ac:dyDescent="0.2">
      <c r="A711" s="49"/>
    </row>
    <row r="712" spans="1:1" ht="12.75" customHeight="1" x14ac:dyDescent="0.2">
      <c r="A712" s="49"/>
    </row>
    <row r="713" spans="1:1" ht="12.75" customHeight="1" x14ac:dyDescent="0.2">
      <c r="A713" s="49"/>
    </row>
    <row r="714" spans="1:1" ht="12.75" customHeight="1" x14ac:dyDescent="0.2">
      <c r="A714" s="49"/>
    </row>
    <row r="715" spans="1:1" ht="12.75" customHeight="1" x14ac:dyDescent="0.2">
      <c r="A715" s="49"/>
    </row>
    <row r="716" spans="1:1" ht="12.75" customHeight="1" x14ac:dyDescent="0.2">
      <c r="A716" s="49"/>
    </row>
    <row r="717" spans="1:1" ht="12.75" customHeight="1" x14ac:dyDescent="0.2">
      <c r="A717" s="49"/>
    </row>
    <row r="718" spans="1:1" ht="12.75" customHeight="1" x14ac:dyDescent="0.2">
      <c r="A718" s="49"/>
    </row>
    <row r="719" spans="1:1" ht="12.75" customHeight="1" x14ac:dyDescent="0.2">
      <c r="A719" s="49"/>
    </row>
    <row r="720" spans="1:1" ht="12.75" customHeight="1" x14ac:dyDescent="0.2">
      <c r="A720" s="49"/>
    </row>
    <row r="721" spans="1:1" ht="12.75" customHeight="1" x14ac:dyDescent="0.2">
      <c r="A721" s="49"/>
    </row>
    <row r="722" spans="1:1" ht="12.75" customHeight="1" x14ac:dyDescent="0.2">
      <c r="A722" s="49"/>
    </row>
    <row r="723" spans="1:1" ht="12.75" customHeight="1" x14ac:dyDescent="0.2">
      <c r="A723" s="49"/>
    </row>
    <row r="724" spans="1:1" ht="12.75" customHeight="1" x14ac:dyDescent="0.2">
      <c r="A724" s="49"/>
    </row>
    <row r="725" spans="1:1" ht="12.75" customHeight="1" x14ac:dyDescent="0.2">
      <c r="A725" s="49"/>
    </row>
    <row r="726" spans="1:1" ht="12.75" customHeight="1" x14ac:dyDescent="0.2">
      <c r="A726" s="49"/>
    </row>
    <row r="727" spans="1:1" ht="12.75" customHeight="1" x14ac:dyDescent="0.2">
      <c r="A727" s="49"/>
    </row>
    <row r="728" spans="1:1" ht="12.75" customHeight="1" x14ac:dyDescent="0.2">
      <c r="A728" s="49"/>
    </row>
    <row r="729" spans="1:1" ht="12.75" customHeight="1" x14ac:dyDescent="0.2">
      <c r="A729" s="49"/>
    </row>
    <row r="730" spans="1:1" ht="12.75" customHeight="1" x14ac:dyDescent="0.2">
      <c r="A730" s="49"/>
    </row>
    <row r="731" spans="1:1" ht="12.75" customHeight="1" x14ac:dyDescent="0.2">
      <c r="A731" s="49"/>
    </row>
    <row r="732" spans="1:1" ht="12.75" customHeight="1" x14ac:dyDescent="0.2">
      <c r="A732" s="49"/>
    </row>
    <row r="733" spans="1:1" ht="12.75" customHeight="1" x14ac:dyDescent="0.2">
      <c r="A733" s="49"/>
    </row>
    <row r="734" spans="1:1" ht="12.75" customHeight="1" x14ac:dyDescent="0.2">
      <c r="A734" s="49"/>
    </row>
    <row r="735" spans="1:1" ht="12.75" customHeight="1" x14ac:dyDescent="0.2">
      <c r="A735" s="49"/>
    </row>
    <row r="736" spans="1:1" ht="12.75" customHeight="1" x14ac:dyDescent="0.2">
      <c r="A736" s="49"/>
    </row>
    <row r="737" spans="1:1" ht="12.75" customHeight="1" x14ac:dyDescent="0.2">
      <c r="A737" s="49"/>
    </row>
    <row r="738" spans="1:1" ht="12.75" customHeight="1" x14ac:dyDescent="0.2">
      <c r="A738" s="49"/>
    </row>
    <row r="739" spans="1:1" ht="12.75" customHeight="1" x14ac:dyDescent="0.2">
      <c r="A739" s="49"/>
    </row>
    <row r="740" spans="1:1" ht="12.75" customHeight="1" x14ac:dyDescent="0.2">
      <c r="A740" s="49"/>
    </row>
    <row r="741" spans="1:1" ht="12.75" customHeight="1" x14ac:dyDescent="0.2">
      <c r="A741" s="49"/>
    </row>
    <row r="742" spans="1:1" ht="12.75" customHeight="1" x14ac:dyDescent="0.2">
      <c r="A742" s="49"/>
    </row>
    <row r="743" spans="1:1" ht="12.75" customHeight="1" x14ac:dyDescent="0.2">
      <c r="A743" s="49"/>
    </row>
    <row r="744" spans="1:1" ht="12.75" customHeight="1" x14ac:dyDescent="0.2">
      <c r="A744" s="49"/>
    </row>
    <row r="745" spans="1:1" ht="12.75" customHeight="1" x14ac:dyDescent="0.2">
      <c r="A745" s="49"/>
    </row>
    <row r="746" spans="1:1" ht="12.75" customHeight="1" x14ac:dyDescent="0.2">
      <c r="A746" s="49"/>
    </row>
    <row r="747" spans="1:1" ht="12.75" customHeight="1" x14ac:dyDescent="0.2">
      <c r="A747" s="49"/>
    </row>
    <row r="748" spans="1:1" ht="12.75" customHeight="1" x14ac:dyDescent="0.2">
      <c r="A748" s="49"/>
    </row>
    <row r="749" spans="1:1" ht="12.75" customHeight="1" x14ac:dyDescent="0.2">
      <c r="A749" s="49"/>
    </row>
    <row r="750" spans="1:1" ht="12.75" customHeight="1" x14ac:dyDescent="0.2">
      <c r="A750" s="49"/>
    </row>
    <row r="751" spans="1:1" ht="12.75" customHeight="1" x14ac:dyDescent="0.2">
      <c r="A751" s="49"/>
    </row>
    <row r="752" spans="1:1" ht="12.75" customHeight="1" x14ac:dyDescent="0.2">
      <c r="A752" s="49"/>
    </row>
    <row r="753" spans="1:1" ht="12.75" customHeight="1" x14ac:dyDescent="0.2">
      <c r="A753" s="49"/>
    </row>
    <row r="754" spans="1:1" ht="12.75" customHeight="1" x14ac:dyDescent="0.2">
      <c r="A754" s="49"/>
    </row>
    <row r="755" spans="1:1" ht="12.75" customHeight="1" x14ac:dyDescent="0.2">
      <c r="A755" s="49"/>
    </row>
    <row r="756" spans="1:1" ht="12.75" customHeight="1" x14ac:dyDescent="0.2">
      <c r="A756" s="49"/>
    </row>
    <row r="757" spans="1:1" ht="12.75" customHeight="1" x14ac:dyDescent="0.2">
      <c r="A757" s="49"/>
    </row>
    <row r="758" spans="1:1" ht="12.75" customHeight="1" x14ac:dyDescent="0.2">
      <c r="A758" s="49"/>
    </row>
    <row r="759" spans="1:1" ht="12.75" customHeight="1" x14ac:dyDescent="0.2">
      <c r="A759" s="49"/>
    </row>
    <row r="760" spans="1:1" ht="12.75" customHeight="1" x14ac:dyDescent="0.2">
      <c r="A760" s="49"/>
    </row>
    <row r="761" spans="1:1" ht="12.75" customHeight="1" x14ac:dyDescent="0.2">
      <c r="A761" s="49"/>
    </row>
    <row r="762" spans="1:1" ht="12.75" customHeight="1" x14ac:dyDescent="0.2">
      <c r="A762" s="49"/>
    </row>
    <row r="763" spans="1:1" ht="12.75" customHeight="1" x14ac:dyDescent="0.2">
      <c r="A763" s="49"/>
    </row>
    <row r="764" spans="1:1" ht="12.75" customHeight="1" x14ac:dyDescent="0.2">
      <c r="A764" s="49"/>
    </row>
    <row r="765" spans="1:1" ht="12.75" customHeight="1" x14ac:dyDescent="0.2">
      <c r="A765" s="49"/>
    </row>
    <row r="766" spans="1:1" ht="12.75" customHeight="1" x14ac:dyDescent="0.2">
      <c r="A766" s="49"/>
    </row>
    <row r="767" spans="1:1" ht="12.75" customHeight="1" x14ac:dyDescent="0.2">
      <c r="A767" s="49"/>
    </row>
    <row r="768" spans="1:1" ht="12.75" customHeight="1" x14ac:dyDescent="0.2">
      <c r="A768" s="49"/>
    </row>
    <row r="769" spans="1:1" ht="12.75" customHeight="1" x14ac:dyDescent="0.2">
      <c r="A769" s="49"/>
    </row>
    <row r="770" spans="1:1" ht="12.75" customHeight="1" x14ac:dyDescent="0.2">
      <c r="A770" s="49"/>
    </row>
    <row r="771" spans="1:1" ht="12.75" customHeight="1" x14ac:dyDescent="0.2">
      <c r="A771" s="49"/>
    </row>
    <row r="772" spans="1:1" ht="12.75" customHeight="1" x14ac:dyDescent="0.2">
      <c r="A772" s="49"/>
    </row>
    <row r="773" spans="1:1" ht="12.75" customHeight="1" x14ac:dyDescent="0.2">
      <c r="A773" s="49"/>
    </row>
    <row r="774" spans="1:1" ht="12.75" customHeight="1" x14ac:dyDescent="0.2">
      <c r="A774" s="49"/>
    </row>
    <row r="775" spans="1:1" ht="12.75" customHeight="1" x14ac:dyDescent="0.2">
      <c r="A775" s="49"/>
    </row>
    <row r="776" spans="1:1" ht="12.75" customHeight="1" x14ac:dyDescent="0.2">
      <c r="A776" s="49"/>
    </row>
    <row r="777" spans="1:1" ht="12.75" customHeight="1" x14ac:dyDescent="0.2">
      <c r="A777" s="49"/>
    </row>
    <row r="778" spans="1:1" ht="12.75" customHeight="1" x14ac:dyDescent="0.2">
      <c r="A778" s="49"/>
    </row>
    <row r="779" spans="1:1" ht="12.75" customHeight="1" x14ac:dyDescent="0.2">
      <c r="A779" s="49"/>
    </row>
    <row r="780" spans="1:1" ht="12.75" customHeight="1" x14ac:dyDescent="0.2">
      <c r="A780" s="49"/>
    </row>
    <row r="781" spans="1:1" ht="12.75" customHeight="1" x14ac:dyDescent="0.2">
      <c r="A781" s="49"/>
    </row>
    <row r="782" spans="1:1" ht="12.75" customHeight="1" x14ac:dyDescent="0.2">
      <c r="A782" s="49"/>
    </row>
    <row r="783" spans="1:1" ht="12.75" customHeight="1" x14ac:dyDescent="0.2">
      <c r="A783" s="49"/>
    </row>
    <row r="784" spans="1:1" ht="12.75" customHeight="1" x14ac:dyDescent="0.2">
      <c r="A784" s="49"/>
    </row>
    <row r="785" spans="1:1" ht="12.75" customHeight="1" x14ac:dyDescent="0.2">
      <c r="A785" s="49"/>
    </row>
    <row r="786" spans="1:1" ht="12.75" customHeight="1" x14ac:dyDescent="0.2">
      <c r="A786" s="49"/>
    </row>
    <row r="787" spans="1:1" ht="12.75" customHeight="1" x14ac:dyDescent="0.2">
      <c r="A787" s="49"/>
    </row>
    <row r="788" spans="1:1" ht="12.75" customHeight="1" x14ac:dyDescent="0.2">
      <c r="A788" s="49"/>
    </row>
    <row r="789" spans="1:1" ht="12.75" customHeight="1" x14ac:dyDescent="0.2">
      <c r="A789" s="49"/>
    </row>
    <row r="790" spans="1:1" ht="12.75" customHeight="1" x14ac:dyDescent="0.2">
      <c r="A790" s="49"/>
    </row>
    <row r="791" spans="1:1" ht="12.75" customHeight="1" x14ac:dyDescent="0.2">
      <c r="A791" s="49"/>
    </row>
    <row r="792" spans="1:1" ht="12.75" customHeight="1" x14ac:dyDescent="0.2">
      <c r="A792" s="49"/>
    </row>
    <row r="793" spans="1:1" ht="12.75" customHeight="1" x14ac:dyDescent="0.2">
      <c r="A793" s="49"/>
    </row>
    <row r="794" spans="1:1" ht="12.75" customHeight="1" x14ac:dyDescent="0.2">
      <c r="A794" s="49"/>
    </row>
    <row r="795" spans="1:1" ht="12.75" customHeight="1" x14ac:dyDescent="0.2">
      <c r="A795" s="49"/>
    </row>
    <row r="796" spans="1:1" ht="12.75" customHeight="1" x14ac:dyDescent="0.2">
      <c r="A796" s="49"/>
    </row>
    <row r="797" spans="1:1" ht="12.75" customHeight="1" x14ac:dyDescent="0.2">
      <c r="A797" s="49"/>
    </row>
    <row r="798" spans="1:1" ht="12.75" customHeight="1" x14ac:dyDescent="0.2">
      <c r="A798" s="49"/>
    </row>
    <row r="799" spans="1:1" ht="12.75" customHeight="1" x14ac:dyDescent="0.2">
      <c r="A799" s="49"/>
    </row>
    <row r="800" spans="1:1" ht="12.75" customHeight="1" x14ac:dyDescent="0.2">
      <c r="A800" s="49"/>
    </row>
    <row r="801" spans="1:1" ht="12.75" customHeight="1" x14ac:dyDescent="0.2">
      <c r="A801" s="49"/>
    </row>
    <row r="802" spans="1:1" ht="12.75" customHeight="1" x14ac:dyDescent="0.2">
      <c r="A802" s="49"/>
    </row>
    <row r="803" spans="1:1" ht="12.75" customHeight="1" x14ac:dyDescent="0.2">
      <c r="A803" s="49"/>
    </row>
    <row r="804" spans="1:1" ht="12.75" customHeight="1" x14ac:dyDescent="0.2">
      <c r="A804" s="49"/>
    </row>
    <row r="805" spans="1:1" ht="12.75" customHeight="1" x14ac:dyDescent="0.2">
      <c r="A805" s="49"/>
    </row>
    <row r="806" spans="1:1" ht="12.75" customHeight="1" x14ac:dyDescent="0.2">
      <c r="A806" s="49"/>
    </row>
    <row r="807" spans="1:1" ht="12.75" customHeight="1" x14ac:dyDescent="0.2">
      <c r="A807" s="49"/>
    </row>
    <row r="808" spans="1:1" ht="12.75" customHeight="1" x14ac:dyDescent="0.2">
      <c r="A808" s="49"/>
    </row>
    <row r="809" spans="1:1" ht="12.75" customHeight="1" x14ac:dyDescent="0.2">
      <c r="A809" s="49"/>
    </row>
    <row r="810" spans="1:1" ht="12.75" customHeight="1" x14ac:dyDescent="0.2">
      <c r="A810" s="49"/>
    </row>
    <row r="811" spans="1:1" ht="12.75" customHeight="1" x14ac:dyDescent="0.2">
      <c r="A811" s="49"/>
    </row>
    <row r="812" spans="1:1" ht="12.75" customHeight="1" x14ac:dyDescent="0.2">
      <c r="A812" s="49"/>
    </row>
    <row r="813" spans="1:1" ht="12.75" customHeight="1" x14ac:dyDescent="0.2">
      <c r="A813" s="49"/>
    </row>
    <row r="814" spans="1:1" ht="12.75" customHeight="1" x14ac:dyDescent="0.2">
      <c r="A814" s="49"/>
    </row>
    <row r="815" spans="1:1" ht="12.75" customHeight="1" x14ac:dyDescent="0.2">
      <c r="A815" s="49"/>
    </row>
    <row r="816" spans="1:1" ht="12.75" customHeight="1" x14ac:dyDescent="0.2">
      <c r="A816" s="49"/>
    </row>
    <row r="817" spans="1:1" ht="12.75" customHeight="1" x14ac:dyDescent="0.2">
      <c r="A817" s="49"/>
    </row>
    <row r="818" spans="1:1" ht="12.75" customHeight="1" x14ac:dyDescent="0.2">
      <c r="A818" s="49"/>
    </row>
    <row r="819" spans="1:1" ht="12.75" customHeight="1" x14ac:dyDescent="0.2">
      <c r="A819" s="49"/>
    </row>
    <row r="820" spans="1:1" ht="12.75" customHeight="1" x14ac:dyDescent="0.2">
      <c r="A820" s="49"/>
    </row>
    <row r="821" spans="1:1" ht="12.75" customHeight="1" x14ac:dyDescent="0.2">
      <c r="A821" s="49"/>
    </row>
    <row r="822" spans="1:1" ht="12.75" customHeight="1" x14ac:dyDescent="0.2">
      <c r="A822" s="49"/>
    </row>
    <row r="823" spans="1:1" ht="12.75" customHeight="1" x14ac:dyDescent="0.2">
      <c r="A823" s="49"/>
    </row>
    <row r="824" spans="1:1" ht="12.75" customHeight="1" x14ac:dyDescent="0.2">
      <c r="A824" s="49"/>
    </row>
    <row r="825" spans="1:1" ht="12.75" customHeight="1" x14ac:dyDescent="0.2">
      <c r="A825" s="49"/>
    </row>
    <row r="826" spans="1:1" ht="12.75" customHeight="1" x14ac:dyDescent="0.2">
      <c r="A826" s="49"/>
    </row>
    <row r="827" spans="1:1" ht="12.75" customHeight="1" x14ac:dyDescent="0.2">
      <c r="A827" s="49"/>
    </row>
    <row r="828" spans="1:1" ht="12.75" customHeight="1" x14ac:dyDescent="0.2">
      <c r="A828" s="49"/>
    </row>
    <row r="829" spans="1:1" ht="12.75" customHeight="1" x14ac:dyDescent="0.2">
      <c r="A829" s="49"/>
    </row>
    <row r="830" spans="1:1" ht="12.75" customHeight="1" x14ac:dyDescent="0.2">
      <c r="A830" s="49"/>
    </row>
    <row r="831" spans="1:1" ht="12.75" customHeight="1" x14ac:dyDescent="0.2">
      <c r="A831" s="49"/>
    </row>
    <row r="832" spans="1:1" ht="12.75" customHeight="1" x14ac:dyDescent="0.2">
      <c r="A832" s="49"/>
    </row>
    <row r="833" spans="1:1" ht="12.75" customHeight="1" x14ac:dyDescent="0.2">
      <c r="A833" s="49"/>
    </row>
    <row r="834" spans="1:1" ht="12.75" customHeight="1" x14ac:dyDescent="0.2">
      <c r="A834" s="49"/>
    </row>
    <row r="835" spans="1:1" ht="12.75" customHeight="1" x14ac:dyDescent="0.2">
      <c r="A835" s="49"/>
    </row>
    <row r="836" spans="1:1" ht="12.75" customHeight="1" x14ac:dyDescent="0.2">
      <c r="A836" s="49"/>
    </row>
    <row r="837" spans="1:1" ht="12.75" customHeight="1" x14ac:dyDescent="0.2">
      <c r="A837" s="49"/>
    </row>
    <row r="838" spans="1:1" ht="12.75" customHeight="1" x14ac:dyDescent="0.2">
      <c r="A838" s="49"/>
    </row>
    <row r="839" spans="1:1" ht="12.75" customHeight="1" x14ac:dyDescent="0.2">
      <c r="A839" s="49"/>
    </row>
    <row r="840" spans="1:1" ht="12.75" customHeight="1" x14ac:dyDescent="0.2">
      <c r="A840" s="49"/>
    </row>
    <row r="841" spans="1:1" ht="12.75" customHeight="1" x14ac:dyDescent="0.2">
      <c r="A841" s="49"/>
    </row>
    <row r="842" spans="1:1" ht="12.75" customHeight="1" x14ac:dyDescent="0.2">
      <c r="A842" s="49"/>
    </row>
    <row r="843" spans="1:1" ht="12.75" customHeight="1" x14ac:dyDescent="0.2">
      <c r="A843" s="49"/>
    </row>
    <row r="844" spans="1:1" ht="12.75" customHeight="1" x14ac:dyDescent="0.2">
      <c r="A844" s="49"/>
    </row>
    <row r="845" spans="1:1" ht="12.75" customHeight="1" x14ac:dyDescent="0.2">
      <c r="A845" s="49"/>
    </row>
    <row r="846" spans="1:1" ht="12.75" customHeight="1" x14ac:dyDescent="0.2">
      <c r="A846" s="49"/>
    </row>
    <row r="847" spans="1:1" ht="12.75" customHeight="1" x14ac:dyDescent="0.2">
      <c r="A847" s="49"/>
    </row>
    <row r="848" spans="1:1" ht="12.75" customHeight="1" x14ac:dyDescent="0.2">
      <c r="A848" s="49"/>
    </row>
    <row r="849" spans="1:1" ht="12.75" customHeight="1" x14ac:dyDescent="0.2">
      <c r="A849" s="49"/>
    </row>
    <row r="850" spans="1:1" ht="12.75" customHeight="1" x14ac:dyDescent="0.2">
      <c r="A850" s="49"/>
    </row>
    <row r="851" spans="1:1" ht="12.75" customHeight="1" x14ac:dyDescent="0.2">
      <c r="A851" s="49"/>
    </row>
    <row r="852" spans="1:1" ht="12.75" customHeight="1" x14ac:dyDescent="0.2">
      <c r="A852" s="49"/>
    </row>
    <row r="853" spans="1:1" ht="12.75" customHeight="1" x14ac:dyDescent="0.2">
      <c r="A853" s="49"/>
    </row>
    <row r="854" spans="1:1" ht="12.75" customHeight="1" x14ac:dyDescent="0.2">
      <c r="A854" s="49"/>
    </row>
    <row r="855" spans="1:1" ht="12.75" customHeight="1" x14ac:dyDescent="0.2">
      <c r="A855" s="49"/>
    </row>
    <row r="856" spans="1:1" ht="12.75" customHeight="1" x14ac:dyDescent="0.2">
      <c r="A856" s="49"/>
    </row>
    <row r="857" spans="1:1" ht="12.75" customHeight="1" x14ac:dyDescent="0.2">
      <c r="A857" s="49"/>
    </row>
    <row r="858" spans="1:1" ht="12.75" customHeight="1" x14ac:dyDescent="0.2">
      <c r="A858" s="49"/>
    </row>
    <row r="859" spans="1:1" ht="12.75" customHeight="1" x14ac:dyDescent="0.2">
      <c r="A859" s="49"/>
    </row>
    <row r="860" spans="1:1" ht="12.75" customHeight="1" x14ac:dyDescent="0.2">
      <c r="A860" s="49"/>
    </row>
    <row r="861" spans="1:1" ht="12.75" customHeight="1" x14ac:dyDescent="0.2">
      <c r="A861" s="49"/>
    </row>
    <row r="862" spans="1:1" ht="12.75" customHeight="1" x14ac:dyDescent="0.2">
      <c r="A862" s="49"/>
    </row>
    <row r="863" spans="1:1" ht="12.75" customHeight="1" x14ac:dyDescent="0.2">
      <c r="A863" s="49"/>
    </row>
    <row r="864" spans="1:1" ht="12.75" customHeight="1" x14ac:dyDescent="0.2">
      <c r="A864" s="49"/>
    </row>
    <row r="865" spans="1:1" ht="12.75" customHeight="1" x14ac:dyDescent="0.2">
      <c r="A865" s="49"/>
    </row>
    <row r="866" spans="1:1" ht="12.75" customHeight="1" x14ac:dyDescent="0.2">
      <c r="A866" s="49"/>
    </row>
    <row r="867" spans="1:1" ht="12.75" customHeight="1" x14ac:dyDescent="0.2">
      <c r="A867" s="49"/>
    </row>
    <row r="868" spans="1:1" ht="12.75" customHeight="1" x14ac:dyDescent="0.2">
      <c r="A868" s="49"/>
    </row>
    <row r="869" spans="1:1" ht="12.75" customHeight="1" x14ac:dyDescent="0.2">
      <c r="A869" s="49"/>
    </row>
    <row r="870" spans="1:1" ht="12.75" customHeight="1" x14ac:dyDescent="0.2">
      <c r="A870" s="49"/>
    </row>
    <row r="871" spans="1:1" ht="12.75" customHeight="1" x14ac:dyDescent="0.2">
      <c r="A871" s="49"/>
    </row>
    <row r="872" spans="1:1" ht="12.75" customHeight="1" x14ac:dyDescent="0.2">
      <c r="A872" s="49"/>
    </row>
    <row r="873" spans="1:1" ht="12.75" customHeight="1" x14ac:dyDescent="0.2">
      <c r="A873" s="49"/>
    </row>
    <row r="874" spans="1:1" ht="12.75" customHeight="1" x14ac:dyDescent="0.2">
      <c r="A874" s="49"/>
    </row>
    <row r="875" spans="1:1" ht="12.75" customHeight="1" x14ac:dyDescent="0.2">
      <c r="A875" s="49"/>
    </row>
    <row r="876" spans="1:1" ht="12.75" customHeight="1" x14ac:dyDescent="0.2">
      <c r="A876" s="49"/>
    </row>
    <row r="877" spans="1:1" ht="12.75" customHeight="1" x14ac:dyDescent="0.2">
      <c r="A877" s="49"/>
    </row>
    <row r="878" spans="1:1" ht="12.75" customHeight="1" x14ac:dyDescent="0.2">
      <c r="A878" s="49"/>
    </row>
    <row r="879" spans="1:1" ht="12.75" customHeight="1" x14ac:dyDescent="0.2">
      <c r="A879" s="49"/>
    </row>
    <row r="880" spans="1:1" ht="12.75" customHeight="1" x14ac:dyDescent="0.2">
      <c r="A880" s="49"/>
    </row>
    <row r="881" spans="1:1" ht="12.75" customHeight="1" x14ac:dyDescent="0.2">
      <c r="A881" s="49"/>
    </row>
    <row r="882" spans="1:1" ht="12.75" customHeight="1" x14ac:dyDescent="0.2">
      <c r="A882" s="49"/>
    </row>
    <row r="883" spans="1:1" ht="12.75" customHeight="1" x14ac:dyDescent="0.2">
      <c r="A883" s="49"/>
    </row>
    <row r="884" spans="1:1" ht="12.75" customHeight="1" x14ac:dyDescent="0.2">
      <c r="A884" s="49"/>
    </row>
    <row r="885" spans="1:1" ht="12.75" customHeight="1" x14ac:dyDescent="0.2">
      <c r="A885" s="49"/>
    </row>
    <row r="886" spans="1:1" ht="12.75" customHeight="1" x14ac:dyDescent="0.2">
      <c r="A886" s="49"/>
    </row>
    <row r="887" spans="1:1" ht="12.75" customHeight="1" x14ac:dyDescent="0.2">
      <c r="A887" s="49"/>
    </row>
    <row r="888" spans="1:1" ht="12.75" customHeight="1" x14ac:dyDescent="0.2">
      <c r="A888" s="49"/>
    </row>
    <row r="889" spans="1:1" ht="12.75" customHeight="1" x14ac:dyDescent="0.2">
      <c r="A889" s="49"/>
    </row>
    <row r="890" spans="1:1" ht="12.75" customHeight="1" x14ac:dyDescent="0.2">
      <c r="A890" s="49"/>
    </row>
    <row r="891" spans="1:1" ht="12.75" customHeight="1" x14ac:dyDescent="0.2">
      <c r="A891" s="49"/>
    </row>
    <row r="892" spans="1:1" ht="12.75" customHeight="1" x14ac:dyDescent="0.2">
      <c r="A892" s="49"/>
    </row>
    <row r="893" spans="1:1" ht="12.75" customHeight="1" x14ac:dyDescent="0.2">
      <c r="A893" s="49"/>
    </row>
    <row r="894" spans="1:1" ht="12.75" customHeight="1" x14ac:dyDescent="0.2">
      <c r="A894" s="49"/>
    </row>
    <row r="895" spans="1:1" ht="12.75" customHeight="1" x14ac:dyDescent="0.2">
      <c r="A895" s="49"/>
    </row>
    <row r="896" spans="1:1" ht="12.75" customHeight="1" x14ac:dyDescent="0.2">
      <c r="A896" s="49"/>
    </row>
    <row r="897" spans="1:1" ht="12.75" customHeight="1" x14ac:dyDescent="0.2">
      <c r="A897" s="49"/>
    </row>
    <row r="898" spans="1:1" ht="12.75" customHeight="1" x14ac:dyDescent="0.2">
      <c r="A898" s="49"/>
    </row>
    <row r="899" spans="1:1" ht="12.75" customHeight="1" x14ac:dyDescent="0.2">
      <c r="A899" s="49"/>
    </row>
    <row r="900" spans="1:1" ht="12.75" customHeight="1" x14ac:dyDescent="0.2">
      <c r="A900" s="49"/>
    </row>
    <row r="901" spans="1:1" ht="12.75" customHeight="1" x14ac:dyDescent="0.2">
      <c r="A901" s="49"/>
    </row>
    <row r="902" spans="1:1" ht="12.75" customHeight="1" x14ac:dyDescent="0.2">
      <c r="A902" s="49"/>
    </row>
    <row r="903" spans="1:1" ht="12.75" customHeight="1" x14ac:dyDescent="0.2">
      <c r="A903" s="49"/>
    </row>
    <row r="904" spans="1:1" ht="12.75" customHeight="1" x14ac:dyDescent="0.2">
      <c r="A904" s="49"/>
    </row>
    <row r="905" spans="1:1" ht="12.75" customHeight="1" x14ac:dyDescent="0.2">
      <c r="A905" s="49"/>
    </row>
    <row r="906" spans="1:1" ht="12.75" customHeight="1" x14ac:dyDescent="0.2">
      <c r="A906" s="49"/>
    </row>
    <row r="907" spans="1:1" ht="12.75" customHeight="1" x14ac:dyDescent="0.2">
      <c r="A907" s="49"/>
    </row>
    <row r="908" spans="1:1" ht="12.75" customHeight="1" x14ac:dyDescent="0.2">
      <c r="A908" s="49"/>
    </row>
    <row r="909" spans="1:1" ht="12.75" customHeight="1" x14ac:dyDescent="0.2">
      <c r="A909" s="49"/>
    </row>
    <row r="910" spans="1:1" ht="12.75" customHeight="1" x14ac:dyDescent="0.2">
      <c r="A910" s="49"/>
    </row>
    <row r="911" spans="1:1" ht="12.75" customHeight="1" x14ac:dyDescent="0.2">
      <c r="A911" s="49"/>
    </row>
    <row r="912" spans="1:1" ht="12.75" customHeight="1" x14ac:dyDescent="0.2">
      <c r="A912" s="49"/>
    </row>
    <row r="913" spans="1:1" ht="12.75" customHeight="1" x14ac:dyDescent="0.2">
      <c r="A913" s="49"/>
    </row>
    <row r="914" spans="1:1" ht="12.75" customHeight="1" x14ac:dyDescent="0.2">
      <c r="A914" s="49"/>
    </row>
    <row r="915" spans="1:1" ht="12.75" customHeight="1" x14ac:dyDescent="0.2">
      <c r="A915" s="49"/>
    </row>
    <row r="916" spans="1:1" ht="12.75" customHeight="1" x14ac:dyDescent="0.2">
      <c r="A916" s="49"/>
    </row>
    <row r="917" spans="1:1" ht="12.75" customHeight="1" x14ac:dyDescent="0.2">
      <c r="A917" s="49"/>
    </row>
    <row r="918" spans="1:1" ht="12.75" customHeight="1" x14ac:dyDescent="0.2">
      <c r="A918" s="49"/>
    </row>
    <row r="919" spans="1:1" ht="12.75" customHeight="1" x14ac:dyDescent="0.2">
      <c r="A919" s="49"/>
    </row>
    <row r="920" spans="1:1" ht="12.75" customHeight="1" x14ac:dyDescent="0.2">
      <c r="A920" s="49"/>
    </row>
    <row r="921" spans="1:1" ht="12.75" customHeight="1" x14ac:dyDescent="0.2">
      <c r="A921" s="49"/>
    </row>
    <row r="922" spans="1:1" ht="12.75" customHeight="1" x14ac:dyDescent="0.2">
      <c r="A922" s="49"/>
    </row>
    <row r="923" spans="1:1" ht="12.75" customHeight="1" x14ac:dyDescent="0.2">
      <c r="A923" s="49"/>
    </row>
    <row r="924" spans="1:1" ht="12.75" customHeight="1" x14ac:dyDescent="0.2">
      <c r="A924" s="49"/>
    </row>
    <row r="925" spans="1:1" ht="12.75" customHeight="1" x14ac:dyDescent="0.2">
      <c r="A925" s="49"/>
    </row>
    <row r="926" spans="1:1" ht="12.75" customHeight="1" x14ac:dyDescent="0.2">
      <c r="A926" s="49"/>
    </row>
    <row r="927" spans="1:1" ht="12.75" customHeight="1" x14ac:dyDescent="0.2">
      <c r="A927" s="49"/>
    </row>
    <row r="928" spans="1:1" ht="12.75" customHeight="1" x14ac:dyDescent="0.2">
      <c r="A928" s="49"/>
    </row>
    <row r="929" spans="1:1" ht="12.75" customHeight="1" x14ac:dyDescent="0.2">
      <c r="A929" s="49"/>
    </row>
    <row r="930" spans="1:1" ht="12.75" customHeight="1" x14ac:dyDescent="0.2">
      <c r="A930" s="49"/>
    </row>
    <row r="931" spans="1:1" ht="12.75" customHeight="1" x14ac:dyDescent="0.2">
      <c r="A931" s="49"/>
    </row>
    <row r="932" spans="1:1" ht="12.75" customHeight="1" x14ac:dyDescent="0.2">
      <c r="A932" s="49"/>
    </row>
    <row r="933" spans="1:1" ht="12.75" customHeight="1" x14ac:dyDescent="0.2">
      <c r="A933" s="49"/>
    </row>
    <row r="934" spans="1:1" ht="12.75" customHeight="1" x14ac:dyDescent="0.2">
      <c r="A934" s="49"/>
    </row>
    <row r="935" spans="1:1" ht="12.75" customHeight="1" x14ac:dyDescent="0.2">
      <c r="A935" s="49"/>
    </row>
    <row r="936" spans="1:1" ht="12.75" customHeight="1" x14ac:dyDescent="0.2">
      <c r="A936" s="49"/>
    </row>
    <row r="937" spans="1:1" ht="12.75" customHeight="1" x14ac:dyDescent="0.2">
      <c r="A937" s="49"/>
    </row>
    <row r="938" spans="1:1" ht="12.75" customHeight="1" x14ac:dyDescent="0.2">
      <c r="A938" s="49"/>
    </row>
    <row r="939" spans="1:1" ht="12.75" customHeight="1" x14ac:dyDescent="0.2">
      <c r="A939" s="49"/>
    </row>
    <row r="940" spans="1:1" ht="12.75" customHeight="1" x14ac:dyDescent="0.2">
      <c r="A940" s="49"/>
    </row>
    <row r="941" spans="1:1" ht="12.75" customHeight="1" x14ac:dyDescent="0.2">
      <c r="A941" s="49"/>
    </row>
    <row r="942" spans="1:1" ht="12.75" customHeight="1" x14ac:dyDescent="0.2">
      <c r="A942" s="49"/>
    </row>
    <row r="943" spans="1:1" ht="12.75" customHeight="1" x14ac:dyDescent="0.2">
      <c r="A943" s="49"/>
    </row>
    <row r="944" spans="1:1" ht="12.75" customHeight="1" x14ac:dyDescent="0.2">
      <c r="A944" s="49"/>
    </row>
    <row r="945" spans="1:1" ht="12.75" customHeight="1" x14ac:dyDescent="0.2">
      <c r="A945" s="49"/>
    </row>
    <row r="946" spans="1:1" ht="12.75" customHeight="1" x14ac:dyDescent="0.2">
      <c r="A946" s="49"/>
    </row>
    <row r="947" spans="1:1" ht="12.75" customHeight="1" x14ac:dyDescent="0.2">
      <c r="A947" s="49"/>
    </row>
    <row r="948" spans="1:1" ht="12.75" customHeight="1" x14ac:dyDescent="0.2">
      <c r="A948" s="49"/>
    </row>
    <row r="949" spans="1:1" ht="12.75" customHeight="1" x14ac:dyDescent="0.2">
      <c r="A949" s="49"/>
    </row>
    <row r="950" spans="1:1" ht="12.75" customHeight="1" x14ac:dyDescent="0.2">
      <c r="A950" s="49"/>
    </row>
    <row r="951" spans="1:1" ht="12.75" customHeight="1" x14ac:dyDescent="0.2">
      <c r="A951" s="49"/>
    </row>
    <row r="952" spans="1:1" ht="12.75" customHeight="1" x14ac:dyDescent="0.2">
      <c r="A952" s="49"/>
    </row>
    <row r="953" spans="1:1" ht="12.75" customHeight="1" x14ac:dyDescent="0.2">
      <c r="A953" s="49"/>
    </row>
    <row r="954" spans="1:1" ht="12.75" customHeight="1" x14ac:dyDescent="0.2">
      <c r="A954" s="49"/>
    </row>
  </sheetData>
  <mergeCells count="3">
    <mergeCell ref="B3:F3"/>
    <mergeCell ref="B16:F16"/>
    <mergeCell ref="B21:F21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C1:I977"/>
  <sheetViews>
    <sheetView topLeftCell="A10" zoomScale="110" zoomScaleNormal="110" workbookViewId="0">
      <selection activeCell="F21" sqref="F21"/>
    </sheetView>
  </sheetViews>
  <sheetFormatPr baseColWidth="10" defaultColWidth="14.42578125" defaultRowHeight="15" customHeight="1" x14ac:dyDescent="0.2"/>
  <cols>
    <col min="1" max="1" width="10" style="482" customWidth="1"/>
    <col min="2" max="2" width="4.42578125" style="482" customWidth="1"/>
    <col min="3" max="3" width="25.7109375" style="482" customWidth="1"/>
    <col min="4" max="5" width="14.28515625" style="482" customWidth="1"/>
    <col min="6" max="6" width="14.7109375" style="482" customWidth="1"/>
    <col min="7" max="7" width="14" style="482" customWidth="1"/>
    <col min="8" max="8" width="13.7109375" style="482" customWidth="1"/>
    <col min="9" max="10" width="10" style="482" customWidth="1"/>
    <col min="11" max="11" width="11.7109375" style="482" customWidth="1"/>
    <col min="12" max="26" width="10" style="482" customWidth="1"/>
    <col min="27" max="16384" width="14.42578125" style="482"/>
  </cols>
  <sheetData>
    <row r="1" spans="3:8" ht="12.75" customHeight="1" x14ac:dyDescent="0.2"/>
    <row r="2" spans="3:8" ht="13.5" customHeight="1" x14ac:dyDescent="0.2"/>
    <row r="3" spans="3:8" ht="13.5" customHeight="1" x14ac:dyDescent="0.2">
      <c r="C3" s="648" t="s">
        <v>175</v>
      </c>
      <c r="D3" s="649"/>
      <c r="E3" s="649"/>
      <c r="F3" s="649"/>
      <c r="G3" s="649"/>
      <c r="H3" s="649"/>
    </row>
    <row r="4" spans="3:8" ht="12.75" customHeight="1" x14ac:dyDescent="0.2">
      <c r="C4" s="71"/>
      <c r="D4" s="71"/>
      <c r="E4" s="71"/>
      <c r="F4" s="71"/>
      <c r="G4" s="71"/>
      <c r="H4" s="71"/>
    </row>
    <row r="5" spans="3:8" ht="12.75" customHeight="1" x14ac:dyDescent="0.2">
      <c r="C5" s="598" t="s">
        <v>176</v>
      </c>
      <c r="D5" s="597"/>
      <c r="E5" s="597"/>
      <c r="F5" s="597"/>
      <c r="G5" s="597"/>
      <c r="H5" s="597"/>
    </row>
    <row r="6" spans="3:8" ht="13.5" customHeight="1" x14ac:dyDescent="0.2">
      <c r="C6" s="71"/>
      <c r="D6" s="71"/>
      <c r="E6" s="71"/>
      <c r="F6" s="71"/>
      <c r="G6" s="71"/>
      <c r="H6" s="71"/>
    </row>
    <row r="7" spans="3:8" ht="13.5" customHeight="1" x14ac:dyDescent="0.2">
      <c r="C7" s="441" t="s">
        <v>26</v>
      </c>
      <c r="D7" s="441">
        <v>1</v>
      </c>
      <c r="E7" s="441">
        <f>1+D7</f>
        <v>2</v>
      </c>
      <c r="F7" s="441">
        <f t="shared" ref="F7:H7" si="0">1+E7</f>
        <v>3</v>
      </c>
      <c r="G7" s="441">
        <f t="shared" si="0"/>
        <v>4</v>
      </c>
      <c r="H7" s="441">
        <f t="shared" si="0"/>
        <v>5</v>
      </c>
    </row>
    <row r="8" spans="3:8" ht="12.75" customHeight="1" x14ac:dyDescent="0.2">
      <c r="C8" s="442"/>
      <c r="D8" s="443"/>
      <c r="E8" s="443"/>
      <c r="F8" s="440"/>
      <c r="G8" s="440"/>
      <c r="H8" s="440"/>
    </row>
    <row r="9" spans="3:8" ht="12.75" customHeight="1" x14ac:dyDescent="0.2">
      <c r="C9" s="119" t="s">
        <v>177</v>
      </c>
      <c r="D9" s="120">
        <f>'Presupuesto de ventas'!P17</f>
        <v>579600</v>
      </c>
      <c r="E9" s="120">
        <f>'Presupuesto de ventas'!P18</f>
        <v>856800</v>
      </c>
      <c r="F9" s="120">
        <f>'Presupuesto de ventas'!P19</f>
        <v>856800</v>
      </c>
      <c r="G9" s="120">
        <f>'Presupuesto de ventas'!P20</f>
        <v>856800</v>
      </c>
      <c r="H9" s="120">
        <f>'Presupuesto de ventas'!P21</f>
        <v>856800</v>
      </c>
    </row>
    <row r="10" spans="3:8" ht="12.75" customHeight="1" x14ac:dyDescent="0.2">
      <c r="C10" s="119" t="s">
        <v>178</v>
      </c>
      <c r="D10" s="121"/>
      <c r="E10" s="121"/>
      <c r="F10" s="121"/>
      <c r="G10" s="121"/>
      <c r="H10" s="121"/>
    </row>
    <row r="11" spans="3:8" ht="12.75" customHeight="1" x14ac:dyDescent="0.2">
      <c r="C11" s="119" t="s">
        <v>179</v>
      </c>
      <c r="D11" s="121">
        <f>'Presupuesto de ventas'!O7*'Costos_Unitario '!$I$20</f>
        <v>474019.33333333331</v>
      </c>
      <c r="E11" s="121">
        <f>'Presupuesto de ventas'!O8*'Costos_Unitario '!$I$20</f>
        <v>700724.23188405787</v>
      </c>
      <c r="F11" s="121">
        <f>'Presupuesto de ventas'!O9*'Costos_Unitario '!$I$20</f>
        <v>700724.23188405787</v>
      </c>
      <c r="G11" s="121">
        <f>'Presupuesto de ventas'!O10*'Costos_Unitario '!$I$20</f>
        <v>700724.23188405787</v>
      </c>
      <c r="H11" s="121">
        <f>'Presupuesto de ventas'!O11*'Costos_Unitario '!$I$20</f>
        <v>700724.23188405787</v>
      </c>
    </row>
    <row r="12" spans="3:8" ht="12.75" customHeight="1" x14ac:dyDescent="0.2">
      <c r="C12" s="119" t="s">
        <v>180</v>
      </c>
      <c r="D12" s="121">
        <f>'Depreciacion y VR'!$F$11</f>
        <v>2856.833333333333</v>
      </c>
      <c r="E12" s="121">
        <f>'Depreciacion y VR'!$F$11</f>
        <v>2856.833333333333</v>
      </c>
      <c r="F12" s="121">
        <f>'Depreciacion y VR'!$F$11</f>
        <v>2856.833333333333</v>
      </c>
      <c r="G12" s="121">
        <f>'Depreciacion y VR'!$F$11</f>
        <v>2856.833333333333</v>
      </c>
      <c r="H12" s="121">
        <f>'Depreciacion y VR'!$F$11</f>
        <v>2856.833333333333</v>
      </c>
    </row>
    <row r="13" spans="3:8" ht="12.75" customHeight="1" x14ac:dyDescent="0.2">
      <c r="C13" s="122" t="s">
        <v>181</v>
      </c>
      <c r="D13" s="123">
        <f>D9-D11-D12</f>
        <v>102723.83333333336</v>
      </c>
      <c r="E13" s="123">
        <f>E9-E11-E12</f>
        <v>153218.93478260879</v>
      </c>
      <c r="F13" s="123">
        <f>F9-F11-F12</f>
        <v>153218.93478260879</v>
      </c>
      <c r="G13" s="123">
        <f>G9-G11-G12</f>
        <v>153218.93478260879</v>
      </c>
      <c r="H13" s="123">
        <f>H9-H11-H12</f>
        <v>153218.93478260879</v>
      </c>
    </row>
    <row r="14" spans="3:8" ht="12.75" customHeight="1" x14ac:dyDescent="0.2">
      <c r="C14" s="119" t="s">
        <v>182</v>
      </c>
      <c r="D14" s="121"/>
      <c r="E14" s="121"/>
      <c r="F14" s="121"/>
      <c r="G14" s="121"/>
      <c r="H14" s="121"/>
    </row>
    <row r="15" spans="3:8" ht="12.75" customHeight="1" x14ac:dyDescent="0.2">
      <c r="C15" s="119" t="s">
        <v>183</v>
      </c>
      <c r="D15" s="121">
        <f>'Gastos Operativos'!$D$13*12</f>
        <v>28784.816666666669</v>
      </c>
      <c r="E15" s="121">
        <f>'Gastos Operativos'!$D$13*12</f>
        <v>28784.816666666669</v>
      </c>
      <c r="F15" s="121">
        <f>'Gastos Operativos'!$D$13*12</f>
        <v>28784.816666666669</v>
      </c>
      <c r="G15" s="121">
        <f>'Gastos Operativos'!$D$13*12</f>
        <v>28784.816666666669</v>
      </c>
      <c r="H15" s="121">
        <f>'Gastos Operativos'!$D$13*12</f>
        <v>28784.816666666669</v>
      </c>
    </row>
    <row r="16" spans="3:8" ht="12.75" customHeight="1" x14ac:dyDescent="0.2">
      <c r="C16" s="119" t="s">
        <v>66</v>
      </c>
      <c r="D16" s="121">
        <f>'Gastos Operativos'!$H$18*12</f>
        <v>6180</v>
      </c>
      <c r="E16" s="121">
        <f>'Gastos Operativos'!$H$18*12</f>
        <v>6180</v>
      </c>
      <c r="F16" s="121">
        <f>'Gastos Operativos'!$H$18*12</f>
        <v>6180</v>
      </c>
      <c r="G16" s="121">
        <f>'Gastos Operativos'!$H$18*12</f>
        <v>6180</v>
      </c>
      <c r="H16" s="121">
        <f>'Gastos Operativos'!$H$18*12</f>
        <v>6180</v>
      </c>
    </row>
    <row r="17" spans="3:9" ht="12.75" customHeight="1" x14ac:dyDescent="0.2">
      <c r="C17" s="119" t="s">
        <v>184</v>
      </c>
      <c r="D17" s="121">
        <f>'INVERSION INICIAL'!$D$16/Resumen!$H$9</f>
        <v>287</v>
      </c>
      <c r="E17" s="121">
        <f>'INVERSION INICIAL'!$D$16/Resumen!$H$9</f>
        <v>287</v>
      </c>
      <c r="F17" s="121">
        <f>'INVERSION INICIAL'!$D$16/Resumen!$H$9</f>
        <v>287</v>
      </c>
      <c r="G17" s="121">
        <f>'INVERSION INICIAL'!$D$16/Resumen!$H$9</f>
        <v>287</v>
      </c>
      <c r="H17" s="121">
        <f>'INVERSION INICIAL'!$D$16/Resumen!$H$9</f>
        <v>287</v>
      </c>
    </row>
    <row r="18" spans="3:9" ht="12.75" customHeight="1" x14ac:dyDescent="0.2">
      <c r="C18" s="122" t="s">
        <v>185</v>
      </c>
      <c r="D18" s="123">
        <f>D13-D15-D16-D17</f>
        <v>67472.016666666692</v>
      </c>
      <c r="E18" s="123">
        <f>E13-E15-E16-E17</f>
        <v>117967.11811594212</v>
      </c>
      <c r="F18" s="123">
        <f>F13-F15-F16-F17</f>
        <v>117967.11811594212</v>
      </c>
      <c r="G18" s="123">
        <f>G13-G15-G16-G17</f>
        <v>117967.11811594212</v>
      </c>
      <c r="H18" s="123">
        <f>H13-H15-H16-H17</f>
        <v>117967.11811594212</v>
      </c>
    </row>
    <row r="19" spans="3:9" ht="12.75" customHeight="1" x14ac:dyDescent="0.2">
      <c r="C19" s="119" t="s">
        <v>186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</row>
    <row r="20" spans="3:9" ht="12.75" customHeight="1" x14ac:dyDescent="0.2">
      <c r="C20" s="122" t="s">
        <v>187</v>
      </c>
      <c r="D20" s="123">
        <f>D18</f>
        <v>67472.016666666692</v>
      </c>
      <c r="E20" s="123">
        <f>E18</f>
        <v>117967.11811594212</v>
      </c>
      <c r="F20" s="123">
        <f t="shared" ref="F20:H20" si="1">F18</f>
        <v>117967.11811594212</v>
      </c>
      <c r="G20" s="123">
        <f t="shared" si="1"/>
        <v>117967.11811594212</v>
      </c>
      <c r="H20" s="123">
        <f t="shared" si="1"/>
        <v>117967.11811594212</v>
      </c>
    </row>
    <row r="21" spans="3:9" ht="13.5" customHeight="1" x14ac:dyDescent="0.2">
      <c r="C21" s="444" t="s">
        <v>188</v>
      </c>
      <c r="D21" s="517">
        <f>($D$26*Resumen!$H$11) + (Resumen!$H$12*('ESTADO RESULTADOS '!D20-'ESTADO RESULTADOS '!$D$26))</f>
        <v>7034.2449166666738</v>
      </c>
      <c r="E21" s="517">
        <f>($D$26*Resumen!$H$11) + (Resumen!$H$12*('ESTADO RESULTADOS '!E20-'ESTADO RESULTADOS '!$D$26))</f>
        <v>21930.299844202927</v>
      </c>
      <c r="F21" s="517">
        <f>($D$26*Resumen!$H$11) + (Resumen!$H$12*('ESTADO RESULTADOS '!F20-'ESTADO RESULTADOS '!$D$26))</f>
        <v>21930.299844202927</v>
      </c>
      <c r="G21" s="517">
        <f>($D$26*Resumen!$H$11) + (Resumen!$H$12*('ESTADO RESULTADOS '!G20-'ESTADO RESULTADOS '!$D$26))</f>
        <v>21930.299844202927</v>
      </c>
      <c r="H21" s="517">
        <f>($D$26*Resumen!$H$11) + (Resumen!$H$12*('ESTADO RESULTADOS '!H20-'ESTADO RESULTADOS '!$D$26))</f>
        <v>21930.299844202927</v>
      </c>
      <c r="I21" s="509"/>
    </row>
    <row r="22" spans="3:9" ht="13.5" customHeight="1" x14ac:dyDescent="0.2">
      <c r="C22" s="441" t="s">
        <v>189</v>
      </c>
      <c r="D22" s="445">
        <f>D20-D21</f>
        <v>60437.771750000014</v>
      </c>
      <c r="E22" s="445">
        <f t="shared" ref="E22:H22" si="2">E20-E21</f>
        <v>96036.818271739205</v>
      </c>
      <c r="F22" s="445">
        <f t="shared" si="2"/>
        <v>96036.818271739205</v>
      </c>
      <c r="G22" s="445">
        <f t="shared" si="2"/>
        <v>96036.818271739205</v>
      </c>
      <c r="H22" s="445">
        <f t="shared" si="2"/>
        <v>96036.818271739205</v>
      </c>
    </row>
    <row r="23" spans="3:9" ht="12.75" customHeight="1" x14ac:dyDescent="0.2">
      <c r="C23" s="71" t="s">
        <v>190</v>
      </c>
      <c r="D23" s="71"/>
      <c r="E23" s="71"/>
      <c r="F23" s="71"/>
      <c r="G23" s="71"/>
      <c r="H23" s="71"/>
    </row>
    <row r="24" spans="3:9" ht="12.75" customHeight="1" x14ac:dyDescent="0.2">
      <c r="C24" s="71" t="s">
        <v>191</v>
      </c>
      <c r="D24" s="71"/>
      <c r="E24" s="71"/>
      <c r="F24" s="71"/>
      <c r="G24" s="71"/>
      <c r="H24" s="71"/>
    </row>
    <row r="25" spans="3:9" ht="12.75" customHeight="1" x14ac:dyDescent="0.2"/>
    <row r="26" spans="3:9" ht="12.75" customHeight="1" x14ac:dyDescent="0.2">
      <c r="C26" s="516" t="s">
        <v>496</v>
      </c>
      <c r="D26" s="482">
        <f>15*4400</f>
        <v>66000</v>
      </c>
    </row>
    <row r="27" spans="3:9" ht="12.75" customHeight="1" x14ac:dyDescent="0.2">
      <c r="E27" s="487"/>
    </row>
    <row r="28" spans="3:9" ht="12.75" customHeight="1" x14ac:dyDescent="0.2"/>
    <row r="29" spans="3:9" ht="12.75" customHeight="1" x14ac:dyDescent="0.2"/>
    <row r="30" spans="3:9" ht="12.75" customHeight="1" x14ac:dyDescent="0.2"/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</sheetData>
  <mergeCells count="2">
    <mergeCell ref="C3:H3"/>
    <mergeCell ref="C5:H5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28"/>
  <sheetViews>
    <sheetView topLeftCell="A16" zoomScale="114" zoomScaleNormal="110" workbookViewId="0">
      <selection activeCell="I17" sqref="I17"/>
    </sheetView>
  </sheetViews>
  <sheetFormatPr baseColWidth="10" defaultColWidth="10.7109375" defaultRowHeight="12.75" x14ac:dyDescent="0.2"/>
  <cols>
    <col min="1" max="1" width="3.7109375" style="34" customWidth="1"/>
    <col min="2" max="2" width="4.42578125" style="34" customWidth="1"/>
    <col min="3" max="3" width="24" style="34" customWidth="1"/>
    <col min="4" max="4" width="15.28515625" style="34" customWidth="1"/>
    <col min="5" max="5" width="15.42578125" style="34" customWidth="1"/>
    <col min="6" max="6" width="14" style="34" customWidth="1"/>
    <col min="7" max="8" width="15" style="34" customWidth="1"/>
    <col min="9" max="257" width="11.5703125" style="34"/>
    <col min="258" max="258" width="4.42578125" style="34" customWidth="1"/>
    <col min="259" max="259" width="24" style="34" customWidth="1"/>
    <col min="260" max="260" width="14.7109375" style="34" customWidth="1"/>
    <col min="261" max="261" width="9.28515625" style="34" customWidth="1"/>
    <col min="262" max="262" width="8.42578125" style="34" customWidth="1"/>
    <col min="263" max="513" width="11.5703125" style="34"/>
    <col min="514" max="514" width="4.42578125" style="34" customWidth="1"/>
    <col min="515" max="515" width="24" style="34" customWidth="1"/>
    <col min="516" max="516" width="14.7109375" style="34" customWidth="1"/>
    <col min="517" max="517" width="9.28515625" style="34" customWidth="1"/>
    <col min="518" max="518" width="8.42578125" style="34" customWidth="1"/>
    <col min="519" max="769" width="11.5703125" style="34"/>
    <col min="770" max="770" width="4.42578125" style="34" customWidth="1"/>
    <col min="771" max="771" width="24" style="34" customWidth="1"/>
    <col min="772" max="772" width="14.7109375" style="34" customWidth="1"/>
    <col min="773" max="773" width="9.28515625" style="34" customWidth="1"/>
    <col min="774" max="774" width="8.42578125" style="34" customWidth="1"/>
    <col min="775" max="1025" width="11.5703125" style="34"/>
    <col min="1026" max="1026" width="4.42578125" style="34" customWidth="1"/>
    <col min="1027" max="1027" width="24" style="34" customWidth="1"/>
    <col min="1028" max="1028" width="14.7109375" style="34" customWidth="1"/>
    <col min="1029" max="1029" width="9.28515625" style="34" customWidth="1"/>
    <col min="1030" max="1030" width="8.42578125" style="34" customWidth="1"/>
    <col min="1031" max="1281" width="11.5703125" style="34"/>
    <col min="1282" max="1282" width="4.42578125" style="34" customWidth="1"/>
    <col min="1283" max="1283" width="24" style="34" customWidth="1"/>
    <col min="1284" max="1284" width="14.7109375" style="34" customWidth="1"/>
    <col min="1285" max="1285" width="9.28515625" style="34" customWidth="1"/>
    <col min="1286" max="1286" width="8.42578125" style="34" customWidth="1"/>
    <col min="1287" max="1537" width="11.5703125" style="34"/>
    <col min="1538" max="1538" width="4.42578125" style="34" customWidth="1"/>
    <col min="1539" max="1539" width="24" style="34" customWidth="1"/>
    <col min="1540" max="1540" width="14.7109375" style="34" customWidth="1"/>
    <col min="1541" max="1541" width="9.28515625" style="34" customWidth="1"/>
    <col min="1542" max="1542" width="8.42578125" style="34" customWidth="1"/>
    <col min="1543" max="1793" width="11.5703125" style="34"/>
    <col min="1794" max="1794" width="4.42578125" style="34" customWidth="1"/>
    <col min="1795" max="1795" width="24" style="34" customWidth="1"/>
    <col min="1796" max="1796" width="14.7109375" style="34" customWidth="1"/>
    <col min="1797" max="1797" width="9.28515625" style="34" customWidth="1"/>
    <col min="1798" max="1798" width="8.42578125" style="34" customWidth="1"/>
    <col min="1799" max="2049" width="11.5703125" style="34"/>
    <col min="2050" max="2050" width="4.42578125" style="34" customWidth="1"/>
    <col min="2051" max="2051" width="24" style="34" customWidth="1"/>
    <col min="2052" max="2052" width="14.7109375" style="34" customWidth="1"/>
    <col min="2053" max="2053" width="9.28515625" style="34" customWidth="1"/>
    <col min="2054" max="2054" width="8.42578125" style="34" customWidth="1"/>
    <col min="2055" max="2305" width="11.5703125" style="34"/>
    <col min="2306" max="2306" width="4.42578125" style="34" customWidth="1"/>
    <col min="2307" max="2307" width="24" style="34" customWidth="1"/>
    <col min="2308" max="2308" width="14.7109375" style="34" customWidth="1"/>
    <col min="2309" max="2309" width="9.28515625" style="34" customWidth="1"/>
    <col min="2310" max="2310" width="8.42578125" style="34" customWidth="1"/>
    <col min="2311" max="2561" width="11.5703125" style="34"/>
    <col min="2562" max="2562" width="4.42578125" style="34" customWidth="1"/>
    <col min="2563" max="2563" width="24" style="34" customWidth="1"/>
    <col min="2564" max="2564" width="14.7109375" style="34" customWidth="1"/>
    <col min="2565" max="2565" width="9.28515625" style="34" customWidth="1"/>
    <col min="2566" max="2566" width="8.42578125" style="34" customWidth="1"/>
    <col min="2567" max="2817" width="11.5703125" style="34"/>
    <col min="2818" max="2818" width="4.42578125" style="34" customWidth="1"/>
    <col min="2819" max="2819" width="24" style="34" customWidth="1"/>
    <col min="2820" max="2820" width="14.7109375" style="34" customWidth="1"/>
    <col min="2821" max="2821" width="9.28515625" style="34" customWidth="1"/>
    <col min="2822" max="2822" width="8.42578125" style="34" customWidth="1"/>
    <col min="2823" max="3073" width="11.5703125" style="34"/>
    <col min="3074" max="3074" width="4.42578125" style="34" customWidth="1"/>
    <col min="3075" max="3075" width="24" style="34" customWidth="1"/>
    <col min="3076" max="3076" width="14.7109375" style="34" customWidth="1"/>
    <col min="3077" max="3077" width="9.28515625" style="34" customWidth="1"/>
    <col min="3078" max="3078" width="8.42578125" style="34" customWidth="1"/>
    <col min="3079" max="3329" width="11.5703125" style="34"/>
    <col min="3330" max="3330" width="4.42578125" style="34" customWidth="1"/>
    <col min="3331" max="3331" width="24" style="34" customWidth="1"/>
    <col min="3332" max="3332" width="14.7109375" style="34" customWidth="1"/>
    <col min="3333" max="3333" width="9.28515625" style="34" customWidth="1"/>
    <col min="3334" max="3334" width="8.42578125" style="34" customWidth="1"/>
    <col min="3335" max="3585" width="11.5703125" style="34"/>
    <col min="3586" max="3586" width="4.42578125" style="34" customWidth="1"/>
    <col min="3587" max="3587" width="24" style="34" customWidth="1"/>
    <col min="3588" max="3588" width="14.7109375" style="34" customWidth="1"/>
    <col min="3589" max="3589" width="9.28515625" style="34" customWidth="1"/>
    <col min="3590" max="3590" width="8.42578125" style="34" customWidth="1"/>
    <col min="3591" max="3841" width="11.5703125" style="34"/>
    <col min="3842" max="3842" width="4.42578125" style="34" customWidth="1"/>
    <col min="3843" max="3843" width="24" style="34" customWidth="1"/>
    <col min="3844" max="3844" width="14.7109375" style="34" customWidth="1"/>
    <col min="3845" max="3845" width="9.28515625" style="34" customWidth="1"/>
    <col min="3846" max="3846" width="8.42578125" style="34" customWidth="1"/>
    <col min="3847" max="4097" width="11.5703125" style="34"/>
    <col min="4098" max="4098" width="4.42578125" style="34" customWidth="1"/>
    <col min="4099" max="4099" width="24" style="34" customWidth="1"/>
    <col min="4100" max="4100" width="14.7109375" style="34" customWidth="1"/>
    <col min="4101" max="4101" width="9.28515625" style="34" customWidth="1"/>
    <col min="4102" max="4102" width="8.42578125" style="34" customWidth="1"/>
    <col min="4103" max="4353" width="11.5703125" style="34"/>
    <col min="4354" max="4354" width="4.42578125" style="34" customWidth="1"/>
    <col min="4355" max="4355" width="24" style="34" customWidth="1"/>
    <col min="4356" max="4356" width="14.7109375" style="34" customWidth="1"/>
    <col min="4357" max="4357" width="9.28515625" style="34" customWidth="1"/>
    <col min="4358" max="4358" width="8.42578125" style="34" customWidth="1"/>
    <col min="4359" max="4609" width="11.5703125" style="34"/>
    <col min="4610" max="4610" width="4.42578125" style="34" customWidth="1"/>
    <col min="4611" max="4611" width="24" style="34" customWidth="1"/>
    <col min="4612" max="4612" width="14.7109375" style="34" customWidth="1"/>
    <col min="4613" max="4613" width="9.28515625" style="34" customWidth="1"/>
    <col min="4614" max="4614" width="8.42578125" style="34" customWidth="1"/>
    <col min="4615" max="4865" width="11.5703125" style="34"/>
    <col min="4866" max="4866" width="4.42578125" style="34" customWidth="1"/>
    <col min="4867" max="4867" width="24" style="34" customWidth="1"/>
    <col min="4868" max="4868" width="14.7109375" style="34" customWidth="1"/>
    <col min="4869" max="4869" width="9.28515625" style="34" customWidth="1"/>
    <col min="4870" max="4870" width="8.42578125" style="34" customWidth="1"/>
    <col min="4871" max="5121" width="11.5703125" style="34"/>
    <col min="5122" max="5122" width="4.42578125" style="34" customWidth="1"/>
    <col min="5123" max="5123" width="24" style="34" customWidth="1"/>
    <col min="5124" max="5124" width="14.7109375" style="34" customWidth="1"/>
    <col min="5125" max="5125" width="9.28515625" style="34" customWidth="1"/>
    <col min="5126" max="5126" width="8.42578125" style="34" customWidth="1"/>
    <col min="5127" max="5377" width="11.5703125" style="34"/>
    <col min="5378" max="5378" width="4.42578125" style="34" customWidth="1"/>
    <col min="5379" max="5379" width="24" style="34" customWidth="1"/>
    <col min="5380" max="5380" width="14.7109375" style="34" customWidth="1"/>
    <col min="5381" max="5381" width="9.28515625" style="34" customWidth="1"/>
    <col min="5382" max="5382" width="8.42578125" style="34" customWidth="1"/>
    <col min="5383" max="5633" width="11.5703125" style="34"/>
    <col min="5634" max="5634" width="4.42578125" style="34" customWidth="1"/>
    <col min="5635" max="5635" width="24" style="34" customWidth="1"/>
    <col min="5636" max="5636" width="14.7109375" style="34" customWidth="1"/>
    <col min="5637" max="5637" width="9.28515625" style="34" customWidth="1"/>
    <col min="5638" max="5638" width="8.42578125" style="34" customWidth="1"/>
    <col min="5639" max="5889" width="11.5703125" style="34"/>
    <col min="5890" max="5890" width="4.42578125" style="34" customWidth="1"/>
    <col min="5891" max="5891" width="24" style="34" customWidth="1"/>
    <col min="5892" max="5892" width="14.7109375" style="34" customWidth="1"/>
    <col min="5893" max="5893" width="9.28515625" style="34" customWidth="1"/>
    <col min="5894" max="5894" width="8.42578125" style="34" customWidth="1"/>
    <col min="5895" max="6145" width="11.5703125" style="34"/>
    <col min="6146" max="6146" width="4.42578125" style="34" customWidth="1"/>
    <col min="6147" max="6147" width="24" style="34" customWidth="1"/>
    <col min="6148" max="6148" width="14.7109375" style="34" customWidth="1"/>
    <col min="6149" max="6149" width="9.28515625" style="34" customWidth="1"/>
    <col min="6150" max="6150" width="8.42578125" style="34" customWidth="1"/>
    <col min="6151" max="6401" width="11.5703125" style="34"/>
    <col min="6402" max="6402" width="4.42578125" style="34" customWidth="1"/>
    <col min="6403" max="6403" width="24" style="34" customWidth="1"/>
    <col min="6404" max="6404" width="14.7109375" style="34" customWidth="1"/>
    <col min="6405" max="6405" width="9.28515625" style="34" customWidth="1"/>
    <col min="6406" max="6406" width="8.42578125" style="34" customWidth="1"/>
    <col min="6407" max="6657" width="11.5703125" style="34"/>
    <col min="6658" max="6658" width="4.42578125" style="34" customWidth="1"/>
    <col min="6659" max="6659" width="24" style="34" customWidth="1"/>
    <col min="6660" max="6660" width="14.7109375" style="34" customWidth="1"/>
    <col min="6661" max="6661" width="9.28515625" style="34" customWidth="1"/>
    <col min="6662" max="6662" width="8.42578125" style="34" customWidth="1"/>
    <col min="6663" max="6913" width="11.5703125" style="34"/>
    <col min="6914" max="6914" width="4.42578125" style="34" customWidth="1"/>
    <col min="6915" max="6915" width="24" style="34" customWidth="1"/>
    <col min="6916" max="6916" width="14.7109375" style="34" customWidth="1"/>
    <col min="6917" max="6917" width="9.28515625" style="34" customWidth="1"/>
    <col min="6918" max="6918" width="8.42578125" style="34" customWidth="1"/>
    <col min="6919" max="7169" width="11.5703125" style="34"/>
    <col min="7170" max="7170" width="4.42578125" style="34" customWidth="1"/>
    <col min="7171" max="7171" width="24" style="34" customWidth="1"/>
    <col min="7172" max="7172" width="14.7109375" style="34" customWidth="1"/>
    <col min="7173" max="7173" width="9.28515625" style="34" customWidth="1"/>
    <col min="7174" max="7174" width="8.42578125" style="34" customWidth="1"/>
    <col min="7175" max="7425" width="11.5703125" style="34"/>
    <col min="7426" max="7426" width="4.42578125" style="34" customWidth="1"/>
    <col min="7427" max="7427" width="24" style="34" customWidth="1"/>
    <col min="7428" max="7428" width="14.7109375" style="34" customWidth="1"/>
    <col min="7429" max="7429" width="9.28515625" style="34" customWidth="1"/>
    <col min="7430" max="7430" width="8.42578125" style="34" customWidth="1"/>
    <col min="7431" max="7681" width="11.5703125" style="34"/>
    <col min="7682" max="7682" width="4.42578125" style="34" customWidth="1"/>
    <col min="7683" max="7683" width="24" style="34" customWidth="1"/>
    <col min="7684" max="7684" width="14.7109375" style="34" customWidth="1"/>
    <col min="7685" max="7685" width="9.28515625" style="34" customWidth="1"/>
    <col min="7686" max="7686" width="8.42578125" style="34" customWidth="1"/>
    <col min="7687" max="7937" width="11.5703125" style="34"/>
    <col min="7938" max="7938" width="4.42578125" style="34" customWidth="1"/>
    <col min="7939" max="7939" width="24" style="34" customWidth="1"/>
    <col min="7940" max="7940" width="14.7109375" style="34" customWidth="1"/>
    <col min="7941" max="7941" width="9.28515625" style="34" customWidth="1"/>
    <col min="7942" max="7942" width="8.42578125" style="34" customWidth="1"/>
    <col min="7943" max="8193" width="11.5703125" style="34"/>
    <col min="8194" max="8194" width="4.42578125" style="34" customWidth="1"/>
    <col min="8195" max="8195" width="24" style="34" customWidth="1"/>
    <col min="8196" max="8196" width="14.7109375" style="34" customWidth="1"/>
    <col min="8197" max="8197" width="9.28515625" style="34" customWidth="1"/>
    <col min="8198" max="8198" width="8.42578125" style="34" customWidth="1"/>
    <col min="8199" max="8449" width="11.5703125" style="34"/>
    <col min="8450" max="8450" width="4.42578125" style="34" customWidth="1"/>
    <col min="8451" max="8451" width="24" style="34" customWidth="1"/>
    <col min="8452" max="8452" width="14.7109375" style="34" customWidth="1"/>
    <col min="8453" max="8453" width="9.28515625" style="34" customWidth="1"/>
    <col min="8454" max="8454" width="8.42578125" style="34" customWidth="1"/>
    <col min="8455" max="8705" width="11.5703125" style="34"/>
    <col min="8706" max="8706" width="4.42578125" style="34" customWidth="1"/>
    <col min="8707" max="8707" width="24" style="34" customWidth="1"/>
    <col min="8708" max="8708" width="14.7109375" style="34" customWidth="1"/>
    <col min="8709" max="8709" width="9.28515625" style="34" customWidth="1"/>
    <col min="8710" max="8710" width="8.42578125" style="34" customWidth="1"/>
    <col min="8711" max="8961" width="11.5703125" style="34"/>
    <col min="8962" max="8962" width="4.42578125" style="34" customWidth="1"/>
    <col min="8963" max="8963" width="24" style="34" customWidth="1"/>
    <col min="8964" max="8964" width="14.7109375" style="34" customWidth="1"/>
    <col min="8965" max="8965" width="9.28515625" style="34" customWidth="1"/>
    <col min="8966" max="8966" width="8.42578125" style="34" customWidth="1"/>
    <col min="8967" max="9217" width="11.5703125" style="34"/>
    <col min="9218" max="9218" width="4.42578125" style="34" customWidth="1"/>
    <col min="9219" max="9219" width="24" style="34" customWidth="1"/>
    <col min="9220" max="9220" width="14.7109375" style="34" customWidth="1"/>
    <col min="9221" max="9221" width="9.28515625" style="34" customWidth="1"/>
    <col min="9222" max="9222" width="8.42578125" style="34" customWidth="1"/>
    <col min="9223" max="9473" width="11.5703125" style="34"/>
    <col min="9474" max="9474" width="4.42578125" style="34" customWidth="1"/>
    <col min="9475" max="9475" width="24" style="34" customWidth="1"/>
    <col min="9476" max="9476" width="14.7109375" style="34" customWidth="1"/>
    <col min="9477" max="9477" width="9.28515625" style="34" customWidth="1"/>
    <col min="9478" max="9478" width="8.42578125" style="34" customWidth="1"/>
    <col min="9479" max="9729" width="11.5703125" style="34"/>
    <col min="9730" max="9730" width="4.42578125" style="34" customWidth="1"/>
    <col min="9731" max="9731" width="24" style="34" customWidth="1"/>
    <col min="9732" max="9732" width="14.7109375" style="34" customWidth="1"/>
    <col min="9733" max="9733" width="9.28515625" style="34" customWidth="1"/>
    <col min="9734" max="9734" width="8.42578125" style="34" customWidth="1"/>
    <col min="9735" max="9985" width="11.5703125" style="34"/>
    <col min="9986" max="9986" width="4.42578125" style="34" customWidth="1"/>
    <col min="9987" max="9987" width="24" style="34" customWidth="1"/>
    <col min="9988" max="9988" width="14.7109375" style="34" customWidth="1"/>
    <col min="9989" max="9989" width="9.28515625" style="34" customWidth="1"/>
    <col min="9990" max="9990" width="8.42578125" style="34" customWidth="1"/>
    <col min="9991" max="10241" width="11.5703125" style="34"/>
    <col min="10242" max="10242" width="4.42578125" style="34" customWidth="1"/>
    <col min="10243" max="10243" width="24" style="34" customWidth="1"/>
    <col min="10244" max="10244" width="14.7109375" style="34" customWidth="1"/>
    <col min="10245" max="10245" width="9.28515625" style="34" customWidth="1"/>
    <col min="10246" max="10246" width="8.42578125" style="34" customWidth="1"/>
    <col min="10247" max="10497" width="11.5703125" style="34"/>
    <col min="10498" max="10498" width="4.42578125" style="34" customWidth="1"/>
    <col min="10499" max="10499" width="24" style="34" customWidth="1"/>
    <col min="10500" max="10500" width="14.7109375" style="34" customWidth="1"/>
    <col min="10501" max="10501" width="9.28515625" style="34" customWidth="1"/>
    <col min="10502" max="10502" width="8.42578125" style="34" customWidth="1"/>
    <col min="10503" max="10753" width="11.5703125" style="34"/>
    <col min="10754" max="10754" width="4.42578125" style="34" customWidth="1"/>
    <col min="10755" max="10755" width="24" style="34" customWidth="1"/>
    <col min="10756" max="10756" width="14.7109375" style="34" customWidth="1"/>
    <col min="10757" max="10757" width="9.28515625" style="34" customWidth="1"/>
    <col min="10758" max="10758" width="8.42578125" style="34" customWidth="1"/>
    <col min="10759" max="11009" width="11.5703125" style="34"/>
    <col min="11010" max="11010" width="4.42578125" style="34" customWidth="1"/>
    <col min="11011" max="11011" width="24" style="34" customWidth="1"/>
    <col min="11012" max="11012" width="14.7109375" style="34" customWidth="1"/>
    <col min="11013" max="11013" width="9.28515625" style="34" customWidth="1"/>
    <col min="11014" max="11014" width="8.42578125" style="34" customWidth="1"/>
    <col min="11015" max="11265" width="11.5703125" style="34"/>
    <col min="11266" max="11266" width="4.42578125" style="34" customWidth="1"/>
    <col min="11267" max="11267" width="24" style="34" customWidth="1"/>
    <col min="11268" max="11268" width="14.7109375" style="34" customWidth="1"/>
    <col min="11269" max="11269" width="9.28515625" style="34" customWidth="1"/>
    <col min="11270" max="11270" width="8.42578125" style="34" customWidth="1"/>
    <col min="11271" max="11521" width="11.5703125" style="34"/>
    <col min="11522" max="11522" width="4.42578125" style="34" customWidth="1"/>
    <col min="11523" max="11523" width="24" style="34" customWidth="1"/>
    <col min="11524" max="11524" width="14.7109375" style="34" customWidth="1"/>
    <col min="11525" max="11525" width="9.28515625" style="34" customWidth="1"/>
    <col min="11526" max="11526" width="8.42578125" style="34" customWidth="1"/>
    <col min="11527" max="11777" width="11.5703125" style="34"/>
    <col min="11778" max="11778" width="4.42578125" style="34" customWidth="1"/>
    <col min="11779" max="11779" width="24" style="34" customWidth="1"/>
    <col min="11780" max="11780" width="14.7109375" style="34" customWidth="1"/>
    <col min="11781" max="11781" width="9.28515625" style="34" customWidth="1"/>
    <col min="11782" max="11782" width="8.42578125" style="34" customWidth="1"/>
    <col min="11783" max="12033" width="11.5703125" style="34"/>
    <col min="12034" max="12034" width="4.42578125" style="34" customWidth="1"/>
    <col min="12035" max="12035" width="24" style="34" customWidth="1"/>
    <col min="12036" max="12036" width="14.7109375" style="34" customWidth="1"/>
    <col min="12037" max="12037" width="9.28515625" style="34" customWidth="1"/>
    <col min="12038" max="12038" width="8.42578125" style="34" customWidth="1"/>
    <col min="12039" max="12289" width="11.5703125" style="34"/>
    <col min="12290" max="12290" width="4.42578125" style="34" customWidth="1"/>
    <col min="12291" max="12291" width="24" style="34" customWidth="1"/>
    <col min="12292" max="12292" width="14.7109375" style="34" customWidth="1"/>
    <col min="12293" max="12293" width="9.28515625" style="34" customWidth="1"/>
    <col min="12294" max="12294" width="8.42578125" style="34" customWidth="1"/>
    <col min="12295" max="12545" width="11.5703125" style="34"/>
    <col min="12546" max="12546" width="4.42578125" style="34" customWidth="1"/>
    <col min="12547" max="12547" width="24" style="34" customWidth="1"/>
    <col min="12548" max="12548" width="14.7109375" style="34" customWidth="1"/>
    <col min="12549" max="12549" width="9.28515625" style="34" customWidth="1"/>
    <col min="12550" max="12550" width="8.42578125" style="34" customWidth="1"/>
    <col min="12551" max="12801" width="11.5703125" style="34"/>
    <col min="12802" max="12802" width="4.42578125" style="34" customWidth="1"/>
    <col min="12803" max="12803" width="24" style="34" customWidth="1"/>
    <col min="12804" max="12804" width="14.7109375" style="34" customWidth="1"/>
    <col min="12805" max="12805" width="9.28515625" style="34" customWidth="1"/>
    <col min="12806" max="12806" width="8.42578125" style="34" customWidth="1"/>
    <col min="12807" max="13057" width="11.5703125" style="34"/>
    <col min="13058" max="13058" width="4.42578125" style="34" customWidth="1"/>
    <col min="13059" max="13059" width="24" style="34" customWidth="1"/>
    <col min="13060" max="13060" width="14.7109375" style="34" customWidth="1"/>
    <col min="13061" max="13061" width="9.28515625" style="34" customWidth="1"/>
    <col min="13062" max="13062" width="8.42578125" style="34" customWidth="1"/>
    <col min="13063" max="13313" width="11.5703125" style="34"/>
    <col min="13314" max="13314" width="4.42578125" style="34" customWidth="1"/>
    <col min="13315" max="13315" width="24" style="34" customWidth="1"/>
    <col min="13316" max="13316" width="14.7109375" style="34" customWidth="1"/>
    <col min="13317" max="13317" width="9.28515625" style="34" customWidth="1"/>
    <col min="13318" max="13318" width="8.42578125" style="34" customWidth="1"/>
    <col min="13319" max="13569" width="11.5703125" style="34"/>
    <col min="13570" max="13570" width="4.42578125" style="34" customWidth="1"/>
    <col min="13571" max="13571" width="24" style="34" customWidth="1"/>
    <col min="13572" max="13572" width="14.7109375" style="34" customWidth="1"/>
    <col min="13573" max="13573" width="9.28515625" style="34" customWidth="1"/>
    <col min="13574" max="13574" width="8.42578125" style="34" customWidth="1"/>
    <col min="13575" max="13825" width="11.5703125" style="34"/>
    <col min="13826" max="13826" width="4.42578125" style="34" customWidth="1"/>
    <col min="13827" max="13827" width="24" style="34" customWidth="1"/>
    <col min="13828" max="13828" width="14.7109375" style="34" customWidth="1"/>
    <col min="13829" max="13829" width="9.28515625" style="34" customWidth="1"/>
    <col min="13830" max="13830" width="8.42578125" style="34" customWidth="1"/>
    <col min="13831" max="14081" width="11.5703125" style="34"/>
    <col min="14082" max="14082" width="4.42578125" style="34" customWidth="1"/>
    <col min="14083" max="14083" width="24" style="34" customWidth="1"/>
    <col min="14084" max="14084" width="14.7109375" style="34" customWidth="1"/>
    <col min="14085" max="14085" width="9.28515625" style="34" customWidth="1"/>
    <col min="14086" max="14086" width="8.42578125" style="34" customWidth="1"/>
    <col min="14087" max="14337" width="11.5703125" style="34"/>
    <col min="14338" max="14338" width="4.42578125" style="34" customWidth="1"/>
    <col min="14339" max="14339" width="24" style="34" customWidth="1"/>
    <col min="14340" max="14340" width="14.7109375" style="34" customWidth="1"/>
    <col min="14341" max="14341" width="9.28515625" style="34" customWidth="1"/>
    <col min="14342" max="14342" width="8.42578125" style="34" customWidth="1"/>
    <col min="14343" max="14593" width="11.5703125" style="34"/>
    <col min="14594" max="14594" width="4.42578125" style="34" customWidth="1"/>
    <col min="14595" max="14595" width="24" style="34" customWidth="1"/>
    <col min="14596" max="14596" width="14.7109375" style="34" customWidth="1"/>
    <col min="14597" max="14597" width="9.28515625" style="34" customWidth="1"/>
    <col min="14598" max="14598" width="8.42578125" style="34" customWidth="1"/>
    <col min="14599" max="14849" width="11.5703125" style="34"/>
    <col min="14850" max="14850" width="4.42578125" style="34" customWidth="1"/>
    <col min="14851" max="14851" width="24" style="34" customWidth="1"/>
    <col min="14852" max="14852" width="14.7109375" style="34" customWidth="1"/>
    <col min="14853" max="14853" width="9.28515625" style="34" customWidth="1"/>
    <col min="14854" max="14854" width="8.42578125" style="34" customWidth="1"/>
    <col min="14855" max="15105" width="11.5703125" style="34"/>
    <col min="15106" max="15106" width="4.42578125" style="34" customWidth="1"/>
    <col min="15107" max="15107" width="24" style="34" customWidth="1"/>
    <col min="15108" max="15108" width="14.7109375" style="34" customWidth="1"/>
    <col min="15109" max="15109" width="9.28515625" style="34" customWidth="1"/>
    <col min="15110" max="15110" width="8.42578125" style="34" customWidth="1"/>
    <col min="15111" max="15361" width="11.5703125" style="34"/>
    <col min="15362" max="15362" width="4.42578125" style="34" customWidth="1"/>
    <col min="15363" max="15363" width="24" style="34" customWidth="1"/>
    <col min="15364" max="15364" width="14.7109375" style="34" customWidth="1"/>
    <col min="15365" max="15365" width="9.28515625" style="34" customWidth="1"/>
    <col min="15366" max="15366" width="8.42578125" style="34" customWidth="1"/>
    <col min="15367" max="15617" width="11.5703125" style="34"/>
    <col min="15618" max="15618" width="4.42578125" style="34" customWidth="1"/>
    <col min="15619" max="15619" width="24" style="34" customWidth="1"/>
    <col min="15620" max="15620" width="14.7109375" style="34" customWidth="1"/>
    <col min="15621" max="15621" width="9.28515625" style="34" customWidth="1"/>
    <col min="15622" max="15622" width="8.42578125" style="34" customWidth="1"/>
    <col min="15623" max="15873" width="11.5703125" style="34"/>
    <col min="15874" max="15874" width="4.42578125" style="34" customWidth="1"/>
    <col min="15875" max="15875" width="24" style="34" customWidth="1"/>
    <col min="15876" max="15876" width="14.7109375" style="34" customWidth="1"/>
    <col min="15877" max="15877" width="9.28515625" style="34" customWidth="1"/>
    <col min="15878" max="15878" width="8.42578125" style="34" customWidth="1"/>
    <col min="15879" max="16129" width="11.5703125" style="34"/>
    <col min="16130" max="16130" width="4.42578125" style="34" customWidth="1"/>
    <col min="16131" max="16131" width="24" style="34" customWidth="1"/>
    <col min="16132" max="16132" width="14.7109375" style="34" customWidth="1"/>
    <col min="16133" max="16133" width="9.28515625" style="34" customWidth="1"/>
    <col min="16134" max="16134" width="8.42578125" style="34" customWidth="1"/>
    <col min="16135" max="16384" width="11.5703125" style="34"/>
  </cols>
  <sheetData>
    <row r="1" spans="2:9" x14ac:dyDescent="0.2">
      <c r="B1" s="33"/>
    </row>
    <row r="3" spans="2:9" x14ac:dyDescent="0.2">
      <c r="C3" s="650" t="s">
        <v>232</v>
      </c>
      <c r="D3" s="650"/>
      <c r="E3" s="650"/>
      <c r="F3" s="650"/>
      <c r="G3" s="650"/>
      <c r="H3" s="650"/>
    </row>
    <row r="4" spans="2:9" x14ac:dyDescent="0.2">
      <c r="C4" s="35"/>
      <c r="D4" s="35"/>
      <c r="E4" s="35"/>
      <c r="F4" s="35"/>
    </row>
    <row r="5" spans="2:9" x14ac:dyDescent="0.2">
      <c r="C5" s="450" t="s">
        <v>26</v>
      </c>
      <c r="D5" s="450" t="s">
        <v>215</v>
      </c>
      <c r="E5" s="450" t="s">
        <v>216</v>
      </c>
      <c r="F5" s="450" t="s">
        <v>217</v>
      </c>
      <c r="G5" s="450" t="s">
        <v>218</v>
      </c>
      <c r="H5" s="450" t="s">
        <v>219</v>
      </c>
      <c r="I5" s="36"/>
    </row>
    <row r="6" spans="2:9" x14ac:dyDescent="0.2">
      <c r="C6" s="448" t="s">
        <v>233</v>
      </c>
      <c r="D6" s="451">
        <f>'Presupuesto de ventas'!P17</f>
        <v>579600</v>
      </c>
      <c r="E6" s="451">
        <f>'Presupuesto de ventas'!P18</f>
        <v>856800</v>
      </c>
      <c r="F6" s="451">
        <f>'Presupuesto de ventas'!P19</f>
        <v>856800</v>
      </c>
      <c r="G6" s="451">
        <f>'Presupuesto de ventas'!P20</f>
        <v>856800</v>
      </c>
      <c r="H6" s="451">
        <f>'Presupuesto de ventas'!P21</f>
        <v>856800</v>
      </c>
    </row>
    <row r="7" spans="2:9" s="184" customFormat="1" x14ac:dyDescent="0.2">
      <c r="C7" s="185" t="s">
        <v>234</v>
      </c>
      <c r="D7" s="186">
        <f>D6*1.18</f>
        <v>683928</v>
      </c>
      <c r="E7" s="186">
        <f>E6*1.18</f>
        <v>1011024</v>
      </c>
      <c r="F7" s="186">
        <f>F6*1.18</f>
        <v>1011024</v>
      </c>
      <c r="G7" s="186">
        <f>G6*1.18</f>
        <v>1011024</v>
      </c>
      <c r="H7" s="186">
        <f>H6*1.18</f>
        <v>1011024</v>
      </c>
    </row>
    <row r="8" spans="2:9" s="33" customFormat="1" x14ac:dyDescent="0.2">
      <c r="C8" s="187" t="s">
        <v>287</v>
      </c>
      <c r="D8" s="188">
        <f>D7-D6</f>
        <v>104328</v>
      </c>
      <c r="E8" s="188">
        <f t="shared" ref="E8:H8" si="0">E7-E6</f>
        <v>154224</v>
      </c>
      <c r="F8" s="188">
        <f t="shared" si="0"/>
        <v>154224</v>
      </c>
      <c r="G8" s="188">
        <f t="shared" si="0"/>
        <v>154224</v>
      </c>
      <c r="H8" s="188">
        <f t="shared" si="0"/>
        <v>154224</v>
      </c>
    </row>
    <row r="9" spans="2:9" x14ac:dyDescent="0.2">
      <c r="C9" s="39" t="s">
        <v>179</v>
      </c>
      <c r="D9" s="133">
        <f>'ESTADO RESULTADOS '!D11</f>
        <v>474019.33333333331</v>
      </c>
      <c r="E9" s="133">
        <f>'ESTADO RESULTADOS '!E11</f>
        <v>700724.23188405787</v>
      </c>
      <c r="F9" s="133">
        <f>'ESTADO RESULTADOS '!F11</f>
        <v>700724.23188405787</v>
      </c>
      <c r="G9" s="133">
        <f>'ESTADO RESULTADOS '!G11</f>
        <v>700724.23188405787</v>
      </c>
      <c r="H9" s="133">
        <f>'ESTADO RESULTADOS '!H11</f>
        <v>700724.23188405787</v>
      </c>
    </row>
    <row r="10" spans="2:9" x14ac:dyDescent="0.2">
      <c r="C10" s="39" t="s">
        <v>180</v>
      </c>
      <c r="D10" s="133">
        <f>'ESTADO RESULTADOS '!D12</f>
        <v>2856.833333333333</v>
      </c>
      <c r="E10" s="133">
        <f>'ESTADO RESULTADOS '!E12</f>
        <v>2856.833333333333</v>
      </c>
      <c r="F10" s="133">
        <f>'ESTADO RESULTADOS '!F12</f>
        <v>2856.833333333333</v>
      </c>
      <c r="G10" s="133">
        <f>'ESTADO RESULTADOS '!G12</f>
        <v>2856.833333333333</v>
      </c>
      <c r="H10" s="133">
        <f>'ESTADO RESULTADOS '!H12</f>
        <v>2856.833333333333</v>
      </c>
    </row>
    <row r="11" spans="2:9" x14ac:dyDescent="0.2">
      <c r="C11" s="39" t="s">
        <v>183</v>
      </c>
      <c r="D11" s="135">
        <f>('Gastos Operativos'!$D$11+'Gastos Operativos'!$D$12)*12</f>
        <v>15600</v>
      </c>
      <c r="E11" s="135">
        <f>('Gastos Operativos'!$D$11+'Gastos Operativos'!$D$12)*12</f>
        <v>15600</v>
      </c>
      <c r="F11" s="135">
        <f>('Gastos Operativos'!$D$11+'Gastos Operativos'!$D$12)*12</f>
        <v>15600</v>
      </c>
      <c r="G11" s="135">
        <f>('Gastos Operativos'!$D$11+'Gastos Operativos'!$D$12)*12</f>
        <v>15600</v>
      </c>
      <c r="H11" s="135">
        <f>('Gastos Operativos'!$D$11+'Gastos Operativos'!$D$12)*12</f>
        <v>15600</v>
      </c>
    </row>
    <row r="12" spans="2:9" x14ac:dyDescent="0.2">
      <c r="C12" s="39" t="s">
        <v>66</v>
      </c>
      <c r="D12" s="133">
        <f>('Gastos Operativos'!$H$18)*12</f>
        <v>6180</v>
      </c>
      <c r="E12" s="133">
        <f>('Gastos Operativos'!$H$18)*12</f>
        <v>6180</v>
      </c>
      <c r="F12" s="133">
        <f>('Gastos Operativos'!$H$18)*12</f>
        <v>6180</v>
      </c>
      <c r="G12" s="133">
        <f>('Gastos Operativos'!$H$18)*12</f>
        <v>6180</v>
      </c>
      <c r="H12" s="133">
        <f>('Gastos Operativos'!$H$18)*12</f>
        <v>6180</v>
      </c>
    </row>
    <row r="13" spans="2:9" x14ac:dyDescent="0.2">
      <c r="C13" s="39" t="s">
        <v>184</v>
      </c>
      <c r="D13" s="133">
        <f>'ESTADO RESULTADOS '!D17</f>
        <v>287</v>
      </c>
      <c r="E13" s="133">
        <f>'ESTADO RESULTADOS '!E17</f>
        <v>287</v>
      </c>
      <c r="F13" s="133">
        <f>'ESTADO RESULTADOS '!F17</f>
        <v>287</v>
      </c>
      <c r="G13" s="133">
        <f>'ESTADO RESULTADOS '!G17</f>
        <v>287</v>
      </c>
      <c r="H13" s="133">
        <f>'ESTADO RESULTADOS '!H17</f>
        <v>287</v>
      </c>
    </row>
    <row r="14" spans="2:9" x14ac:dyDescent="0.2">
      <c r="C14" s="40" t="s">
        <v>235</v>
      </c>
      <c r="D14" s="133">
        <f>SUM(D9:D13)</f>
        <v>498943.16666666663</v>
      </c>
      <c r="E14" s="133">
        <f>SUM(E9:E13)</f>
        <v>725648.06521739124</v>
      </c>
      <c r="F14" s="133">
        <f>SUM(F9:F13)</f>
        <v>725648.06521739124</v>
      </c>
      <c r="G14" s="133">
        <f>SUM(G9:G13)</f>
        <v>725648.06521739124</v>
      </c>
      <c r="H14" s="133">
        <f>SUM(H9:H13)</f>
        <v>725648.06521739124</v>
      </c>
    </row>
    <row r="15" spans="2:9" s="184" customFormat="1" x14ac:dyDescent="0.2">
      <c r="C15" s="245" t="s">
        <v>236</v>
      </c>
      <c r="D15" s="246">
        <f>D14*1.18</f>
        <v>588752.93666666665</v>
      </c>
      <c r="E15" s="246">
        <f>E14*1.18</f>
        <v>856264.71695652162</v>
      </c>
      <c r="F15" s="246">
        <f>F14*1.18</f>
        <v>856264.71695652162</v>
      </c>
      <c r="G15" s="246">
        <f>G14*1.18</f>
        <v>856264.71695652162</v>
      </c>
      <c r="H15" s="246">
        <f>H14*1.18</f>
        <v>856264.71695652162</v>
      </c>
    </row>
    <row r="16" spans="2:9" x14ac:dyDescent="0.2">
      <c r="C16" s="43" t="s">
        <v>288</v>
      </c>
      <c r="D16" s="134">
        <f>D15-D14</f>
        <v>89809.770000000019</v>
      </c>
      <c r="E16" s="134">
        <f t="shared" ref="E16:H16" si="1">E15-E14</f>
        <v>130616.65173913038</v>
      </c>
      <c r="F16" s="134">
        <f t="shared" si="1"/>
        <v>130616.65173913038</v>
      </c>
      <c r="G16" s="134">
        <f t="shared" si="1"/>
        <v>130616.65173913038</v>
      </c>
      <c r="H16" s="134">
        <f t="shared" si="1"/>
        <v>130616.65173913038</v>
      </c>
    </row>
    <row r="17" spans="3:9" x14ac:dyDescent="0.2">
      <c r="C17" s="450" t="s">
        <v>237</v>
      </c>
      <c r="D17" s="452">
        <f>D8-D16</f>
        <v>14518.229999999981</v>
      </c>
      <c r="E17" s="452">
        <f>E8-E16</f>
        <v>23607.348260869621</v>
      </c>
      <c r="F17" s="452">
        <f>F8-F16</f>
        <v>23607.348260869621</v>
      </c>
      <c r="G17" s="452">
        <f>G8-G16</f>
        <v>23607.348260869621</v>
      </c>
      <c r="H17" s="452">
        <f>H8-H16</f>
        <v>23607.348260869621</v>
      </c>
    </row>
    <row r="20" spans="3:9" x14ac:dyDescent="0.2">
      <c r="C20" s="650" t="s">
        <v>232</v>
      </c>
      <c r="D20" s="650"/>
      <c r="E20" s="650"/>
      <c r="F20" s="650"/>
      <c r="G20" s="650"/>
      <c r="H20" s="650"/>
    </row>
    <row r="21" spans="3:9" x14ac:dyDescent="0.2">
      <c r="C21" s="35"/>
      <c r="D21" s="35"/>
      <c r="E21" s="35"/>
      <c r="F21" s="35"/>
    </row>
    <row r="22" spans="3:9" x14ac:dyDescent="0.2">
      <c r="C22" s="450" t="s">
        <v>26</v>
      </c>
      <c r="D22" s="450" t="s">
        <v>215</v>
      </c>
      <c r="E22" s="450" t="s">
        <v>216</v>
      </c>
      <c r="F22" s="450" t="s">
        <v>217</v>
      </c>
      <c r="G22" s="450" t="s">
        <v>218</v>
      </c>
      <c r="H22" s="450" t="s">
        <v>219</v>
      </c>
    </row>
    <row r="23" spans="3:9" x14ac:dyDescent="0.2">
      <c r="C23" s="448" t="s">
        <v>233</v>
      </c>
      <c r="D23" s="449">
        <f>D6</f>
        <v>579600</v>
      </c>
      <c r="E23" s="449">
        <f t="shared" ref="E23:H23" si="2">E6</f>
        <v>856800</v>
      </c>
      <c r="F23" s="449">
        <f t="shared" si="2"/>
        <v>856800</v>
      </c>
      <c r="G23" s="449">
        <f t="shared" si="2"/>
        <v>856800</v>
      </c>
      <c r="H23" s="449">
        <f t="shared" si="2"/>
        <v>856800</v>
      </c>
    </row>
    <row r="24" spans="3:9" x14ac:dyDescent="0.2">
      <c r="C24" s="37" t="s">
        <v>234</v>
      </c>
      <c r="D24" s="38">
        <f>D7</f>
        <v>683928</v>
      </c>
      <c r="E24" s="38">
        <f t="shared" ref="E24:H24" si="3">E7</f>
        <v>1011024</v>
      </c>
      <c r="F24" s="38">
        <f t="shared" si="3"/>
        <v>1011024</v>
      </c>
      <c r="G24" s="38">
        <f t="shared" si="3"/>
        <v>1011024</v>
      </c>
      <c r="H24" s="38">
        <f t="shared" si="3"/>
        <v>1011024</v>
      </c>
    </row>
    <row r="25" spans="3:9" x14ac:dyDescent="0.2">
      <c r="C25" s="41" t="s">
        <v>235</v>
      </c>
      <c r="D25" s="42">
        <f>D14</f>
        <v>498943.16666666663</v>
      </c>
      <c r="E25" s="42">
        <f t="shared" ref="E25:H25" si="4">E14</f>
        <v>725648.06521739124</v>
      </c>
      <c r="F25" s="42">
        <f t="shared" si="4"/>
        <v>725648.06521739124</v>
      </c>
      <c r="G25" s="42">
        <f t="shared" si="4"/>
        <v>725648.06521739124</v>
      </c>
      <c r="H25" s="42">
        <f t="shared" si="4"/>
        <v>725648.06521739124</v>
      </c>
    </row>
    <row r="26" spans="3:9" x14ac:dyDescent="0.2">
      <c r="C26" s="43" t="s">
        <v>236</v>
      </c>
      <c r="D26" s="44">
        <f>D15</f>
        <v>588752.93666666665</v>
      </c>
      <c r="E26" s="44">
        <f t="shared" ref="E26:H26" si="5">E15</f>
        <v>856264.71695652162</v>
      </c>
      <c r="F26" s="44">
        <f t="shared" si="5"/>
        <v>856264.71695652162</v>
      </c>
      <c r="G26" s="44">
        <f t="shared" si="5"/>
        <v>856264.71695652162</v>
      </c>
      <c r="H26" s="44">
        <f t="shared" si="5"/>
        <v>856264.71695652162</v>
      </c>
    </row>
    <row r="27" spans="3:9" x14ac:dyDescent="0.2">
      <c r="C27" s="450" t="s">
        <v>238</v>
      </c>
      <c r="D27" s="452">
        <f>(D24-D23)-(D26-D25)</f>
        <v>14518.229999999981</v>
      </c>
      <c r="E27" s="452">
        <f t="shared" ref="E27:H27" si="6">(E24-E23)-(E26-E25)</f>
        <v>23607.348260869621</v>
      </c>
      <c r="F27" s="452">
        <f t="shared" si="6"/>
        <v>23607.348260869621</v>
      </c>
      <c r="G27" s="452">
        <f t="shared" si="6"/>
        <v>23607.348260869621</v>
      </c>
      <c r="H27" s="452">
        <f t="shared" si="6"/>
        <v>23607.348260869621</v>
      </c>
      <c r="I27" s="132"/>
    </row>
    <row r="28" spans="3:9" x14ac:dyDescent="0.2">
      <c r="D28" s="45"/>
    </row>
  </sheetData>
  <mergeCells count="2">
    <mergeCell ref="C3:H3"/>
    <mergeCell ref="C20:H20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B1:K18"/>
  <sheetViews>
    <sheetView topLeftCell="A16" zoomScale="120" zoomScaleNormal="120" workbookViewId="0">
      <selection activeCell="I11" sqref="I11"/>
    </sheetView>
  </sheetViews>
  <sheetFormatPr baseColWidth="10" defaultColWidth="10.7109375" defaultRowHeight="15" x14ac:dyDescent="0.25"/>
  <cols>
    <col min="1" max="1" width="5.85546875" customWidth="1"/>
    <col min="2" max="2" width="22" customWidth="1"/>
    <col min="3" max="3" width="2.42578125" customWidth="1"/>
    <col min="4" max="4" width="16.85546875" customWidth="1"/>
    <col min="7" max="7" width="22" customWidth="1"/>
    <col min="8" max="8" width="2.85546875" customWidth="1"/>
    <col min="9" max="9" width="23" customWidth="1"/>
    <col min="10" max="10" width="21.5703125" bestFit="1" customWidth="1"/>
  </cols>
  <sheetData>
    <row r="1" spans="2:11" ht="15.75" thickBot="1" x14ac:dyDescent="0.3"/>
    <row r="2" spans="2:11" ht="15.75" thickBot="1" x14ac:dyDescent="0.3">
      <c r="B2" s="651" t="s">
        <v>505</v>
      </c>
      <c r="C2" s="652"/>
      <c r="D2" s="652"/>
      <c r="E2" s="653"/>
      <c r="G2" s="651" t="s">
        <v>523</v>
      </c>
      <c r="H2" s="652"/>
      <c r="I2" s="652"/>
      <c r="J2" s="653"/>
    </row>
    <row r="3" spans="2:11" ht="15.75" thickBot="1" x14ac:dyDescent="0.3">
      <c r="B3" s="654" t="s">
        <v>339</v>
      </c>
      <c r="C3" s="654"/>
      <c r="D3" s="654"/>
      <c r="E3" s="654"/>
      <c r="F3" s="655"/>
      <c r="G3" s="654" t="s">
        <v>339</v>
      </c>
      <c r="H3" s="654"/>
      <c r="I3" s="654"/>
      <c r="J3" s="654"/>
      <c r="K3" s="655"/>
    </row>
    <row r="4" spans="2:11" ht="15.75" thickBot="1" x14ac:dyDescent="0.3">
      <c r="B4" s="656" t="s">
        <v>192</v>
      </c>
      <c r="C4" s="657"/>
      <c r="D4" s="657"/>
      <c r="E4" s="657"/>
      <c r="F4" s="522"/>
      <c r="G4" s="656" t="s">
        <v>524</v>
      </c>
      <c r="H4" s="657"/>
      <c r="I4" s="657"/>
      <c r="J4" s="657"/>
      <c r="K4" s="522"/>
    </row>
    <row r="5" spans="2:11" ht="15.75" thickBot="1" x14ac:dyDescent="0.3"/>
    <row r="6" spans="2:11" x14ac:dyDescent="0.25">
      <c r="B6" s="658" t="s">
        <v>332</v>
      </c>
      <c r="C6" s="659"/>
      <c r="D6" s="660"/>
      <c r="G6" s="658" t="s">
        <v>332</v>
      </c>
      <c r="H6" s="659"/>
      <c r="I6" s="660"/>
    </row>
    <row r="7" spans="2:11" x14ac:dyDescent="0.25">
      <c r="B7" s="215" t="s">
        <v>328</v>
      </c>
      <c r="C7" s="216" t="s">
        <v>327</v>
      </c>
      <c r="D7" s="217">
        <v>4.9500000000000002E-2</v>
      </c>
      <c r="G7" s="215" t="s">
        <v>328</v>
      </c>
      <c r="H7" s="216" t="s">
        <v>327</v>
      </c>
      <c r="I7" s="217">
        <v>4.9500000000000002E-2</v>
      </c>
    </row>
    <row r="8" spans="2:11" x14ac:dyDescent="0.25">
      <c r="B8" s="218" t="s">
        <v>329</v>
      </c>
      <c r="C8" s="216" t="s">
        <v>327</v>
      </c>
      <c r="D8" s="219">
        <v>3.28</v>
      </c>
      <c r="G8" s="218" t="s">
        <v>506</v>
      </c>
      <c r="H8" s="216" t="s">
        <v>327</v>
      </c>
      <c r="I8" s="219">
        <v>0.75</v>
      </c>
      <c r="J8" t="s">
        <v>507</v>
      </c>
    </row>
    <row r="9" spans="2:11" x14ac:dyDescent="0.25">
      <c r="B9" s="215" t="s">
        <v>330</v>
      </c>
      <c r="C9" s="216" t="s">
        <v>327</v>
      </c>
      <c r="D9" s="217">
        <v>4.6399999999999997E-2</v>
      </c>
      <c r="G9" s="215" t="s">
        <v>330</v>
      </c>
      <c r="H9" s="216" t="s">
        <v>327</v>
      </c>
      <c r="I9" s="217">
        <v>4.6399999999999997E-2</v>
      </c>
    </row>
    <row r="10" spans="2:11" x14ac:dyDescent="0.25">
      <c r="B10" s="215" t="s">
        <v>331</v>
      </c>
      <c r="C10" s="216" t="s">
        <v>327</v>
      </c>
      <c r="D10" s="217">
        <f xml:space="preserve"> 0.0174</f>
        <v>1.7399999999999999E-2</v>
      </c>
      <c r="G10" s="215" t="s">
        <v>331</v>
      </c>
      <c r="H10" s="216" t="s">
        <v>327</v>
      </c>
      <c r="I10" s="217">
        <f>1.5*0.0174</f>
        <v>2.6099999999999998E-2</v>
      </c>
    </row>
    <row r="11" spans="2:11" x14ac:dyDescent="0.25">
      <c r="B11" s="218" t="s">
        <v>333</v>
      </c>
      <c r="C11" s="216" t="s">
        <v>327</v>
      </c>
      <c r="D11" s="220">
        <f>D7+D8*D9+D10</f>
        <v>0.21909199999999998</v>
      </c>
      <c r="G11" s="218" t="s">
        <v>508</v>
      </c>
      <c r="H11" s="216" t="s">
        <v>327</v>
      </c>
      <c r="I11" s="220">
        <f>I7+I8*I9+I10</f>
        <v>0.1104</v>
      </c>
    </row>
    <row r="12" spans="2:11" ht="15.75" thickBot="1" x14ac:dyDescent="0.3">
      <c r="B12" s="221" t="s">
        <v>334</v>
      </c>
      <c r="C12" s="222" t="s">
        <v>327</v>
      </c>
      <c r="D12" s="223">
        <f>D11*((1+E16)/(1+E15))</f>
        <v>0.22102516470588232</v>
      </c>
      <c r="G12" s="221" t="s">
        <v>509</v>
      </c>
      <c r="H12" s="222" t="s">
        <v>327</v>
      </c>
      <c r="I12" s="223">
        <f>I11*((1+J16)/(1+J15))</f>
        <v>0.1104</v>
      </c>
    </row>
    <row r="13" spans="2:11" x14ac:dyDescent="0.25">
      <c r="I13" s="19"/>
    </row>
    <row r="14" spans="2:11" ht="15.75" thickBot="1" x14ac:dyDescent="0.3"/>
    <row r="15" spans="2:11" x14ac:dyDescent="0.25">
      <c r="D15" s="210" t="s">
        <v>292</v>
      </c>
      <c r="E15" s="211">
        <f>Resumen!H7</f>
        <v>0.02</v>
      </c>
      <c r="F15" s="214"/>
    </row>
    <row r="16" spans="2:11" ht="15.75" thickBot="1" x14ac:dyDescent="0.3">
      <c r="D16" s="212" t="s">
        <v>293</v>
      </c>
      <c r="E16" s="213">
        <f>Resumen!H8</f>
        <v>2.9000000000000001E-2</v>
      </c>
      <c r="F16" s="214"/>
    </row>
    <row r="17" spans="2:4" ht="15.75" thickBot="1" x14ac:dyDescent="0.3"/>
    <row r="18" spans="2:4" ht="15.75" thickBot="1" x14ac:dyDescent="0.3">
      <c r="B18" s="226" t="s">
        <v>525</v>
      </c>
      <c r="C18" s="227" t="s">
        <v>327</v>
      </c>
      <c r="D18" s="385">
        <f>((1+D12)/(1+E16))-1</f>
        <v>0.18661337677928325</v>
      </c>
    </row>
  </sheetData>
  <mergeCells count="8">
    <mergeCell ref="G2:J2"/>
    <mergeCell ref="G3:K3"/>
    <mergeCell ref="G4:J4"/>
    <mergeCell ref="G6:I6"/>
    <mergeCell ref="B6:D6"/>
    <mergeCell ref="B3:F3"/>
    <mergeCell ref="B4:E4"/>
    <mergeCell ref="B2:E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B1:O26"/>
  <sheetViews>
    <sheetView zoomScale="110" zoomScaleNormal="110" workbookViewId="0">
      <selection activeCell="D25" sqref="D25"/>
    </sheetView>
  </sheetViews>
  <sheetFormatPr baseColWidth="10" defaultColWidth="10.7109375" defaultRowHeight="15" x14ac:dyDescent="0.25"/>
  <cols>
    <col min="2" max="2" width="13.7109375" customWidth="1"/>
    <col min="3" max="3" width="2.5703125" customWidth="1"/>
    <col min="4" max="4" width="10.28515625" customWidth="1"/>
    <col min="6" max="6" width="23.85546875" customWidth="1"/>
    <col min="8" max="8" width="15.140625" customWidth="1"/>
    <col min="9" max="9" width="2.7109375" customWidth="1"/>
    <col min="10" max="10" width="11.28515625" customWidth="1"/>
    <col min="12" max="12" width="14.7109375" customWidth="1"/>
    <col min="15" max="15" width="24.140625" bestFit="1" customWidth="1"/>
  </cols>
  <sheetData>
    <row r="1" spans="2:15" ht="15.75" thickBot="1" x14ac:dyDescent="0.3">
      <c r="D1" t="s">
        <v>240</v>
      </c>
      <c r="K1" t="s">
        <v>380</v>
      </c>
    </row>
    <row r="2" spans="2:15" x14ac:dyDescent="0.25">
      <c r="B2" s="230" t="s">
        <v>193</v>
      </c>
      <c r="C2" s="231"/>
      <c r="D2" s="232"/>
      <c r="E2" s="232"/>
      <c r="F2" s="233"/>
      <c r="H2" s="239" t="s">
        <v>194</v>
      </c>
      <c r="I2" s="240"/>
      <c r="J2" s="240"/>
      <c r="K2" s="240"/>
      <c r="L2" s="240"/>
      <c r="M2" s="233"/>
    </row>
    <row r="3" spans="2:15" x14ac:dyDescent="0.25">
      <c r="B3" s="215"/>
      <c r="C3" s="234"/>
      <c r="D3" s="234"/>
      <c r="E3" s="234"/>
      <c r="F3" s="235"/>
      <c r="H3" s="215"/>
      <c r="I3" s="234"/>
      <c r="J3" s="234"/>
      <c r="K3" s="234"/>
      <c r="L3" s="234"/>
      <c r="M3" s="235"/>
    </row>
    <row r="4" spans="2:15" ht="15.75" x14ac:dyDescent="0.25">
      <c r="B4" s="667" t="s">
        <v>195</v>
      </c>
      <c r="C4" s="668"/>
      <c r="D4" s="668"/>
      <c r="E4" s="668"/>
      <c r="F4" s="669"/>
      <c r="H4" s="661" t="s">
        <v>359</v>
      </c>
      <c r="I4" s="662"/>
      <c r="J4" s="662"/>
      <c r="K4" s="662"/>
      <c r="L4" s="662"/>
      <c r="M4" s="663"/>
    </row>
    <row r="5" spans="2:15" x14ac:dyDescent="0.25">
      <c r="B5" s="215"/>
      <c r="C5" s="234"/>
      <c r="D5" s="234"/>
      <c r="E5" s="234"/>
      <c r="F5" s="235"/>
      <c r="H5" s="215"/>
      <c r="I5" s="234"/>
      <c r="J5" s="234"/>
      <c r="K5" s="234"/>
      <c r="L5" s="234"/>
      <c r="M5" s="235"/>
    </row>
    <row r="6" spans="2:15" x14ac:dyDescent="0.25">
      <c r="B6" s="215" t="s">
        <v>135</v>
      </c>
      <c r="C6" s="234"/>
      <c r="D6" s="234"/>
      <c r="E6" s="234"/>
      <c r="F6" s="235"/>
      <c r="H6" s="215" t="s">
        <v>196</v>
      </c>
      <c r="I6" s="234"/>
      <c r="J6" s="234"/>
      <c r="K6" s="234"/>
      <c r="L6" s="234"/>
      <c r="M6" s="235"/>
    </row>
    <row r="7" spans="2:15" x14ac:dyDescent="0.25">
      <c r="B7" s="215" t="s">
        <v>346</v>
      </c>
      <c r="C7" s="216" t="s">
        <v>327</v>
      </c>
      <c r="D7" s="236">
        <v>4.9500000000000002E-2</v>
      </c>
      <c r="E7" s="234"/>
      <c r="F7" s="235"/>
      <c r="H7" s="215" t="s">
        <v>357</v>
      </c>
      <c r="I7" s="216" t="s">
        <v>327</v>
      </c>
      <c r="J7" s="241">
        <f>'INVERSION INICIAL'!E33</f>
        <v>0.72194965840302427</v>
      </c>
      <c r="K7" s="234" t="s">
        <v>336</v>
      </c>
      <c r="L7" s="234"/>
      <c r="M7" s="235"/>
    </row>
    <row r="8" spans="2:15" x14ac:dyDescent="0.25">
      <c r="B8" s="215" t="s">
        <v>347</v>
      </c>
      <c r="C8" s="216" t="s">
        <v>327</v>
      </c>
      <c r="D8" s="386">
        <f>D25</f>
        <v>3.8749403451365816</v>
      </c>
      <c r="E8" s="234"/>
      <c r="F8" s="235"/>
      <c r="H8" s="215" t="s">
        <v>356</v>
      </c>
      <c r="I8" s="216" t="s">
        <v>327</v>
      </c>
      <c r="J8" s="242">
        <f>D12</f>
        <v>0.24669723201433738</v>
      </c>
      <c r="K8" s="234"/>
      <c r="L8" s="234"/>
      <c r="M8" s="235"/>
    </row>
    <row r="9" spans="2:15" x14ac:dyDescent="0.25">
      <c r="B9" s="215" t="s">
        <v>348</v>
      </c>
      <c r="C9" s="216" t="s">
        <v>327</v>
      </c>
      <c r="D9" s="236">
        <v>4.6399999999999997E-2</v>
      </c>
      <c r="E9" s="234"/>
      <c r="F9" s="235"/>
      <c r="H9" s="215" t="s">
        <v>355</v>
      </c>
      <c r="I9" s="216" t="s">
        <v>327</v>
      </c>
      <c r="J9" s="241">
        <f>'INVERSION INICIAL'!F33</f>
        <v>0.27805034159697578</v>
      </c>
      <c r="K9" s="234" t="s">
        <v>338</v>
      </c>
      <c r="L9" s="234"/>
      <c r="M9" s="235"/>
      <c r="N9" s="19"/>
    </row>
    <row r="10" spans="2:15" x14ac:dyDescent="0.25">
      <c r="B10" s="215" t="s">
        <v>331</v>
      </c>
      <c r="C10" s="216" t="s">
        <v>327</v>
      </c>
      <c r="D10" s="236">
        <f>' Ku COK'!D10</f>
        <v>1.7399999999999999E-2</v>
      </c>
      <c r="E10" s="234"/>
      <c r="F10" s="235"/>
      <c r="H10" s="215" t="s">
        <v>354</v>
      </c>
      <c r="I10" s="216" t="s">
        <v>327</v>
      </c>
      <c r="J10" s="241">
        <f>Resumen!H10</f>
        <v>0.21629999999999999</v>
      </c>
      <c r="K10" s="234" t="s">
        <v>246</v>
      </c>
      <c r="L10" s="234"/>
      <c r="M10" s="235"/>
    </row>
    <row r="11" spans="2:15" x14ac:dyDescent="0.25">
      <c r="B11" s="215"/>
      <c r="C11" s="216"/>
      <c r="D11" s="236"/>
      <c r="E11" s="234"/>
      <c r="F11" s="235"/>
      <c r="H11" s="215" t="s">
        <v>353</v>
      </c>
      <c r="I11" s="216" t="s">
        <v>327</v>
      </c>
      <c r="J11" s="243">
        <f>Resumen!H12</f>
        <v>0.29499999999999998</v>
      </c>
      <c r="K11" s="234" t="s">
        <v>343</v>
      </c>
      <c r="L11" s="234"/>
      <c r="M11" s="235"/>
    </row>
    <row r="12" spans="2:15" x14ac:dyDescent="0.25">
      <c r="B12" s="215" t="s">
        <v>349</v>
      </c>
      <c r="C12" s="216" t="s">
        <v>327</v>
      </c>
      <c r="D12" s="236">
        <f>D7+D8*(D9)+D10</f>
        <v>0.24669723201433738</v>
      </c>
      <c r="E12" s="234" t="s">
        <v>345</v>
      </c>
      <c r="F12" s="235"/>
      <c r="H12" s="215"/>
      <c r="I12" s="234"/>
      <c r="J12" s="234"/>
      <c r="K12" s="234"/>
      <c r="L12" s="234"/>
      <c r="M12" s="235"/>
    </row>
    <row r="13" spans="2:15" x14ac:dyDescent="0.25">
      <c r="B13" s="215" t="s">
        <v>349</v>
      </c>
      <c r="C13" s="216" t="s">
        <v>327</v>
      </c>
      <c r="D13" s="236">
        <f>(D12*((1+J21)/(1+J20)))</f>
        <v>0.24887397229681682</v>
      </c>
      <c r="E13" s="234" t="s">
        <v>350</v>
      </c>
      <c r="F13" s="235"/>
      <c r="H13" s="215"/>
      <c r="I13" s="234"/>
      <c r="J13" s="234"/>
      <c r="K13" s="234"/>
      <c r="L13" s="234"/>
      <c r="M13" s="235"/>
    </row>
    <row r="14" spans="2:15" ht="15.75" thickBot="1" x14ac:dyDescent="0.3">
      <c r="B14" s="212" t="s">
        <v>349</v>
      </c>
      <c r="C14" s="222" t="s">
        <v>327</v>
      </c>
      <c r="D14" s="446">
        <f>((1+D13)/(1+J21))-1</f>
        <v>0.21367732973451581</v>
      </c>
      <c r="E14" s="237" t="s">
        <v>351</v>
      </c>
      <c r="F14" s="238"/>
      <c r="H14" s="215" t="s">
        <v>198</v>
      </c>
      <c r="I14" s="216" t="s">
        <v>327</v>
      </c>
      <c r="J14" s="242">
        <f>J7*J8+J9*J10*(1-J11)</f>
        <v>0.22050329604735774</v>
      </c>
      <c r="K14" s="234" t="s">
        <v>352</v>
      </c>
      <c r="L14" s="234"/>
      <c r="M14" s="235"/>
    </row>
    <row r="15" spans="2:15" x14ac:dyDescent="0.25">
      <c r="C15" s="209"/>
      <c r="D15" s="19"/>
      <c r="H15" s="215" t="s">
        <v>198</v>
      </c>
      <c r="I15" s="216" t="s">
        <v>327</v>
      </c>
      <c r="J15" s="242">
        <f>J14*((1+J21)/(1+J20))</f>
        <v>0.22244891336542266</v>
      </c>
      <c r="K15" s="234" t="s">
        <v>358</v>
      </c>
      <c r="L15" s="234"/>
      <c r="M15" s="235"/>
    </row>
    <row r="16" spans="2:15" ht="15.75" thickBot="1" x14ac:dyDescent="0.3">
      <c r="C16" s="209"/>
      <c r="D16" s="19"/>
      <c r="H16" s="212" t="s">
        <v>198</v>
      </c>
      <c r="I16" s="222" t="s">
        <v>327</v>
      </c>
      <c r="J16" s="446">
        <f>((1+J15)/(1+J21))-1</f>
        <v>0.18799700035512412</v>
      </c>
      <c r="K16" s="237" t="s">
        <v>360</v>
      </c>
      <c r="L16" s="237"/>
      <c r="M16" s="238"/>
      <c r="O16" s="19"/>
    </row>
    <row r="17" spans="2:11" x14ac:dyDescent="0.25">
      <c r="B17" s="230" t="s">
        <v>199</v>
      </c>
      <c r="C17" s="231"/>
      <c r="D17" s="232"/>
      <c r="E17" s="232"/>
      <c r="F17" s="233"/>
    </row>
    <row r="18" spans="2:11" x14ac:dyDescent="0.25">
      <c r="B18" s="664" t="s">
        <v>200</v>
      </c>
      <c r="C18" s="665"/>
      <c r="D18" s="665"/>
      <c r="E18" s="665"/>
      <c r="F18" s="666"/>
    </row>
    <row r="19" spans="2:11" ht="15.75" thickBot="1" x14ac:dyDescent="0.3">
      <c r="B19" s="215" t="s">
        <v>201</v>
      </c>
      <c r="C19" s="234"/>
      <c r="D19" s="234"/>
      <c r="E19" s="234"/>
      <c r="F19" s="235"/>
    </row>
    <row r="20" spans="2:11" x14ac:dyDescent="0.25">
      <c r="B20" s="215"/>
      <c r="C20" s="234"/>
      <c r="D20" s="234"/>
      <c r="E20" s="234"/>
      <c r="F20" s="235"/>
      <c r="H20" s="210" t="s">
        <v>292</v>
      </c>
      <c r="I20" s="387" t="s">
        <v>327</v>
      </c>
      <c r="J20" s="211">
        <v>0.02</v>
      </c>
      <c r="K20" s="214"/>
    </row>
    <row r="21" spans="2:11" ht="27" customHeight="1" thickBot="1" x14ac:dyDescent="0.4">
      <c r="B21" s="215" t="s">
        <v>340</v>
      </c>
      <c r="C21" s="234"/>
      <c r="D21" s="234">
        <f>' Ku COK'!D8</f>
        <v>3.28</v>
      </c>
      <c r="E21" s="670" t="s">
        <v>344</v>
      </c>
      <c r="F21" s="671"/>
      <c r="H21" s="212" t="s">
        <v>293</v>
      </c>
      <c r="I21" s="222" t="s">
        <v>327</v>
      </c>
      <c r="J21" s="213">
        <v>2.9000000000000001E-2</v>
      </c>
      <c r="K21" s="214" t="s">
        <v>335</v>
      </c>
    </row>
    <row r="22" spans="2:11" ht="18.75" x14ac:dyDescent="0.3">
      <c r="B22" s="215" t="s">
        <v>341</v>
      </c>
      <c r="C22" s="234"/>
      <c r="D22" s="447">
        <f>J9/J7</f>
        <v>0.38513813028464067</v>
      </c>
      <c r="E22" s="234"/>
      <c r="F22" s="235"/>
    </row>
    <row r="23" spans="2:11" x14ac:dyDescent="0.25">
      <c r="B23" s="215" t="s">
        <v>197</v>
      </c>
      <c r="C23" s="234"/>
      <c r="D23" s="244">
        <f>J11</f>
        <v>0.29499999999999998</v>
      </c>
      <c r="E23" s="234" t="s">
        <v>343</v>
      </c>
      <c r="F23" s="235"/>
    </row>
    <row r="24" spans="2:11" x14ac:dyDescent="0.25">
      <c r="B24" s="215"/>
      <c r="C24" s="234"/>
      <c r="D24" s="234"/>
      <c r="E24" s="234"/>
      <c r="F24" s="235"/>
    </row>
    <row r="25" spans="2:11" x14ac:dyDescent="0.25">
      <c r="B25" s="215" t="s">
        <v>202</v>
      </c>
      <c r="C25" s="234"/>
      <c r="D25" s="388">
        <f>D21*(1+D23*(1-D22))</f>
        <v>3.8749403451365816</v>
      </c>
      <c r="E25" s="234" t="s">
        <v>342</v>
      </c>
      <c r="F25" s="235"/>
    </row>
    <row r="26" spans="2:11" ht="15.75" thickBot="1" x14ac:dyDescent="0.3">
      <c r="B26" s="212"/>
      <c r="C26" s="237"/>
      <c r="D26" s="237"/>
      <c r="E26" s="237"/>
      <c r="F26" s="238"/>
    </row>
  </sheetData>
  <mergeCells count="4">
    <mergeCell ref="H4:M4"/>
    <mergeCell ref="B18:F18"/>
    <mergeCell ref="B4:F4"/>
    <mergeCell ref="E21:F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I1010"/>
  <sheetViews>
    <sheetView topLeftCell="C37" zoomScale="126" zoomScaleNormal="109" workbookViewId="0">
      <selection activeCell="E39" sqref="E39"/>
    </sheetView>
  </sheetViews>
  <sheetFormatPr baseColWidth="10" defaultColWidth="14.42578125" defaultRowHeight="15" customHeight="1" x14ac:dyDescent="0.2"/>
  <cols>
    <col min="1" max="1" width="10" style="229" customWidth="1"/>
    <col min="2" max="2" width="2.42578125" style="380" customWidth="1"/>
    <col min="3" max="3" width="17.140625" style="380" customWidth="1"/>
    <col min="4" max="4" width="18.7109375" style="475" customWidth="1"/>
    <col min="5" max="5" width="16.28515625" style="229" customWidth="1"/>
    <col min="6" max="6" width="12.28515625" style="229" customWidth="1"/>
    <col min="7" max="16" width="10" style="229" customWidth="1"/>
    <col min="17" max="16384" width="14.42578125" style="229"/>
  </cols>
  <sheetData>
    <row r="1" spans="4:9" ht="13.5" customHeight="1" thickBot="1" x14ac:dyDescent="0.25">
      <c r="E1" s="575" t="s">
        <v>390</v>
      </c>
      <c r="F1" s="288" t="s">
        <v>251</v>
      </c>
      <c r="G1" s="289" t="s">
        <v>254</v>
      </c>
      <c r="H1" s="288" t="s">
        <v>252</v>
      </c>
      <c r="I1" s="290" t="s">
        <v>255</v>
      </c>
    </row>
    <row r="2" spans="4:9" ht="12.75" customHeight="1" x14ac:dyDescent="0.2">
      <c r="E2" s="576"/>
      <c r="F2" s="291">
        <f>Resumen!C13</f>
        <v>135582.7354689528</v>
      </c>
      <c r="G2" s="292">
        <f>Resumen!C15</f>
        <v>0.58181423997282389</v>
      </c>
      <c r="H2" s="293">
        <f>Resumen!E13</f>
        <v>963.3226337849859</v>
      </c>
      <c r="I2" s="294">
        <f>Resumen!E15</f>
        <v>0.5860332030781763</v>
      </c>
    </row>
    <row r="3" spans="4:9" ht="12.75" customHeight="1" x14ac:dyDescent="0.2"/>
    <row r="4" spans="4:9" ht="13.5" customHeight="1" x14ac:dyDescent="0.25">
      <c r="D4" s="475" t="s">
        <v>477</v>
      </c>
      <c r="E4" s="481" t="s">
        <v>485</v>
      </c>
      <c r="F4" s="481"/>
      <c r="G4" s="481"/>
      <c r="H4" s="481"/>
      <c r="I4" s="481"/>
    </row>
    <row r="5" spans="4:9" ht="26.25" customHeight="1" x14ac:dyDescent="0.2">
      <c r="D5" s="476">
        <f>(E9-E12)/E9*100</f>
        <v>5.8571428571428594</v>
      </c>
      <c r="E5" s="283" t="s">
        <v>391</v>
      </c>
      <c r="F5" s="284" t="s">
        <v>251</v>
      </c>
      <c r="G5" s="284" t="s">
        <v>254</v>
      </c>
      <c r="H5" s="284" t="s">
        <v>252</v>
      </c>
      <c r="I5" s="284" t="s">
        <v>255</v>
      </c>
    </row>
    <row r="6" spans="4:9" ht="12.75" customHeight="1" x14ac:dyDescent="0.2">
      <c r="E6" s="285">
        <v>12</v>
      </c>
      <c r="F6" s="286">
        <v>1263843.0682463699</v>
      </c>
      <c r="G6" s="287">
        <v>5.6146533191964982</v>
      </c>
      <c r="H6" s="286">
        <v>1018.8389701128398</v>
      </c>
      <c r="I6" s="287">
        <v>5.6253224232615606</v>
      </c>
    </row>
    <row r="7" spans="4:9" ht="12.75" customHeight="1" x14ac:dyDescent="0.2">
      <c r="E7" s="285">
        <v>11.8</v>
      </c>
      <c r="F7" s="286">
        <v>1218591.7412614999</v>
      </c>
      <c r="G7" s="287">
        <v>5.426102548435729</v>
      </c>
      <c r="H7" s="286">
        <v>1018.8389701128398</v>
      </c>
      <c r="I7" s="287">
        <v>5.4367286753062389</v>
      </c>
    </row>
    <row r="8" spans="4:9" ht="12.75" customHeight="1" x14ac:dyDescent="0.2">
      <c r="E8" s="285">
        <v>11.5</v>
      </c>
      <c r="F8" s="286">
        <v>1150714.7507841999</v>
      </c>
      <c r="G8" s="287">
        <v>5.1429525770323385</v>
      </c>
      <c r="H8" s="286">
        <v>1018.8389701128398</v>
      </c>
      <c r="I8" s="287">
        <v>5.1535096766055144</v>
      </c>
    </row>
    <row r="9" spans="4:9" ht="12.75" customHeight="1" x14ac:dyDescent="0.2">
      <c r="D9" s="475" t="s">
        <v>478</v>
      </c>
      <c r="E9" s="483">
        <v>7</v>
      </c>
      <c r="F9" s="484">
        <v>103214.18636338122</v>
      </c>
      <c r="G9" s="485">
        <v>0.4993590469805973</v>
      </c>
      <c r="H9" s="484">
        <v>1018.8389701128398</v>
      </c>
      <c r="I9" s="485">
        <v>0.50370194220111464</v>
      </c>
    </row>
    <row r="10" spans="4:9" ht="12.75" customHeight="1" x14ac:dyDescent="0.2">
      <c r="E10" s="285">
        <v>9</v>
      </c>
      <c r="F10" s="286">
        <v>585073.1634733323</v>
      </c>
      <c r="G10" s="287">
        <v>2.7596102562217402</v>
      </c>
      <c r="H10" s="286">
        <v>1018.8389701128398</v>
      </c>
      <c r="I10" s="287">
        <v>2.7692169453296018</v>
      </c>
    </row>
    <row r="11" spans="4:9" ht="12.75" customHeight="1" x14ac:dyDescent="0.2">
      <c r="E11" s="285">
        <v>8</v>
      </c>
      <c r="F11" s="286">
        <v>358816.52854898595</v>
      </c>
      <c r="G11" s="287">
        <v>1.784082466380545</v>
      </c>
      <c r="H11" s="286">
        <v>1018.8389701128398</v>
      </c>
      <c r="I11" s="287">
        <v>1.7928557153439422</v>
      </c>
    </row>
    <row r="12" spans="4:9" ht="13.5" customHeight="1" x14ac:dyDescent="0.2">
      <c r="E12" s="363">
        <v>6.59</v>
      </c>
      <c r="F12" s="291">
        <v>3.4924596548080444E-10</v>
      </c>
      <c r="G12" s="292">
        <v>0.18661337677928458</v>
      </c>
      <c r="H12" s="293">
        <v>611.30338206770421</v>
      </c>
      <c r="I12" s="294">
        <v>0.18925599712395158</v>
      </c>
    </row>
    <row r="13" spans="4:9" ht="13.5" customHeight="1" x14ac:dyDescent="0.2"/>
    <row r="14" spans="4:9" ht="13.5" customHeight="1" x14ac:dyDescent="0.2"/>
    <row r="15" spans="4:9" ht="13.5" customHeight="1" x14ac:dyDescent="0.25">
      <c r="E15" s="577" t="s">
        <v>486</v>
      </c>
      <c r="F15" s="578"/>
      <c r="G15" s="578"/>
      <c r="H15" s="578"/>
      <c r="I15" s="578"/>
    </row>
    <row r="16" spans="4:9" ht="27.6" customHeight="1" x14ac:dyDescent="0.2">
      <c r="D16" s="476">
        <f>(E17-E22)/E22*100</f>
        <v>1000</v>
      </c>
      <c r="E16" s="283" t="s">
        <v>392</v>
      </c>
      <c r="F16" s="284" t="s">
        <v>251</v>
      </c>
      <c r="G16" s="284" t="s">
        <v>254</v>
      </c>
      <c r="H16" s="284" t="s">
        <v>252</v>
      </c>
      <c r="I16" s="284" t="s">
        <v>255</v>
      </c>
    </row>
    <row r="17" spans="2:9" ht="12.75" customHeight="1" x14ac:dyDescent="0.2">
      <c r="E17" s="304">
        <v>7.7</v>
      </c>
      <c r="F17" s="348">
        <v>-1.6007106751203537E-10</v>
      </c>
      <c r="G17" s="302">
        <v>0.186613376779283</v>
      </c>
      <c r="H17" s="348">
        <v>1018.8389701128398</v>
      </c>
      <c r="I17" s="478">
        <v>0.18965778898205432</v>
      </c>
    </row>
    <row r="18" spans="2:9" ht="13.5" customHeight="1" x14ac:dyDescent="0.2">
      <c r="E18" s="278">
        <v>6.7</v>
      </c>
      <c r="F18" s="281">
        <v>114966.83632869335</v>
      </c>
      <c r="G18" s="282">
        <v>0.55248933299001868</v>
      </c>
      <c r="H18" s="343">
        <v>1018.8389701128398</v>
      </c>
      <c r="I18" s="282">
        <v>0.55686848785871756</v>
      </c>
    </row>
    <row r="19" spans="2:9" ht="12" customHeight="1" x14ac:dyDescent="0.2">
      <c r="E19" s="278">
        <v>4.5</v>
      </c>
      <c r="F19" s="281">
        <v>370299.9224206545</v>
      </c>
      <c r="G19" s="282">
        <v>1.4996524935923174</v>
      </c>
      <c r="H19" s="343">
        <v>1018.8389701128398</v>
      </c>
      <c r="I19" s="282">
        <v>1.5063173326314367</v>
      </c>
    </row>
    <row r="20" spans="2:9" s="299" customFormat="1" ht="12.75" customHeight="1" x14ac:dyDescent="0.2">
      <c r="D20" s="477"/>
      <c r="E20" s="278">
        <v>2.5</v>
      </c>
      <c r="F20" s="281">
        <v>602420.90977698285</v>
      </c>
      <c r="G20" s="282">
        <v>2.5504382479615977</v>
      </c>
      <c r="H20" s="343">
        <v>1018.8389701128398</v>
      </c>
      <c r="I20" s="282">
        <v>2.5588579594947936</v>
      </c>
    </row>
    <row r="21" spans="2:9" s="299" customFormat="1" ht="12.75" customHeight="1" x14ac:dyDescent="0.2">
      <c r="D21" s="477"/>
      <c r="E21" s="278">
        <v>1.5</v>
      </c>
      <c r="F21" s="281">
        <v>718481.40345514705</v>
      </c>
      <c r="G21" s="282">
        <v>3.1681965992133847</v>
      </c>
      <c r="H21" s="343">
        <v>1018.8389701128398</v>
      </c>
      <c r="I21" s="282">
        <v>3.1775222616975656</v>
      </c>
    </row>
    <row r="22" spans="2:9" ht="15" customHeight="1" x14ac:dyDescent="0.2">
      <c r="D22" s="477" t="s">
        <v>478</v>
      </c>
      <c r="E22" s="486">
        <v>0.7</v>
      </c>
      <c r="F22" s="484">
        <v>811329.79839767853</v>
      </c>
      <c r="G22" s="485">
        <v>3.7195013737826796</v>
      </c>
      <c r="H22" s="484">
        <v>1018.8389701128398</v>
      </c>
      <c r="I22" s="485">
        <v>3.7295985472668685</v>
      </c>
    </row>
    <row r="23" spans="2:9" ht="12.75" customHeight="1" x14ac:dyDescent="0.2">
      <c r="E23" s="278">
        <v>0.6</v>
      </c>
      <c r="F23" s="279">
        <v>822935.84776549507</v>
      </c>
      <c r="G23" s="280">
        <v>3.792487399244469</v>
      </c>
      <c r="H23" s="344">
        <v>1018.8389701128398</v>
      </c>
      <c r="I23" s="280">
        <v>3.802684868254727</v>
      </c>
    </row>
    <row r="24" spans="2:9" ht="12.75" customHeight="1" x14ac:dyDescent="0.2">
      <c r="E24" s="278">
        <v>0.5</v>
      </c>
      <c r="F24" s="279">
        <v>834541.89713331126</v>
      </c>
      <c r="G24" s="280">
        <v>3.8664455291613002</v>
      </c>
      <c r="H24" s="344">
        <v>1018.8389701128398</v>
      </c>
      <c r="I24" s="280">
        <v>3.8767442616971444</v>
      </c>
    </row>
    <row r="25" spans="2:9" ht="12.75" customHeight="1" x14ac:dyDescent="0.2">
      <c r="E25" s="278">
        <v>0.4</v>
      </c>
      <c r="F25" s="279">
        <v>846147.94650112779</v>
      </c>
      <c r="G25" s="280">
        <v>3.9413973886756404</v>
      </c>
      <c r="H25" s="344">
        <v>1018.8389701128398</v>
      </c>
      <c r="I25" s="280">
        <v>3.9517983868356099</v>
      </c>
    </row>
    <row r="26" spans="2:9" ht="12.75" customHeight="1" x14ac:dyDescent="0.2"/>
    <row r="27" spans="2:9" ht="12.75" customHeight="1" x14ac:dyDescent="0.2"/>
    <row r="28" spans="2:9" ht="12.75" customHeight="1" x14ac:dyDescent="0.25">
      <c r="E28" s="577" t="s">
        <v>487</v>
      </c>
      <c r="F28" s="578"/>
      <c r="G28" s="578"/>
      <c r="H28" s="578"/>
      <c r="I28" s="578"/>
    </row>
    <row r="29" spans="2:9" s="326" customFormat="1" ht="12.75" customHeight="1" x14ac:dyDescent="0.2">
      <c r="B29" s="380"/>
      <c r="C29" s="380"/>
      <c r="D29" s="476">
        <f>(E30-E33)/E33*100</f>
        <v>233.01922778520935</v>
      </c>
      <c r="E29" s="283" t="s">
        <v>393</v>
      </c>
      <c r="F29" s="284" t="s">
        <v>251</v>
      </c>
      <c r="G29" s="284" t="s">
        <v>254</v>
      </c>
      <c r="H29" s="284" t="s">
        <v>252</v>
      </c>
      <c r="I29" s="284" t="s">
        <v>255</v>
      </c>
    </row>
    <row r="30" spans="2:9" s="326" customFormat="1" ht="12.75" customHeight="1" x14ac:dyDescent="0.2">
      <c r="B30" s="380"/>
      <c r="C30" s="380"/>
      <c r="D30" s="475"/>
      <c r="E30" s="300">
        <v>9.9905768335562808</v>
      </c>
      <c r="F30" s="348">
        <v>-1.2078089639544487E-9</v>
      </c>
      <c r="G30" s="302">
        <v>0.18661337677927947</v>
      </c>
      <c r="H30" s="346">
        <v>1018.8389701128398</v>
      </c>
      <c r="I30" s="302">
        <v>0.18965778898205121</v>
      </c>
    </row>
    <row r="31" spans="2:9" s="326" customFormat="1" ht="12.75" customHeight="1" x14ac:dyDescent="0.2">
      <c r="B31" s="380"/>
      <c r="C31" s="380"/>
      <c r="D31" s="475"/>
      <c r="E31" s="295">
        <v>7</v>
      </c>
      <c r="F31" s="345">
        <v>347087.82368502161</v>
      </c>
      <c r="G31" s="282">
        <v>1.4055602409616146</v>
      </c>
      <c r="H31" s="343">
        <v>1018.8389701128398</v>
      </c>
      <c r="I31" s="282">
        <v>1.4120430294131308</v>
      </c>
    </row>
    <row r="32" spans="2:9" ht="12.75" customHeight="1" x14ac:dyDescent="0.2">
      <c r="E32" s="295">
        <v>5</v>
      </c>
      <c r="F32" s="345">
        <v>579208.81104135024</v>
      </c>
      <c r="G32" s="282">
        <v>2.4351627889636185</v>
      </c>
      <c r="H32" s="343">
        <v>1018.8389701128398</v>
      </c>
      <c r="I32" s="282">
        <v>2.4434064257621486</v>
      </c>
    </row>
    <row r="33" spans="4:9" ht="13.5" customHeight="1" x14ac:dyDescent="0.2">
      <c r="E33" s="486">
        <v>3</v>
      </c>
      <c r="F33" s="484">
        <v>811329.79839767853</v>
      </c>
      <c r="G33" s="485">
        <v>3.7195013737826796</v>
      </c>
      <c r="H33" s="484">
        <v>1018.8389701128398</v>
      </c>
      <c r="I33" s="485">
        <v>3.7295985472668685</v>
      </c>
    </row>
    <row r="34" spans="4:9" ht="18" customHeight="1" x14ac:dyDescent="0.2">
      <c r="E34" s="295">
        <v>2.5</v>
      </c>
      <c r="F34" s="349">
        <v>869360.04523676075</v>
      </c>
      <c r="G34" s="297">
        <v>4.0943718266106925</v>
      </c>
      <c r="H34" s="347">
        <v>1018.8389701128398</v>
      </c>
      <c r="I34" s="297">
        <v>4.1049805007626352</v>
      </c>
    </row>
    <row r="35" spans="4:9" s="299" customFormat="1" ht="15.75" customHeight="1" x14ac:dyDescent="0.2">
      <c r="D35" s="477"/>
      <c r="E35" s="295">
        <v>2</v>
      </c>
      <c r="F35" s="349">
        <v>927390.29207584297</v>
      </c>
      <c r="G35" s="297">
        <v>4.4958333938567536</v>
      </c>
      <c r="H35" s="347">
        <v>1018.8389701128398</v>
      </c>
      <c r="I35" s="297">
        <v>4.5069812700290566</v>
      </c>
    </row>
    <row r="36" spans="4:9" s="299" customFormat="1" ht="15.75" customHeight="1" x14ac:dyDescent="0.2">
      <c r="D36" s="477"/>
      <c r="E36" s="295">
        <v>1</v>
      </c>
      <c r="F36" s="349">
        <v>1043450.7857540074</v>
      </c>
      <c r="G36" s="297">
        <v>5.3918698818915169</v>
      </c>
      <c r="H36" s="347">
        <v>1018.8389701128398</v>
      </c>
      <c r="I36" s="297">
        <v>5.404198408619715</v>
      </c>
    </row>
    <row r="37" spans="4:9" s="299" customFormat="1" ht="15.75" customHeight="1" x14ac:dyDescent="0.2"/>
    <row r="38" spans="4:9" s="299" customFormat="1" ht="15.75" customHeight="1" x14ac:dyDescent="0.25">
      <c r="D38" s="477"/>
      <c r="E38" s="577" t="s">
        <v>488</v>
      </c>
      <c r="F38" s="578"/>
      <c r="G38" s="578"/>
      <c r="H38" s="578"/>
      <c r="I38" s="578"/>
    </row>
    <row r="39" spans="4:9" s="299" customFormat="1" ht="14.25" customHeight="1" x14ac:dyDescent="0.2">
      <c r="D39" s="476">
        <f>(E40-E43)/E43*100</f>
        <v>139.81153667112551</v>
      </c>
      <c r="E39" s="283" t="s">
        <v>393</v>
      </c>
      <c r="F39" s="284" t="s">
        <v>251</v>
      </c>
      <c r="G39" s="284" t="s">
        <v>254</v>
      </c>
      <c r="H39" s="284" t="s">
        <v>252</v>
      </c>
      <c r="I39" s="284" t="s">
        <v>255</v>
      </c>
    </row>
    <row r="40" spans="4:9" ht="12.75" customHeight="1" x14ac:dyDescent="0.2">
      <c r="E40" s="300">
        <v>47.962307334225102</v>
      </c>
      <c r="F40" s="301">
        <v>-1.2223608791828156E-9</v>
      </c>
      <c r="G40" s="350">
        <v>0.18661337677927947</v>
      </c>
      <c r="H40" s="301">
        <v>1018.8389701128398</v>
      </c>
      <c r="I40" s="350">
        <v>0.18965778898205121</v>
      </c>
    </row>
    <row r="41" spans="4:9" ht="12.75" customHeight="1" x14ac:dyDescent="0.2">
      <c r="E41" s="295">
        <v>40</v>
      </c>
      <c r="F41" s="296">
        <v>231027.33000685761</v>
      </c>
      <c r="G41" s="298">
        <v>0.95993543703715734</v>
      </c>
      <c r="H41" s="296">
        <v>1018.8389701128398</v>
      </c>
      <c r="I41" s="298">
        <v>0.96544817206854083</v>
      </c>
    </row>
    <row r="42" spans="4:9" ht="12.75" customHeight="1" x14ac:dyDescent="0.2">
      <c r="E42" s="295">
        <v>30</v>
      </c>
      <c r="F42" s="296">
        <v>521178.56420226768</v>
      </c>
      <c r="G42" s="298">
        <v>2.157727184124222</v>
      </c>
      <c r="H42" s="296">
        <v>1018.8389701128398</v>
      </c>
      <c r="I42" s="298">
        <v>2.1655345118998497</v>
      </c>
    </row>
    <row r="43" spans="4:9" ht="12.75" customHeight="1" x14ac:dyDescent="0.2">
      <c r="E43" s="486">
        <v>20</v>
      </c>
      <c r="F43" s="484">
        <v>811329.79839767853</v>
      </c>
      <c r="G43" s="485">
        <v>3.7195013737826796</v>
      </c>
      <c r="H43" s="484">
        <v>1018.8389701128398</v>
      </c>
      <c r="I43" s="485">
        <v>3.7295985472668685</v>
      </c>
    </row>
    <row r="44" spans="4:9" ht="13.5" customHeight="1" x14ac:dyDescent="0.2">
      <c r="E44" s="295">
        <v>10</v>
      </c>
      <c r="F44" s="296">
        <v>1101481.0325930894</v>
      </c>
      <c r="G44" s="297">
        <v>5.8944917456891721</v>
      </c>
      <c r="H44" s="296">
        <v>1018.8389701128398</v>
      </c>
      <c r="I44" s="297">
        <v>5.9074726621654197</v>
      </c>
    </row>
    <row r="45" spans="4:9" ht="12.75" customHeight="1" x14ac:dyDescent="0.2">
      <c r="E45" s="295">
        <v>8</v>
      </c>
      <c r="F45" s="296">
        <v>1159511.2794321715</v>
      </c>
      <c r="G45" s="297">
        <v>6.4400428298382089</v>
      </c>
      <c r="H45" s="296">
        <v>1018.8389701128398</v>
      </c>
      <c r="I45" s="297">
        <v>6.4537260734583306</v>
      </c>
    </row>
    <row r="46" spans="4:9" ht="12.75" customHeight="1" x14ac:dyDescent="0.2">
      <c r="E46" s="295">
        <v>5</v>
      </c>
      <c r="F46" s="296">
        <v>1246556.6496907945</v>
      </c>
      <c r="G46" s="297">
        <v>7.3523128635100008</v>
      </c>
      <c r="H46" s="296">
        <v>1018.8389701128398</v>
      </c>
      <c r="I46" s="297">
        <v>7.3671604288274377</v>
      </c>
    </row>
    <row r="47" spans="4:9" ht="12.75" customHeight="1" x14ac:dyDescent="0.2"/>
    <row r="48" spans="4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</sheetData>
  <mergeCells count="4">
    <mergeCell ref="E1:E2"/>
    <mergeCell ref="E15:I15"/>
    <mergeCell ref="E28:I28"/>
    <mergeCell ref="E38:I38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K39"/>
  <sheetViews>
    <sheetView topLeftCell="A16" zoomScaleNormal="100" workbookViewId="0">
      <selection activeCell="C32" sqref="C32"/>
    </sheetView>
  </sheetViews>
  <sheetFormatPr baseColWidth="10" defaultColWidth="10.7109375" defaultRowHeight="12.75" x14ac:dyDescent="0.2"/>
  <cols>
    <col min="1" max="2" width="11.5703125" style="21"/>
    <col min="3" max="3" width="31.42578125" style="21" customWidth="1"/>
    <col min="4" max="4" width="9" style="21" customWidth="1"/>
    <col min="5" max="5" width="9.42578125" style="21" customWidth="1"/>
    <col min="6" max="6" width="9" style="21" customWidth="1"/>
    <col min="7" max="7" width="9.42578125" style="21" customWidth="1"/>
    <col min="8" max="8" width="10" style="21" customWidth="1"/>
    <col min="9" max="9" width="9.5703125" style="21" customWidth="1"/>
    <col min="10" max="251" width="11.5703125" style="21"/>
    <col min="252" max="252" width="35.7109375" style="21" customWidth="1"/>
    <col min="253" max="253" width="10.140625" style="21" customWidth="1"/>
    <col min="254" max="255" width="9.5703125" style="21" customWidth="1"/>
    <col min="256" max="257" width="10" style="21" customWidth="1"/>
    <col min="258" max="258" width="9.140625" style="21" customWidth="1"/>
    <col min="259" max="507" width="11.5703125" style="21"/>
    <col min="508" max="508" width="35.7109375" style="21" customWidth="1"/>
    <col min="509" max="509" width="10.140625" style="21" customWidth="1"/>
    <col min="510" max="511" width="9.5703125" style="21" customWidth="1"/>
    <col min="512" max="513" width="10" style="21" customWidth="1"/>
    <col min="514" max="514" width="9.140625" style="21" customWidth="1"/>
    <col min="515" max="763" width="11.5703125" style="21"/>
    <col min="764" max="764" width="35.7109375" style="21" customWidth="1"/>
    <col min="765" max="765" width="10.140625" style="21" customWidth="1"/>
    <col min="766" max="767" width="9.5703125" style="21" customWidth="1"/>
    <col min="768" max="769" width="10" style="21" customWidth="1"/>
    <col min="770" max="770" width="9.140625" style="21" customWidth="1"/>
    <col min="771" max="1019" width="11.5703125" style="21"/>
    <col min="1020" max="1020" width="35.7109375" style="21" customWidth="1"/>
    <col min="1021" max="1021" width="10.140625" style="21" customWidth="1"/>
    <col min="1022" max="1023" width="9.5703125" style="21" customWidth="1"/>
    <col min="1024" max="1025" width="10" style="21" customWidth="1"/>
    <col min="1026" max="1026" width="9.140625" style="21" customWidth="1"/>
    <col min="1027" max="1275" width="11.5703125" style="21"/>
    <col min="1276" max="1276" width="35.7109375" style="21" customWidth="1"/>
    <col min="1277" max="1277" width="10.140625" style="21" customWidth="1"/>
    <col min="1278" max="1279" width="9.5703125" style="21" customWidth="1"/>
    <col min="1280" max="1281" width="10" style="21" customWidth="1"/>
    <col min="1282" max="1282" width="9.140625" style="21" customWidth="1"/>
    <col min="1283" max="1531" width="11.5703125" style="21"/>
    <col min="1532" max="1532" width="35.7109375" style="21" customWidth="1"/>
    <col min="1533" max="1533" width="10.140625" style="21" customWidth="1"/>
    <col min="1534" max="1535" width="9.5703125" style="21" customWidth="1"/>
    <col min="1536" max="1537" width="10" style="21" customWidth="1"/>
    <col min="1538" max="1538" width="9.140625" style="21" customWidth="1"/>
    <col min="1539" max="1787" width="11.5703125" style="21"/>
    <col min="1788" max="1788" width="35.7109375" style="21" customWidth="1"/>
    <col min="1789" max="1789" width="10.140625" style="21" customWidth="1"/>
    <col min="1790" max="1791" width="9.5703125" style="21" customWidth="1"/>
    <col min="1792" max="1793" width="10" style="21" customWidth="1"/>
    <col min="1794" max="1794" width="9.140625" style="21" customWidth="1"/>
    <col min="1795" max="2043" width="11.5703125" style="21"/>
    <col min="2044" max="2044" width="35.7109375" style="21" customWidth="1"/>
    <col min="2045" max="2045" width="10.140625" style="21" customWidth="1"/>
    <col min="2046" max="2047" width="9.5703125" style="21" customWidth="1"/>
    <col min="2048" max="2049" width="10" style="21" customWidth="1"/>
    <col min="2050" max="2050" width="9.140625" style="21" customWidth="1"/>
    <col min="2051" max="2299" width="11.5703125" style="21"/>
    <col min="2300" max="2300" width="35.7109375" style="21" customWidth="1"/>
    <col min="2301" max="2301" width="10.140625" style="21" customWidth="1"/>
    <col min="2302" max="2303" width="9.5703125" style="21" customWidth="1"/>
    <col min="2304" max="2305" width="10" style="21" customWidth="1"/>
    <col min="2306" max="2306" width="9.140625" style="21" customWidth="1"/>
    <col min="2307" max="2555" width="11.5703125" style="21"/>
    <col min="2556" max="2556" width="35.7109375" style="21" customWidth="1"/>
    <col min="2557" max="2557" width="10.140625" style="21" customWidth="1"/>
    <col min="2558" max="2559" width="9.5703125" style="21" customWidth="1"/>
    <col min="2560" max="2561" width="10" style="21" customWidth="1"/>
    <col min="2562" max="2562" width="9.140625" style="21" customWidth="1"/>
    <col min="2563" max="2811" width="11.5703125" style="21"/>
    <col min="2812" max="2812" width="35.7109375" style="21" customWidth="1"/>
    <col min="2813" max="2813" width="10.140625" style="21" customWidth="1"/>
    <col min="2814" max="2815" width="9.5703125" style="21" customWidth="1"/>
    <col min="2816" max="2817" width="10" style="21" customWidth="1"/>
    <col min="2818" max="2818" width="9.140625" style="21" customWidth="1"/>
    <col min="2819" max="3067" width="11.5703125" style="21"/>
    <col min="3068" max="3068" width="35.7109375" style="21" customWidth="1"/>
    <col min="3069" max="3069" width="10.140625" style="21" customWidth="1"/>
    <col min="3070" max="3071" width="9.5703125" style="21" customWidth="1"/>
    <col min="3072" max="3073" width="10" style="21" customWidth="1"/>
    <col min="3074" max="3074" width="9.140625" style="21" customWidth="1"/>
    <col min="3075" max="3323" width="11.5703125" style="21"/>
    <col min="3324" max="3324" width="35.7109375" style="21" customWidth="1"/>
    <col min="3325" max="3325" width="10.140625" style="21" customWidth="1"/>
    <col min="3326" max="3327" width="9.5703125" style="21" customWidth="1"/>
    <col min="3328" max="3329" width="10" style="21" customWidth="1"/>
    <col min="3330" max="3330" width="9.140625" style="21" customWidth="1"/>
    <col min="3331" max="3579" width="11.5703125" style="21"/>
    <col min="3580" max="3580" width="35.7109375" style="21" customWidth="1"/>
    <col min="3581" max="3581" width="10.140625" style="21" customWidth="1"/>
    <col min="3582" max="3583" width="9.5703125" style="21" customWidth="1"/>
    <col min="3584" max="3585" width="10" style="21" customWidth="1"/>
    <col min="3586" max="3586" width="9.140625" style="21" customWidth="1"/>
    <col min="3587" max="3835" width="11.5703125" style="21"/>
    <col min="3836" max="3836" width="35.7109375" style="21" customWidth="1"/>
    <col min="3837" max="3837" width="10.140625" style="21" customWidth="1"/>
    <col min="3838" max="3839" width="9.5703125" style="21" customWidth="1"/>
    <col min="3840" max="3841" width="10" style="21" customWidth="1"/>
    <col min="3842" max="3842" width="9.140625" style="21" customWidth="1"/>
    <col min="3843" max="4091" width="11.5703125" style="21"/>
    <col min="4092" max="4092" width="35.7109375" style="21" customWidth="1"/>
    <col min="4093" max="4093" width="10.140625" style="21" customWidth="1"/>
    <col min="4094" max="4095" width="9.5703125" style="21" customWidth="1"/>
    <col min="4096" max="4097" width="10" style="21" customWidth="1"/>
    <col min="4098" max="4098" width="9.140625" style="21" customWidth="1"/>
    <col min="4099" max="4347" width="11.5703125" style="21"/>
    <col min="4348" max="4348" width="35.7109375" style="21" customWidth="1"/>
    <col min="4349" max="4349" width="10.140625" style="21" customWidth="1"/>
    <col min="4350" max="4351" width="9.5703125" style="21" customWidth="1"/>
    <col min="4352" max="4353" width="10" style="21" customWidth="1"/>
    <col min="4354" max="4354" width="9.140625" style="21" customWidth="1"/>
    <col min="4355" max="4603" width="11.5703125" style="21"/>
    <col min="4604" max="4604" width="35.7109375" style="21" customWidth="1"/>
    <col min="4605" max="4605" width="10.140625" style="21" customWidth="1"/>
    <col min="4606" max="4607" width="9.5703125" style="21" customWidth="1"/>
    <col min="4608" max="4609" width="10" style="21" customWidth="1"/>
    <col min="4610" max="4610" width="9.140625" style="21" customWidth="1"/>
    <col min="4611" max="4859" width="11.5703125" style="21"/>
    <col min="4860" max="4860" width="35.7109375" style="21" customWidth="1"/>
    <col min="4861" max="4861" width="10.140625" style="21" customWidth="1"/>
    <col min="4862" max="4863" width="9.5703125" style="21" customWidth="1"/>
    <col min="4864" max="4865" width="10" style="21" customWidth="1"/>
    <col min="4866" max="4866" width="9.140625" style="21" customWidth="1"/>
    <col min="4867" max="5115" width="11.5703125" style="21"/>
    <col min="5116" max="5116" width="35.7109375" style="21" customWidth="1"/>
    <col min="5117" max="5117" width="10.140625" style="21" customWidth="1"/>
    <col min="5118" max="5119" width="9.5703125" style="21" customWidth="1"/>
    <col min="5120" max="5121" width="10" style="21" customWidth="1"/>
    <col min="5122" max="5122" width="9.140625" style="21" customWidth="1"/>
    <col min="5123" max="5371" width="11.5703125" style="21"/>
    <col min="5372" max="5372" width="35.7109375" style="21" customWidth="1"/>
    <col min="5373" max="5373" width="10.140625" style="21" customWidth="1"/>
    <col min="5374" max="5375" width="9.5703125" style="21" customWidth="1"/>
    <col min="5376" max="5377" width="10" style="21" customWidth="1"/>
    <col min="5378" max="5378" width="9.140625" style="21" customWidth="1"/>
    <col min="5379" max="5627" width="11.5703125" style="21"/>
    <col min="5628" max="5628" width="35.7109375" style="21" customWidth="1"/>
    <col min="5629" max="5629" width="10.140625" style="21" customWidth="1"/>
    <col min="5630" max="5631" width="9.5703125" style="21" customWidth="1"/>
    <col min="5632" max="5633" width="10" style="21" customWidth="1"/>
    <col min="5634" max="5634" width="9.140625" style="21" customWidth="1"/>
    <col min="5635" max="5883" width="11.5703125" style="21"/>
    <col min="5884" max="5884" width="35.7109375" style="21" customWidth="1"/>
    <col min="5885" max="5885" width="10.140625" style="21" customWidth="1"/>
    <col min="5886" max="5887" width="9.5703125" style="21" customWidth="1"/>
    <col min="5888" max="5889" width="10" style="21" customWidth="1"/>
    <col min="5890" max="5890" width="9.140625" style="21" customWidth="1"/>
    <col min="5891" max="6139" width="11.5703125" style="21"/>
    <col min="6140" max="6140" width="35.7109375" style="21" customWidth="1"/>
    <col min="6141" max="6141" width="10.140625" style="21" customWidth="1"/>
    <col min="6142" max="6143" width="9.5703125" style="21" customWidth="1"/>
    <col min="6144" max="6145" width="10" style="21" customWidth="1"/>
    <col min="6146" max="6146" width="9.140625" style="21" customWidth="1"/>
    <col min="6147" max="6395" width="11.5703125" style="21"/>
    <col min="6396" max="6396" width="35.7109375" style="21" customWidth="1"/>
    <col min="6397" max="6397" width="10.140625" style="21" customWidth="1"/>
    <col min="6398" max="6399" width="9.5703125" style="21" customWidth="1"/>
    <col min="6400" max="6401" width="10" style="21" customWidth="1"/>
    <col min="6402" max="6402" width="9.140625" style="21" customWidth="1"/>
    <col min="6403" max="6651" width="11.5703125" style="21"/>
    <col min="6652" max="6652" width="35.7109375" style="21" customWidth="1"/>
    <col min="6653" max="6653" width="10.140625" style="21" customWidth="1"/>
    <col min="6654" max="6655" width="9.5703125" style="21" customWidth="1"/>
    <col min="6656" max="6657" width="10" style="21" customWidth="1"/>
    <col min="6658" max="6658" width="9.140625" style="21" customWidth="1"/>
    <col min="6659" max="6907" width="11.5703125" style="21"/>
    <col min="6908" max="6908" width="35.7109375" style="21" customWidth="1"/>
    <col min="6909" max="6909" width="10.140625" style="21" customWidth="1"/>
    <col min="6910" max="6911" width="9.5703125" style="21" customWidth="1"/>
    <col min="6912" max="6913" width="10" style="21" customWidth="1"/>
    <col min="6914" max="6914" width="9.140625" style="21" customWidth="1"/>
    <col min="6915" max="7163" width="11.5703125" style="21"/>
    <col min="7164" max="7164" width="35.7109375" style="21" customWidth="1"/>
    <col min="7165" max="7165" width="10.140625" style="21" customWidth="1"/>
    <col min="7166" max="7167" width="9.5703125" style="21" customWidth="1"/>
    <col min="7168" max="7169" width="10" style="21" customWidth="1"/>
    <col min="7170" max="7170" width="9.140625" style="21" customWidth="1"/>
    <col min="7171" max="7419" width="11.5703125" style="21"/>
    <col min="7420" max="7420" width="35.7109375" style="21" customWidth="1"/>
    <col min="7421" max="7421" width="10.140625" style="21" customWidth="1"/>
    <col min="7422" max="7423" width="9.5703125" style="21" customWidth="1"/>
    <col min="7424" max="7425" width="10" style="21" customWidth="1"/>
    <col min="7426" max="7426" width="9.140625" style="21" customWidth="1"/>
    <col min="7427" max="7675" width="11.5703125" style="21"/>
    <col min="7676" max="7676" width="35.7109375" style="21" customWidth="1"/>
    <col min="7677" max="7677" width="10.140625" style="21" customWidth="1"/>
    <col min="7678" max="7679" width="9.5703125" style="21" customWidth="1"/>
    <col min="7680" max="7681" width="10" style="21" customWidth="1"/>
    <col min="7682" max="7682" width="9.140625" style="21" customWidth="1"/>
    <col min="7683" max="7931" width="11.5703125" style="21"/>
    <col min="7932" max="7932" width="35.7109375" style="21" customWidth="1"/>
    <col min="7933" max="7933" width="10.140625" style="21" customWidth="1"/>
    <col min="7934" max="7935" width="9.5703125" style="21" customWidth="1"/>
    <col min="7936" max="7937" width="10" style="21" customWidth="1"/>
    <col min="7938" max="7938" width="9.140625" style="21" customWidth="1"/>
    <col min="7939" max="8187" width="11.5703125" style="21"/>
    <col min="8188" max="8188" width="35.7109375" style="21" customWidth="1"/>
    <col min="8189" max="8189" width="10.140625" style="21" customWidth="1"/>
    <col min="8190" max="8191" width="9.5703125" style="21" customWidth="1"/>
    <col min="8192" max="8193" width="10" style="21" customWidth="1"/>
    <col min="8194" max="8194" width="9.140625" style="21" customWidth="1"/>
    <col min="8195" max="8443" width="11.5703125" style="21"/>
    <col min="8444" max="8444" width="35.7109375" style="21" customWidth="1"/>
    <col min="8445" max="8445" width="10.140625" style="21" customWidth="1"/>
    <col min="8446" max="8447" width="9.5703125" style="21" customWidth="1"/>
    <col min="8448" max="8449" width="10" style="21" customWidth="1"/>
    <col min="8450" max="8450" width="9.140625" style="21" customWidth="1"/>
    <col min="8451" max="8699" width="11.5703125" style="21"/>
    <col min="8700" max="8700" width="35.7109375" style="21" customWidth="1"/>
    <col min="8701" max="8701" width="10.140625" style="21" customWidth="1"/>
    <col min="8702" max="8703" width="9.5703125" style="21" customWidth="1"/>
    <col min="8704" max="8705" width="10" style="21" customWidth="1"/>
    <col min="8706" max="8706" width="9.140625" style="21" customWidth="1"/>
    <col min="8707" max="8955" width="11.5703125" style="21"/>
    <col min="8956" max="8956" width="35.7109375" style="21" customWidth="1"/>
    <col min="8957" max="8957" width="10.140625" style="21" customWidth="1"/>
    <col min="8958" max="8959" width="9.5703125" style="21" customWidth="1"/>
    <col min="8960" max="8961" width="10" style="21" customWidth="1"/>
    <col min="8962" max="8962" width="9.140625" style="21" customWidth="1"/>
    <col min="8963" max="9211" width="11.5703125" style="21"/>
    <col min="9212" max="9212" width="35.7109375" style="21" customWidth="1"/>
    <col min="9213" max="9213" width="10.140625" style="21" customWidth="1"/>
    <col min="9214" max="9215" width="9.5703125" style="21" customWidth="1"/>
    <col min="9216" max="9217" width="10" style="21" customWidth="1"/>
    <col min="9218" max="9218" width="9.140625" style="21" customWidth="1"/>
    <col min="9219" max="9467" width="11.5703125" style="21"/>
    <col min="9468" max="9468" width="35.7109375" style="21" customWidth="1"/>
    <col min="9469" max="9469" width="10.140625" style="21" customWidth="1"/>
    <col min="9470" max="9471" width="9.5703125" style="21" customWidth="1"/>
    <col min="9472" max="9473" width="10" style="21" customWidth="1"/>
    <col min="9474" max="9474" width="9.140625" style="21" customWidth="1"/>
    <col min="9475" max="9723" width="11.5703125" style="21"/>
    <col min="9724" max="9724" width="35.7109375" style="21" customWidth="1"/>
    <col min="9725" max="9725" width="10.140625" style="21" customWidth="1"/>
    <col min="9726" max="9727" width="9.5703125" style="21" customWidth="1"/>
    <col min="9728" max="9729" width="10" style="21" customWidth="1"/>
    <col min="9730" max="9730" width="9.140625" style="21" customWidth="1"/>
    <col min="9731" max="9979" width="11.5703125" style="21"/>
    <col min="9980" max="9980" width="35.7109375" style="21" customWidth="1"/>
    <col min="9981" max="9981" width="10.140625" style="21" customWidth="1"/>
    <col min="9982" max="9983" width="9.5703125" style="21" customWidth="1"/>
    <col min="9984" max="9985" width="10" style="21" customWidth="1"/>
    <col min="9986" max="9986" width="9.140625" style="21" customWidth="1"/>
    <col min="9987" max="10235" width="11.5703125" style="21"/>
    <col min="10236" max="10236" width="35.7109375" style="21" customWidth="1"/>
    <col min="10237" max="10237" width="10.140625" style="21" customWidth="1"/>
    <col min="10238" max="10239" width="9.5703125" style="21" customWidth="1"/>
    <col min="10240" max="10241" width="10" style="21" customWidth="1"/>
    <col min="10242" max="10242" width="9.140625" style="21" customWidth="1"/>
    <col min="10243" max="10491" width="11.5703125" style="21"/>
    <col min="10492" max="10492" width="35.7109375" style="21" customWidth="1"/>
    <col min="10493" max="10493" width="10.140625" style="21" customWidth="1"/>
    <col min="10494" max="10495" width="9.5703125" style="21" customWidth="1"/>
    <col min="10496" max="10497" width="10" style="21" customWidth="1"/>
    <col min="10498" max="10498" width="9.140625" style="21" customWidth="1"/>
    <col min="10499" max="10747" width="11.5703125" style="21"/>
    <col min="10748" max="10748" width="35.7109375" style="21" customWidth="1"/>
    <col min="10749" max="10749" width="10.140625" style="21" customWidth="1"/>
    <col min="10750" max="10751" width="9.5703125" style="21" customWidth="1"/>
    <col min="10752" max="10753" width="10" style="21" customWidth="1"/>
    <col min="10754" max="10754" width="9.140625" style="21" customWidth="1"/>
    <col min="10755" max="11003" width="11.5703125" style="21"/>
    <col min="11004" max="11004" width="35.7109375" style="21" customWidth="1"/>
    <col min="11005" max="11005" width="10.140625" style="21" customWidth="1"/>
    <col min="11006" max="11007" width="9.5703125" style="21" customWidth="1"/>
    <col min="11008" max="11009" width="10" style="21" customWidth="1"/>
    <col min="11010" max="11010" width="9.140625" style="21" customWidth="1"/>
    <col min="11011" max="11259" width="11.5703125" style="21"/>
    <col min="11260" max="11260" width="35.7109375" style="21" customWidth="1"/>
    <col min="11261" max="11261" width="10.140625" style="21" customWidth="1"/>
    <col min="11262" max="11263" width="9.5703125" style="21" customWidth="1"/>
    <col min="11264" max="11265" width="10" style="21" customWidth="1"/>
    <col min="11266" max="11266" width="9.140625" style="21" customWidth="1"/>
    <col min="11267" max="11515" width="11.5703125" style="21"/>
    <col min="11516" max="11516" width="35.7109375" style="21" customWidth="1"/>
    <col min="11517" max="11517" width="10.140625" style="21" customWidth="1"/>
    <col min="11518" max="11519" width="9.5703125" style="21" customWidth="1"/>
    <col min="11520" max="11521" width="10" style="21" customWidth="1"/>
    <col min="11522" max="11522" width="9.140625" style="21" customWidth="1"/>
    <col min="11523" max="11771" width="11.5703125" style="21"/>
    <col min="11772" max="11772" width="35.7109375" style="21" customWidth="1"/>
    <col min="11773" max="11773" width="10.140625" style="21" customWidth="1"/>
    <col min="11774" max="11775" width="9.5703125" style="21" customWidth="1"/>
    <col min="11776" max="11777" width="10" style="21" customWidth="1"/>
    <col min="11778" max="11778" width="9.140625" style="21" customWidth="1"/>
    <col min="11779" max="12027" width="11.5703125" style="21"/>
    <col min="12028" max="12028" width="35.7109375" style="21" customWidth="1"/>
    <col min="12029" max="12029" width="10.140625" style="21" customWidth="1"/>
    <col min="12030" max="12031" width="9.5703125" style="21" customWidth="1"/>
    <col min="12032" max="12033" width="10" style="21" customWidth="1"/>
    <col min="12034" max="12034" width="9.140625" style="21" customWidth="1"/>
    <col min="12035" max="12283" width="11.5703125" style="21"/>
    <col min="12284" max="12284" width="35.7109375" style="21" customWidth="1"/>
    <col min="12285" max="12285" width="10.140625" style="21" customWidth="1"/>
    <col min="12286" max="12287" width="9.5703125" style="21" customWidth="1"/>
    <col min="12288" max="12289" width="10" style="21" customWidth="1"/>
    <col min="12290" max="12290" width="9.140625" style="21" customWidth="1"/>
    <col min="12291" max="12539" width="11.5703125" style="21"/>
    <col min="12540" max="12540" width="35.7109375" style="21" customWidth="1"/>
    <col min="12541" max="12541" width="10.140625" style="21" customWidth="1"/>
    <col min="12542" max="12543" width="9.5703125" style="21" customWidth="1"/>
    <col min="12544" max="12545" width="10" style="21" customWidth="1"/>
    <col min="12546" max="12546" width="9.140625" style="21" customWidth="1"/>
    <col min="12547" max="12795" width="11.5703125" style="21"/>
    <col min="12796" max="12796" width="35.7109375" style="21" customWidth="1"/>
    <col min="12797" max="12797" width="10.140625" style="21" customWidth="1"/>
    <col min="12798" max="12799" width="9.5703125" style="21" customWidth="1"/>
    <col min="12800" max="12801" width="10" style="21" customWidth="1"/>
    <col min="12802" max="12802" width="9.140625" style="21" customWidth="1"/>
    <col min="12803" max="13051" width="11.5703125" style="21"/>
    <col min="13052" max="13052" width="35.7109375" style="21" customWidth="1"/>
    <col min="13053" max="13053" width="10.140625" style="21" customWidth="1"/>
    <col min="13054" max="13055" width="9.5703125" style="21" customWidth="1"/>
    <col min="13056" max="13057" width="10" style="21" customWidth="1"/>
    <col min="13058" max="13058" width="9.140625" style="21" customWidth="1"/>
    <col min="13059" max="13307" width="11.5703125" style="21"/>
    <col min="13308" max="13308" width="35.7109375" style="21" customWidth="1"/>
    <col min="13309" max="13309" width="10.140625" style="21" customWidth="1"/>
    <col min="13310" max="13311" width="9.5703125" style="21" customWidth="1"/>
    <col min="13312" max="13313" width="10" style="21" customWidth="1"/>
    <col min="13314" max="13314" width="9.140625" style="21" customWidth="1"/>
    <col min="13315" max="13563" width="11.5703125" style="21"/>
    <col min="13564" max="13564" width="35.7109375" style="21" customWidth="1"/>
    <col min="13565" max="13565" width="10.140625" style="21" customWidth="1"/>
    <col min="13566" max="13567" width="9.5703125" style="21" customWidth="1"/>
    <col min="13568" max="13569" width="10" style="21" customWidth="1"/>
    <col min="13570" max="13570" width="9.140625" style="21" customWidth="1"/>
    <col min="13571" max="13819" width="11.5703125" style="21"/>
    <col min="13820" max="13820" width="35.7109375" style="21" customWidth="1"/>
    <col min="13821" max="13821" width="10.140625" style="21" customWidth="1"/>
    <col min="13822" max="13823" width="9.5703125" style="21" customWidth="1"/>
    <col min="13824" max="13825" width="10" style="21" customWidth="1"/>
    <col min="13826" max="13826" width="9.140625" style="21" customWidth="1"/>
    <col min="13827" max="14075" width="11.5703125" style="21"/>
    <col min="14076" max="14076" width="35.7109375" style="21" customWidth="1"/>
    <col min="14077" max="14077" width="10.140625" style="21" customWidth="1"/>
    <col min="14078" max="14079" width="9.5703125" style="21" customWidth="1"/>
    <col min="14080" max="14081" width="10" style="21" customWidth="1"/>
    <col min="14082" max="14082" width="9.140625" style="21" customWidth="1"/>
    <col min="14083" max="14331" width="11.5703125" style="21"/>
    <col min="14332" max="14332" width="35.7109375" style="21" customWidth="1"/>
    <col min="14333" max="14333" width="10.140625" style="21" customWidth="1"/>
    <col min="14334" max="14335" width="9.5703125" style="21" customWidth="1"/>
    <col min="14336" max="14337" width="10" style="21" customWidth="1"/>
    <col min="14338" max="14338" width="9.140625" style="21" customWidth="1"/>
    <col min="14339" max="14587" width="11.5703125" style="21"/>
    <col min="14588" max="14588" width="35.7109375" style="21" customWidth="1"/>
    <col min="14589" max="14589" width="10.140625" style="21" customWidth="1"/>
    <col min="14590" max="14591" width="9.5703125" style="21" customWidth="1"/>
    <col min="14592" max="14593" width="10" style="21" customWidth="1"/>
    <col min="14594" max="14594" width="9.140625" style="21" customWidth="1"/>
    <col min="14595" max="14843" width="11.5703125" style="21"/>
    <col min="14844" max="14844" width="35.7109375" style="21" customWidth="1"/>
    <col min="14845" max="14845" width="10.140625" style="21" customWidth="1"/>
    <col min="14846" max="14847" width="9.5703125" style="21" customWidth="1"/>
    <col min="14848" max="14849" width="10" style="21" customWidth="1"/>
    <col min="14850" max="14850" width="9.140625" style="21" customWidth="1"/>
    <col min="14851" max="15099" width="11.5703125" style="21"/>
    <col min="15100" max="15100" width="35.7109375" style="21" customWidth="1"/>
    <col min="15101" max="15101" width="10.140625" style="21" customWidth="1"/>
    <col min="15102" max="15103" width="9.5703125" style="21" customWidth="1"/>
    <col min="15104" max="15105" width="10" style="21" customWidth="1"/>
    <col min="15106" max="15106" width="9.140625" style="21" customWidth="1"/>
    <col min="15107" max="15355" width="11.5703125" style="21"/>
    <col min="15356" max="15356" width="35.7109375" style="21" customWidth="1"/>
    <col min="15357" max="15357" width="10.140625" style="21" customWidth="1"/>
    <col min="15358" max="15359" width="9.5703125" style="21" customWidth="1"/>
    <col min="15360" max="15361" width="10" style="21" customWidth="1"/>
    <col min="15362" max="15362" width="9.140625" style="21" customWidth="1"/>
    <col min="15363" max="15611" width="11.5703125" style="21"/>
    <col min="15612" max="15612" width="35.7109375" style="21" customWidth="1"/>
    <col min="15613" max="15613" width="10.140625" style="21" customWidth="1"/>
    <col min="15614" max="15615" width="9.5703125" style="21" customWidth="1"/>
    <col min="15616" max="15617" width="10" style="21" customWidth="1"/>
    <col min="15618" max="15618" width="9.140625" style="21" customWidth="1"/>
    <col min="15619" max="15867" width="11.5703125" style="21"/>
    <col min="15868" max="15868" width="35.7109375" style="21" customWidth="1"/>
    <col min="15869" max="15869" width="10.140625" style="21" customWidth="1"/>
    <col min="15870" max="15871" width="9.5703125" style="21" customWidth="1"/>
    <col min="15872" max="15873" width="10" style="21" customWidth="1"/>
    <col min="15874" max="15874" width="9.140625" style="21" customWidth="1"/>
    <col min="15875" max="16123" width="11.5703125" style="21"/>
    <col min="16124" max="16124" width="35.7109375" style="21" customWidth="1"/>
    <col min="16125" max="16125" width="10.140625" style="21" customWidth="1"/>
    <col min="16126" max="16127" width="9.5703125" style="21" customWidth="1"/>
    <col min="16128" max="16129" width="10" style="21" customWidth="1"/>
    <col min="16130" max="16130" width="9.140625" style="21" customWidth="1"/>
    <col min="16131" max="16377" width="11.5703125" style="21"/>
    <col min="16378" max="16384" width="11.5703125" style="21" customWidth="1"/>
  </cols>
  <sheetData>
    <row r="1" spans="2:11" x14ac:dyDescent="0.2">
      <c r="B1" s="20" t="s">
        <v>212</v>
      </c>
    </row>
    <row r="2" spans="2:11" x14ac:dyDescent="0.2">
      <c r="B2" s="20"/>
    </row>
    <row r="3" spans="2:11" ht="15" customHeight="1" x14ac:dyDescent="0.2">
      <c r="C3" s="672" t="s">
        <v>213</v>
      </c>
      <c r="D3" s="672"/>
      <c r="E3" s="672"/>
      <c r="F3" s="672"/>
      <c r="G3" s="672"/>
      <c r="H3" s="672"/>
      <c r="I3" s="672"/>
      <c r="K3" s="179"/>
    </row>
    <row r="4" spans="2:11" x14ac:dyDescent="0.2">
      <c r="C4" s="22"/>
      <c r="D4" s="22"/>
      <c r="E4" s="22"/>
      <c r="F4" s="22"/>
      <c r="G4" s="22"/>
    </row>
    <row r="5" spans="2:11" ht="14.25" x14ac:dyDescent="0.2">
      <c r="C5" s="542" t="s">
        <v>26</v>
      </c>
      <c r="D5" s="542" t="s">
        <v>214</v>
      </c>
      <c r="E5" s="542" t="s">
        <v>215</v>
      </c>
      <c r="F5" s="542" t="s">
        <v>216</v>
      </c>
      <c r="G5" s="542" t="s">
        <v>217</v>
      </c>
      <c r="H5" s="542" t="s">
        <v>218</v>
      </c>
      <c r="I5" s="542" t="s">
        <v>219</v>
      </c>
    </row>
    <row r="6" spans="2:11" ht="15" x14ac:dyDescent="0.25">
      <c r="C6" s="536" t="s">
        <v>510</v>
      </c>
      <c r="D6" s="537">
        <f>-'INVERSION INICIAL'!D8</f>
        <v>-9187</v>
      </c>
      <c r="E6" s="537"/>
      <c r="F6" s="537">
        <f>-'Depreciacion y VR'!C7</f>
        <v>-2287</v>
      </c>
      <c r="G6" s="537">
        <f>-'Depreciacion y VR'!C8</f>
        <v>-2500</v>
      </c>
      <c r="H6" s="537">
        <f>F6</f>
        <v>-2287</v>
      </c>
      <c r="I6" s="538"/>
    </row>
    <row r="7" spans="2:11" ht="15" x14ac:dyDescent="0.25">
      <c r="C7" s="536" t="s">
        <v>511</v>
      </c>
      <c r="D7" s="537">
        <f>-'INVERSION INICIAL'!D16</f>
        <v>-1435</v>
      </c>
      <c r="E7" s="537"/>
      <c r="F7" s="537"/>
      <c r="G7" s="537"/>
      <c r="H7" s="538"/>
      <c r="I7" s="538"/>
    </row>
    <row r="8" spans="2:11" ht="15" x14ac:dyDescent="0.25">
      <c r="C8" s="536" t="s">
        <v>512</v>
      </c>
      <c r="D8" s="537">
        <f>-'INVERSION INICIAL'!D24</f>
        <v>-61307.420712560386</v>
      </c>
      <c r="E8" s="679">
        <f>+D8</f>
        <v>-61307.420712560386</v>
      </c>
      <c r="F8" s="537">
        <v>0</v>
      </c>
      <c r="G8" s="537">
        <v>0</v>
      </c>
      <c r="H8" s="537">
        <v>0</v>
      </c>
      <c r="I8" s="538"/>
    </row>
    <row r="9" spans="2:11" ht="15" x14ac:dyDescent="0.25">
      <c r="C9" s="536" t="s">
        <v>513</v>
      </c>
      <c r="D9" s="537"/>
      <c r="E9" s="537"/>
      <c r="F9" s="537"/>
      <c r="G9" s="537"/>
      <c r="H9" s="538"/>
      <c r="I9" s="537">
        <f>-SUM(D8:H8)</f>
        <v>122614.84142512077</v>
      </c>
    </row>
    <row r="10" spans="2:11" ht="15" x14ac:dyDescent="0.25">
      <c r="C10" s="536" t="s">
        <v>514</v>
      </c>
      <c r="D10" s="538"/>
      <c r="E10" s="538"/>
      <c r="F10" s="538"/>
      <c r="G10" s="539"/>
      <c r="H10" s="538"/>
      <c r="I10" s="537">
        <f>'Depreciacion y VR'!H11</f>
        <v>1976.8333333333335</v>
      </c>
    </row>
    <row r="11" spans="2:11" ht="14.25" x14ac:dyDescent="0.2">
      <c r="C11" s="534" t="s">
        <v>515</v>
      </c>
      <c r="D11" s="535">
        <f>SUM(D6:D10)</f>
        <v>-71929.420712560386</v>
      </c>
      <c r="E11" s="535">
        <f t="shared" ref="E11:I11" si="0">SUM(E6:E10)</f>
        <v>-61307.420712560386</v>
      </c>
      <c r="F11" s="535">
        <f>SUM(F6:F10)</f>
        <v>-2287</v>
      </c>
      <c r="G11" s="535">
        <f t="shared" si="0"/>
        <v>-2500</v>
      </c>
      <c r="H11" s="535">
        <f t="shared" si="0"/>
        <v>-2287</v>
      </c>
      <c r="I11" s="535">
        <f t="shared" si="0"/>
        <v>124591.6747584541</v>
      </c>
    </row>
    <row r="12" spans="2:11" ht="15" x14ac:dyDescent="0.25">
      <c r="C12" s="536" t="s">
        <v>220</v>
      </c>
      <c r="D12" s="537"/>
      <c r="E12" s="537">
        <f>'Presupuesto de ventas'!P17</f>
        <v>579600</v>
      </c>
      <c r="F12" s="537">
        <f>'Presupuesto de ventas'!P18</f>
        <v>856800</v>
      </c>
      <c r="G12" s="537">
        <f>'Presupuesto de ventas'!P19</f>
        <v>856800</v>
      </c>
      <c r="H12" s="537">
        <f>'Presupuesto de ventas'!P20</f>
        <v>856800</v>
      </c>
      <c r="I12" s="537">
        <f>'Presupuesto de ventas'!P21</f>
        <v>856800</v>
      </c>
    </row>
    <row r="13" spans="2:11" ht="15" x14ac:dyDescent="0.25">
      <c r="C13" s="536" t="s">
        <v>221</v>
      </c>
      <c r="D13" s="537"/>
      <c r="E13" s="540">
        <f>-'ESTADO RESULTADOS '!D11</f>
        <v>-474019.33333333331</v>
      </c>
      <c r="F13" s="540">
        <f>-'ESTADO RESULTADOS '!E11</f>
        <v>-700724.23188405787</v>
      </c>
      <c r="G13" s="540">
        <f>-'ESTADO RESULTADOS '!F11</f>
        <v>-700724.23188405787</v>
      </c>
      <c r="H13" s="540">
        <f>-'ESTADO RESULTADOS '!G11</f>
        <v>-700724.23188405787</v>
      </c>
      <c r="I13" s="540">
        <f>-'ESTADO RESULTADOS '!H11</f>
        <v>-700724.23188405787</v>
      </c>
    </row>
    <row r="14" spans="2:11" ht="15" x14ac:dyDescent="0.25">
      <c r="B14" s="20" t="s">
        <v>289</v>
      </c>
      <c r="C14" s="536" t="s">
        <v>517</v>
      </c>
      <c r="D14" s="537"/>
      <c r="E14" s="537">
        <f>-('ESTADO RESULTADOS '!D15+'ESTADO RESULTADOS '!D16)</f>
        <v>-34964.816666666666</v>
      </c>
      <c r="F14" s="537">
        <f>-('ESTADO RESULTADOS '!E15+'ESTADO RESULTADOS '!E16)</f>
        <v>-34964.816666666666</v>
      </c>
      <c r="G14" s="537">
        <f>-('ESTADO RESULTADOS '!F15+'ESTADO RESULTADOS '!F16)</f>
        <v>-34964.816666666666</v>
      </c>
      <c r="H14" s="537">
        <f>-('ESTADO RESULTADOS '!G15+'ESTADO RESULTADOS '!G16)</f>
        <v>-34964.816666666666</v>
      </c>
      <c r="I14" s="537">
        <f>-('ESTADO RESULTADOS '!H15+'ESTADO RESULTADOS '!H16)</f>
        <v>-34964.816666666666</v>
      </c>
    </row>
    <row r="15" spans="2:11" ht="15" x14ac:dyDescent="0.25">
      <c r="C15" s="541" t="s">
        <v>222</v>
      </c>
      <c r="D15" s="537"/>
      <c r="E15" s="537">
        <f>-IGV!D17</f>
        <v>-14518.229999999981</v>
      </c>
      <c r="F15" s="537">
        <f>-IGV!E17</f>
        <v>-23607.348260869621</v>
      </c>
      <c r="G15" s="537">
        <f>-IGV!F17</f>
        <v>-23607.348260869621</v>
      </c>
      <c r="H15" s="537">
        <f>-IGV!G17</f>
        <v>-23607.348260869621</v>
      </c>
      <c r="I15" s="537">
        <f>-IGV!H17</f>
        <v>-23607.348260869621</v>
      </c>
    </row>
    <row r="16" spans="2:11" ht="15" x14ac:dyDescent="0.25">
      <c r="C16" s="536" t="s">
        <v>518</v>
      </c>
      <c r="D16" s="537"/>
      <c r="E16" s="537">
        <f>-'ESTADO RESULTADOS '!D21</f>
        <v>-7034.2449166666738</v>
      </c>
      <c r="F16" s="537">
        <f>-'ESTADO RESULTADOS '!E21</f>
        <v>-21930.299844202927</v>
      </c>
      <c r="G16" s="537">
        <f>-'ESTADO RESULTADOS '!F21</f>
        <v>-21930.299844202927</v>
      </c>
      <c r="H16" s="537">
        <f>-'ESTADO RESULTADOS '!G21</f>
        <v>-21930.299844202927</v>
      </c>
      <c r="I16" s="537">
        <f>-'ESTADO RESULTADOS '!H21</f>
        <v>-21930.299844202927</v>
      </c>
    </row>
    <row r="17" spans="2:11" ht="14.25" x14ac:dyDescent="0.2">
      <c r="C17" s="534" t="s">
        <v>516</v>
      </c>
      <c r="D17" s="535">
        <f t="shared" ref="D17:I17" si="1">SUM(D12:D16)</f>
        <v>0</v>
      </c>
      <c r="E17" s="535">
        <f>SUM(E12:E16)</f>
        <v>49063.375083333362</v>
      </c>
      <c r="F17" s="535">
        <f t="shared" si="1"/>
        <v>75573.303344202926</v>
      </c>
      <c r="G17" s="535">
        <f t="shared" si="1"/>
        <v>75573.303344202926</v>
      </c>
      <c r="H17" s="535">
        <f t="shared" si="1"/>
        <v>75573.303344202926</v>
      </c>
      <c r="I17" s="535">
        <f t="shared" si="1"/>
        <v>75573.303344202926</v>
      </c>
    </row>
    <row r="18" spans="2:11" ht="14.25" x14ac:dyDescent="0.2">
      <c r="C18" s="543" t="s">
        <v>223</v>
      </c>
      <c r="D18" s="544">
        <f t="shared" ref="D18:I18" si="2">D11+D17</f>
        <v>-71929.420712560386</v>
      </c>
      <c r="E18" s="544">
        <f t="shared" si="2"/>
        <v>-12244.045629227025</v>
      </c>
      <c r="F18" s="544">
        <f t="shared" si="2"/>
        <v>73286.303344202926</v>
      </c>
      <c r="G18" s="544">
        <f t="shared" si="2"/>
        <v>73073.303344202926</v>
      </c>
      <c r="H18" s="544">
        <f t="shared" si="2"/>
        <v>73286.303344202926</v>
      </c>
      <c r="I18" s="544">
        <f t="shared" si="2"/>
        <v>200164.97810265701</v>
      </c>
    </row>
    <row r="19" spans="2:11" x14ac:dyDescent="0.2">
      <c r="C19" s="545" t="s">
        <v>519</v>
      </c>
      <c r="D19" s="546"/>
      <c r="E19" s="533"/>
      <c r="F19" s="533"/>
      <c r="G19" s="533"/>
      <c r="H19" s="533"/>
      <c r="I19" s="533"/>
    </row>
    <row r="20" spans="2:11" x14ac:dyDescent="0.2">
      <c r="C20" s="545" t="s">
        <v>520</v>
      </c>
      <c r="D20" s="546"/>
      <c r="E20" s="533"/>
      <c r="F20" s="533"/>
      <c r="G20" s="533"/>
      <c r="H20" s="533"/>
      <c r="I20" s="533"/>
    </row>
    <row r="21" spans="2:11" x14ac:dyDescent="0.2">
      <c r="C21" s="532"/>
      <c r="D21" s="533"/>
      <c r="E21" s="533"/>
      <c r="F21" s="533"/>
      <c r="G21" s="533"/>
      <c r="H21" s="533"/>
      <c r="I21" s="533"/>
    </row>
    <row r="22" spans="2:11" x14ac:dyDescent="0.2">
      <c r="C22" s="532"/>
      <c r="D22" s="533"/>
      <c r="E22" s="533"/>
      <c r="F22" s="533"/>
      <c r="G22" s="533"/>
      <c r="H22" s="533"/>
      <c r="I22" s="533"/>
    </row>
    <row r="23" spans="2:11" x14ac:dyDescent="0.2">
      <c r="B23" s="530"/>
      <c r="C23" s="531"/>
      <c r="D23" s="530"/>
      <c r="E23" s="530"/>
      <c r="F23" s="530"/>
      <c r="G23" s="530"/>
      <c r="H23" s="530"/>
      <c r="I23" s="530"/>
      <c r="J23" s="530"/>
    </row>
    <row r="24" spans="2:11" x14ac:dyDescent="0.2">
      <c r="C24" s="528" t="s">
        <v>224</v>
      </c>
      <c r="D24" s="529">
        <f>Flujo_Deuda!E3</f>
        <v>20000</v>
      </c>
      <c r="E24" s="529"/>
      <c r="F24" s="529"/>
      <c r="G24" s="529"/>
      <c r="H24" s="23"/>
      <c r="I24" s="24"/>
    </row>
    <row r="25" spans="2:11" x14ac:dyDescent="0.2">
      <c r="C25" s="25" t="s">
        <v>225</v>
      </c>
      <c r="D25" s="26"/>
      <c r="E25" s="26">
        <f>-(Flujo_Deuda!J12)</f>
        <v>-12015.43573322372</v>
      </c>
      <c r="F25" s="26">
        <f>-(Flujo_Deuda!K12)</f>
        <v>-12015.43573322372</v>
      </c>
      <c r="G25" s="26"/>
      <c r="H25" s="28"/>
      <c r="I25" s="27"/>
    </row>
    <row r="26" spans="2:11" ht="15" customHeight="1" x14ac:dyDescent="0.2">
      <c r="C26" s="25" t="s">
        <v>186</v>
      </c>
      <c r="D26" s="26"/>
      <c r="E26" s="26">
        <f>-(Flujo_Deuda!L12)</f>
        <v>-2920.5505228470306</v>
      </c>
      <c r="F26" s="26">
        <f>-(Flujo_Deuda!M12)</f>
        <v>-1110.3209436004149</v>
      </c>
      <c r="G26" s="26"/>
      <c r="H26" s="28"/>
      <c r="I26" s="27"/>
      <c r="K26" s="180"/>
    </row>
    <row r="27" spans="2:11" x14ac:dyDescent="0.2">
      <c r="C27" s="25" t="s">
        <v>226</v>
      </c>
      <c r="D27" s="26"/>
      <c r="E27" s="26">
        <f>-E26*Resumen!H12</f>
        <v>861.56240423987401</v>
      </c>
      <c r="F27" s="26">
        <f>-F26*Resumen!H12</f>
        <v>327.5446783621224</v>
      </c>
      <c r="G27" s="26"/>
      <c r="H27" s="28"/>
      <c r="I27" s="27"/>
    </row>
    <row r="28" spans="2:11" x14ac:dyDescent="0.2">
      <c r="C28" s="29" t="s">
        <v>227</v>
      </c>
      <c r="D28" s="30">
        <f t="shared" ref="D28:I28" si="3">SUM(D24:D27)</f>
        <v>20000</v>
      </c>
      <c r="E28" s="30">
        <f>SUM(E24:E27)</f>
        <v>-14074.423851830876</v>
      </c>
      <c r="F28" s="30">
        <f>SUM(F24:F27)</f>
        <v>-12798.211998462011</v>
      </c>
      <c r="G28" s="30">
        <f t="shared" si="3"/>
        <v>0</v>
      </c>
      <c r="H28" s="30">
        <f t="shared" si="3"/>
        <v>0</v>
      </c>
      <c r="I28" s="30">
        <f t="shared" si="3"/>
        <v>0</v>
      </c>
    </row>
    <row r="29" spans="2:11" x14ac:dyDescent="0.2">
      <c r="C29" s="453" t="s">
        <v>228</v>
      </c>
      <c r="D29" s="454">
        <f>D18+D28</f>
        <v>-51929.420712560386</v>
      </c>
      <c r="E29" s="454">
        <f>E18+E28</f>
        <v>-26318.469481057902</v>
      </c>
      <c r="F29" s="454">
        <f>F18+F28</f>
        <v>60488.091345740919</v>
      </c>
      <c r="G29" s="454">
        <f t="shared" ref="G29:H29" si="4">G18+G28</f>
        <v>73073.303344202926</v>
      </c>
      <c r="H29" s="454">
        <f t="shared" si="4"/>
        <v>73286.303344202926</v>
      </c>
      <c r="I29" s="454">
        <f>I18+I28</f>
        <v>200164.97810265701</v>
      </c>
    </row>
    <row r="30" spans="2:11" x14ac:dyDescent="0.2">
      <c r="C30" s="31" t="s">
        <v>229</v>
      </c>
    </row>
    <row r="31" spans="2:11" x14ac:dyDescent="0.2">
      <c r="C31" s="31" t="s">
        <v>230</v>
      </c>
    </row>
    <row r="32" spans="2:11" ht="13.5" thickBot="1" x14ac:dyDescent="0.25"/>
    <row r="33" spans="3:9" ht="13.5" thickBot="1" x14ac:dyDescent="0.25">
      <c r="C33" s="525" t="s">
        <v>231</v>
      </c>
      <c r="D33" s="526">
        <f>D18+D27</f>
        <v>-71929.420712560386</v>
      </c>
      <c r="E33" s="526">
        <f>E18+E27</f>
        <v>-11382.483224987151</v>
      </c>
      <c r="F33" s="526">
        <f t="shared" ref="E33:I33" si="5">F18+F27</f>
        <v>73613.848022565042</v>
      </c>
      <c r="G33" s="526">
        <f t="shared" si="5"/>
        <v>73073.303344202926</v>
      </c>
      <c r="H33" s="526">
        <f t="shared" si="5"/>
        <v>73286.303344202926</v>
      </c>
      <c r="I33" s="527">
        <f t="shared" si="5"/>
        <v>200164.97810265701</v>
      </c>
    </row>
    <row r="34" spans="3:9" x14ac:dyDescent="0.2">
      <c r="C34" s="22"/>
      <c r="D34" s="22"/>
      <c r="E34" s="22"/>
      <c r="F34" s="22"/>
      <c r="G34" s="22"/>
      <c r="H34" s="22"/>
      <c r="I34" s="22"/>
    </row>
    <row r="35" spans="3:9" x14ac:dyDescent="0.2">
      <c r="C35" s="31"/>
    </row>
    <row r="37" spans="3:9" x14ac:dyDescent="0.2">
      <c r="E37" s="181" t="s">
        <v>251</v>
      </c>
      <c r="F37" s="182">
        <f>Rentabilidad!D13</f>
        <v>135582.7354689528</v>
      </c>
    </row>
    <row r="38" spans="3:9" x14ac:dyDescent="0.2">
      <c r="E38" s="181" t="s">
        <v>286</v>
      </c>
      <c r="F38" s="183">
        <f>Rentabilidad!D22</f>
        <v>963.3226337849859</v>
      </c>
    </row>
    <row r="39" spans="3:9" x14ac:dyDescent="0.2">
      <c r="E39" s="181" t="s">
        <v>252</v>
      </c>
      <c r="F39" s="183">
        <f>SUM(F37:F38)</f>
        <v>136546.05810273779</v>
      </c>
    </row>
  </sheetData>
  <mergeCells count="1">
    <mergeCell ref="C3:I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1:M1005"/>
  <sheetViews>
    <sheetView tabSelected="1" topLeftCell="A7" zoomScale="97" zoomScaleNormal="130" workbookViewId="0">
      <selection activeCell="D24" sqref="D24"/>
    </sheetView>
  </sheetViews>
  <sheetFormatPr baseColWidth="10" defaultColWidth="14.42578125" defaultRowHeight="15" customHeight="1" x14ac:dyDescent="0.2"/>
  <cols>
    <col min="1" max="1" width="3.5703125" style="248" customWidth="1"/>
    <col min="2" max="2" width="3.28515625" style="248" customWidth="1"/>
    <col min="3" max="3" width="20.85546875" style="248" customWidth="1"/>
    <col min="4" max="4" width="15.85546875" style="248" customWidth="1"/>
    <col min="5" max="5" width="6.5703125" style="248" customWidth="1"/>
    <col min="6" max="6" width="10" style="248" customWidth="1"/>
    <col min="7" max="7" width="22" style="248" customWidth="1"/>
    <col min="8" max="8" width="12" style="248" customWidth="1"/>
    <col min="9" max="9" width="6.5703125" style="248" customWidth="1"/>
    <col min="10" max="29" width="10" style="248" customWidth="1"/>
    <col min="30" max="16384" width="14.42578125" style="248"/>
  </cols>
  <sheetData>
    <row r="1" spans="2:13" ht="15" customHeight="1" thickBot="1" x14ac:dyDescent="0.25"/>
    <row r="2" spans="2:13" ht="15" customHeight="1" thickBot="1" x14ac:dyDescent="0.25">
      <c r="C2" s="676" t="s">
        <v>526</v>
      </c>
      <c r="D2" s="677"/>
      <c r="E2" s="678"/>
      <c r="G2" s="676" t="s">
        <v>497</v>
      </c>
      <c r="H2" s="677"/>
      <c r="I2" s="678"/>
    </row>
    <row r="3" spans="2:13" ht="15" customHeight="1" thickBot="1" x14ac:dyDescent="0.25"/>
    <row r="4" spans="2:13" ht="12.75" customHeight="1" x14ac:dyDescent="0.2">
      <c r="B4" s="247"/>
      <c r="C4" s="673" t="s">
        <v>365</v>
      </c>
      <c r="D4" s="674"/>
      <c r="E4" s="675"/>
      <c r="G4" s="673" t="s">
        <v>365</v>
      </c>
      <c r="H4" s="674"/>
      <c r="I4" s="675"/>
    </row>
    <row r="5" spans="2:13" ht="12.75" customHeight="1" x14ac:dyDescent="0.2">
      <c r="B5" s="247"/>
      <c r="C5" s="547"/>
      <c r="D5" s="547"/>
      <c r="E5" s="547"/>
      <c r="F5" s="548"/>
      <c r="G5" s="547"/>
      <c r="H5" s="547"/>
      <c r="I5" s="547"/>
    </row>
    <row r="6" spans="2:13" ht="12.75" customHeight="1" x14ac:dyDescent="0.2">
      <c r="B6" s="247"/>
      <c r="C6" s="553" t="s">
        <v>521</v>
      </c>
      <c r="D6" s="553" t="s">
        <v>522</v>
      </c>
      <c r="E6" s="553"/>
      <c r="F6" s="549"/>
      <c r="G6" s="553" t="s">
        <v>521</v>
      </c>
      <c r="H6" s="553" t="s">
        <v>522</v>
      </c>
      <c r="I6" s="553"/>
    </row>
    <row r="7" spans="2:13" ht="22.5" customHeight="1" x14ac:dyDescent="0.2">
      <c r="C7" s="255" t="s">
        <v>503</v>
      </c>
      <c r="D7" s="518">
        <f>' Ku COK'!D11</f>
        <v>0.21909199999999998</v>
      </c>
      <c r="E7" s="255"/>
      <c r="F7" s="548"/>
      <c r="G7" s="255" t="s">
        <v>504</v>
      </c>
      <c r="H7" s="518">
        <f>' Ku COK'!I11</f>
        <v>0.1104</v>
      </c>
      <c r="I7" s="255"/>
      <c r="M7" s="249" t="s">
        <v>366</v>
      </c>
    </row>
    <row r="8" spans="2:13" ht="19.5" customHeight="1" x14ac:dyDescent="0.35">
      <c r="C8" s="255" t="s">
        <v>499</v>
      </c>
      <c r="D8" s="518">
        <f>' Ku COK'!D12</f>
        <v>0.22102516470588232</v>
      </c>
      <c r="E8" s="255"/>
      <c r="F8" s="548"/>
      <c r="G8" s="255" t="s">
        <v>500</v>
      </c>
      <c r="H8" s="518">
        <f>((H7*((1+H9)/(1+H10))))</f>
        <v>0.11137411764705882</v>
      </c>
      <c r="I8" s="255"/>
      <c r="M8" s="250" t="s">
        <v>367</v>
      </c>
    </row>
    <row r="9" spans="2:13" ht="16.5" customHeight="1" x14ac:dyDescent="0.2">
      <c r="C9" s="255" t="s">
        <v>501</v>
      </c>
      <c r="D9" s="519">
        <f>' Ku COK'!E16</f>
        <v>2.9000000000000001E-2</v>
      </c>
      <c r="E9" s="255"/>
      <c r="F9" s="550"/>
      <c r="G9" s="255" t="s">
        <v>501</v>
      </c>
      <c r="H9" s="519">
        <f>D9</f>
        <v>2.9000000000000001E-2</v>
      </c>
      <c r="I9" s="255"/>
    </row>
    <row r="10" spans="2:13" ht="18" customHeight="1" x14ac:dyDescent="0.2">
      <c r="C10" s="255" t="s">
        <v>502</v>
      </c>
      <c r="D10" s="519">
        <f>' Ku COK'!E15</f>
        <v>0.02</v>
      </c>
      <c r="E10" s="255"/>
      <c r="F10" s="548"/>
      <c r="G10" s="255" t="s">
        <v>502</v>
      </c>
      <c r="H10" s="519">
        <f>D10</f>
        <v>0.02</v>
      </c>
      <c r="I10" s="255"/>
    </row>
    <row r="11" spans="2:13" ht="16.5" customHeight="1" x14ac:dyDescent="0.2">
      <c r="C11" s="255" t="s">
        <v>368</v>
      </c>
      <c r="D11" s="518">
        <f>((1+D8)/(1+D9))-1</f>
        <v>0.18661337677928325</v>
      </c>
      <c r="E11" s="255"/>
      <c r="F11" s="550"/>
      <c r="G11" s="255" t="s">
        <v>368</v>
      </c>
      <c r="H11" s="518">
        <f>((1+H8)/(1+H9))-1</f>
        <v>8.0052592465557737E-2</v>
      </c>
      <c r="I11" s="255"/>
      <c r="M11" s="249" t="s">
        <v>369</v>
      </c>
    </row>
    <row r="12" spans="2:13" ht="15.75" customHeight="1" x14ac:dyDescent="0.2">
      <c r="C12" s="255"/>
      <c r="D12" s="520"/>
      <c r="E12" s="255"/>
      <c r="F12" s="551"/>
      <c r="G12" s="255"/>
      <c r="H12" s="520"/>
      <c r="I12" s="255"/>
      <c r="M12" s="249" t="s">
        <v>370</v>
      </c>
    </row>
    <row r="13" spans="2:13" ht="12.75" customHeight="1" x14ac:dyDescent="0.2">
      <c r="C13" s="556" t="s">
        <v>285</v>
      </c>
      <c r="D13" s="558">
        <f>NPV(D11,'Flujos de Caja'!E18:I18)+'Flujos de Caja'!D18</f>
        <v>135582.7354689528</v>
      </c>
      <c r="E13" s="556" t="s">
        <v>134</v>
      </c>
      <c r="F13" s="548"/>
      <c r="G13" s="554" t="s">
        <v>285</v>
      </c>
      <c r="H13" s="555">
        <f>NPV(H11,'Flujos de Caja'!E18:I18)+'Flujos de Caja'!D18</f>
        <v>227611.48198536647</v>
      </c>
      <c r="I13" s="554" t="s">
        <v>134</v>
      </c>
    </row>
    <row r="14" spans="2:13" ht="12.75" customHeight="1" x14ac:dyDescent="0.2">
      <c r="C14" s="255"/>
      <c r="D14" s="521"/>
      <c r="E14" s="255"/>
      <c r="F14" s="548"/>
      <c r="G14" s="255"/>
      <c r="H14" s="521"/>
      <c r="I14" s="255"/>
    </row>
    <row r="15" spans="2:13" ht="12.75" customHeight="1" x14ac:dyDescent="0.2">
      <c r="C15" s="556" t="s">
        <v>371</v>
      </c>
      <c r="D15" s="557">
        <f>IRR('Flujos de Caja'!D18:I18)</f>
        <v>0.58181423997282389</v>
      </c>
      <c r="E15" s="556" t="s">
        <v>498</v>
      </c>
      <c r="F15" s="548"/>
      <c r="G15" s="556" t="s">
        <v>371</v>
      </c>
      <c r="H15" s="557">
        <f>IRR('Flujos de Caja'!D18:I18)</f>
        <v>0.58181423997282389</v>
      </c>
      <c r="I15" s="556" t="s">
        <v>498</v>
      </c>
    </row>
    <row r="16" spans="2:13" ht="12.75" customHeight="1" x14ac:dyDescent="0.2">
      <c r="C16" s="255"/>
      <c r="D16" s="552"/>
      <c r="E16" s="255"/>
      <c r="F16" s="548"/>
      <c r="G16" s="255"/>
      <c r="H16" s="552"/>
      <c r="I16" s="255"/>
    </row>
    <row r="17" spans="2:9" ht="12.75" customHeight="1" thickBot="1" x14ac:dyDescent="0.25"/>
    <row r="18" spans="2:9" ht="12.75" customHeight="1" x14ac:dyDescent="0.2">
      <c r="B18" s="247"/>
      <c r="C18" s="673" t="s">
        <v>372</v>
      </c>
      <c r="D18" s="674"/>
      <c r="E18" s="675"/>
      <c r="G18" s="673" t="s">
        <v>372</v>
      </c>
      <c r="H18" s="674"/>
      <c r="I18" s="675"/>
    </row>
    <row r="19" spans="2:9" ht="23.25" customHeight="1" x14ac:dyDescent="0.2">
      <c r="C19" s="252" t="s">
        <v>373</v>
      </c>
      <c r="D19" s="254">
        <f>Flujo_Deuda!E4</f>
        <v>0.21629999999999999</v>
      </c>
      <c r="E19" s="253"/>
      <c r="G19" s="252" t="s">
        <v>373</v>
      </c>
      <c r="H19" s="254">
        <f>D19</f>
        <v>0.21629999999999999</v>
      </c>
      <c r="I19" s="253"/>
    </row>
    <row r="20" spans="2:9" ht="17.25" customHeight="1" x14ac:dyDescent="0.2">
      <c r="C20" s="252" t="s">
        <v>374</v>
      </c>
      <c r="D20" s="254">
        <f>((1+D19)/(1+D9))-1</f>
        <v>0.18202137998056367</v>
      </c>
      <c r="E20" s="253"/>
      <c r="G20" s="252" t="s">
        <v>374</v>
      </c>
      <c r="H20" s="254">
        <f>((1+H19)/(1+H9))-1</f>
        <v>0.18202137998056367</v>
      </c>
      <c r="I20" s="253"/>
    </row>
    <row r="21" spans="2:9" ht="12.75" customHeight="1" x14ac:dyDescent="0.2">
      <c r="C21" s="252"/>
      <c r="D21" s="255"/>
      <c r="E21" s="253"/>
      <c r="G21" s="252"/>
      <c r="H21" s="255"/>
      <c r="I21" s="253"/>
    </row>
    <row r="22" spans="2:9" ht="12.75" customHeight="1" x14ac:dyDescent="0.2">
      <c r="C22" s="252" t="s">
        <v>375</v>
      </c>
      <c r="D22" s="455">
        <f>NPV(D20,'Flujos de Caja'!E27:F27)</f>
        <v>963.3226337849859</v>
      </c>
      <c r="E22" s="253" t="s">
        <v>134</v>
      </c>
      <c r="G22" s="252" t="s">
        <v>375</v>
      </c>
      <c r="H22" s="566">
        <f>NPV(H20,'Flujos de Caja'!E27:F27)</f>
        <v>963.3226337849859</v>
      </c>
      <c r="I22" s="253" t="s">
        <v>134</v>
      </c>
    </row>
    <row r="23" spans="2:9" ht="12.75" customHeight="1" x14ac:dyDescent="0.2">
      <c r="C23" s="252"/>
      <c r="D23" s="255"/>
      <c r="E23" s="253"/>
      <c r="G23" s="252"/>
      <c r="H23" s="255"/>
      <c r="I23" s="253"/>
    </row>
    <row r="24" spans="2:9" ht="12.75" customHeight="1" x14ac:dyDescent="0.2">
      <c r="C24" s="252" t="s">
        <v>376</v>
      </c>
      <c r="D24" s="256">
        <f>D13+D22</f>
        <v>136546.05810273779</v>
      </c>
      <c r="E24" s="253" t="s">
        <v>134</v>
      </c>
      <c r="F24" s="251"/>
      <c r="G24" s="252" t="s">
        <v>376</v>
      </c>
      <c r="H24" s="256">
        <f>H13+H22</f>
        <v>228574.80461915146</v>
      </c>
      <c r="I24" s="253" t="s">
        <v>134</v>
      </c>
    </row>
    <row r="25" spans="2:9" ht="12.75" customHeight="1" x14ac:dyDescent="0.2">
      <c r="C25" s="252"/>
      <c r="D25" s="255"/>
      <c r="E25" s="253"/>
      <c r="G25" s="252"/>
      <c r="H25" s="255"/>
      <c r="I25" s="253"/>
    </row>
    <row r="26" spans="2:9" ht="12.75" customHeight="1" x14ac:dyDescent="0.2">
      <c r="C26" s="252" t="s">
        <v>377</v>
      </c>
      <c r="D26" s="523">
        <f>IRR('Flujos de Caja'!D33:I33)</f>
        <v>0.5860332030781763</v>
      </c>
      <c r="E26" s="253"/>
      <c r="F26" s="251"/>
      <c r="G26" s="252" t="s">
        <v>377</v>
      </c>
      <c r="H26" s="524">
        <f>IRR('Flujos de Caja'!D33:I33)</f>
        <v>0.5860332030781763</v>
      </c>
      <c r="I26" s="253"/>
    </row>
    <row r="27" spans="2:9" ht="12.75" customHeight="1" thickBot="1" x14ac:dyDescent="0.25">
      <c r="C27" s="257"/>
      <c r="D27" s="258"/>
      <c r="E27" s="259"/>
      <c r="G27" s="257"/>
      <c r="H27" s="258"/>
      <c r="I27" s="259"/>
    </row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6">
    <mergeCell ref="C4:E4"/>
    <mergeCell ref="C18:E18"/>
    <mergeCell ref="C2:E2"/>
    <mergeCell ref="G2:I2"/>
    <mergeCell ref="G4:I4"/>
    <mergeCell ref="G18:I1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6:N16"/>
  <sheetViews>
    <sheetView zoomScale="110" zoomScaleNormal="110" workbookViewId="0">
      <selection activeCell="L6" sqref="L6"/>
    </sheetView>
  </sheetViews>
  <sheetFormatPr baseColWidth="10" defaultColWidth="10.7109375" defaultRowHeight="12.75" x14ac:dyDescent="0.2"/>
  <cols>
    <col min="1" max="1" width="3.42578125" style="34" customWidth="1"/>
    <col min="2" max="2" width="6.5703125" style="34" customWidth="1"/>
    <col min="3" max="3" width="8.7109375" style="34" customWidth="1"/>
    <col min="4" max="4" width="7.7109375" style="34" customWidth="1"/>
    <col min="5" max="5" width="8.140625" style="34" customWidth="1"/>
    <col min="6" max="6" width="2.140625" style="34" customWidth="1"/>
    <col min="7" max="7" width="23.7109375" style="34" customWidth="1"/>
    <col min="8" max="8" width="10.42578125" style="34" customWidth="1"/>
    <col min="9" max="9" width="30.5703125" style="34" customWidth="1"/>
    <col min="10" max="10" width="17.140625" style="34" customWidth="1"/>
    <col min="11" max="11" width="14.28515625" style="34" customWidth="1"/>
    <col min="12" max="255" width="11.5703125" style="34"/>
    <col min="256" max="256" width="3.42578125" style="34" customWidth="1"/>
    <col min="257" max="257" width="6.5703125" style="34" customWidth="1"/>
    <col min="258" max="258" width="8" style="34" customWidth="1"/>
    <col min="259" max="259" width="7.7109375" style="34" customWidth="1"/>
    <col min="260" max="260" width="7" style="34" customWidth="1"/>
    <col min="261" max="261" width="2.140625" style="34" customWidth="1"/>
    <col min="262" max="262" width="11.5703125" style="34"/>
    <col min="263" max="263" width="7.42578125" style="34" customWidth="1"/>
    <col min="264" max="264" width="14.85546875" style="34" customWidth="1"/>
    <col min="265" max="511" width="11.5703125" style="34"/>
    <col min="512" max="512" width="3.42578125" style="34" customWidth="1"/>
    <col min="513" max="513" width="6.5703125" style="34" customWidth="1"/>
    <col min="514" max="514" width="8" style="34" customWidth="1"/>
    <col min="515" max="515" width="7.7109375" style="34" customWidth="1"/>
    <col min="516" max="516" width="7" style="34" customWidth="1"/>
    <col min="517" max="517" width="2.140625" style="34" customWidth="1"/>
    <col min="518" max="518" width="11.5703125" style="34"/>
    <col min="519" max="519" width="7.42578125" style="34" customWidth="1"/>
    <col min="520" max="520" width="14.85546875" style="34" customWidth="1"/>
    <col min="521" max="767" width="11.5703125" style="34"/>
    <col min="768" max="768" width="3.42578125" style="34" customWidth="1"/>
    <col min="769" max="769" width="6.5703125" style="34" customWidth="1"/>
    <col min="770" max="770" width="8" style="34" customWidth="1"/>
    <col min="771" max="771" width="7.7109375" style="34" customWidth="1"/>
    <col min="772" max="772" width="7" style="34" customWidth="1"/>
    <col min="773" max="773" width="2.140625" style="34" customWidth="1"/>
    <col min="774" max="774" width="11.5703125" style="34"/>
    <col min="775" max="775" width="7.42578125" style="34" customWidth="1"/>
    <col min="776" max="776" width="14.85546875" style="34" customWidth="1"/>
    <col min="777" max="1023" width="11.5703125" style="34"/>
    <col min="1024" max="1024" width="3.42578125" style="34" customWidth="1"/>
    <col min="1025" max="1025" width="6.5703125" style="34" customWidth="1"/>
    <col min="1026" max="1026" width="8" style="34" customWidth="1"/>
    <col min="1027" max="1027" width="7.7109375" style="34" customWidth="1"/>
    <col min="1028" max="1028" width="7" style="34" customWidth="1"/>
    <col min="1029" max="1029" width="2.140625" style="34" customWidth="1"/>
    <col min="1030" max="1030" width="11.5703125" style="34"/>
    <col min="1031" max="1031" width="7.42578125" style="34" customWidth="1"/>
    <col min="1032" max="1032" width="14.85546875" style="34" customWidth="1"/>
    <col min="1033" max="1279" width="11.5703125" style="34"/>
    <col min="1280" max="1280" width="3.42578125" style="34" customWidth="1"/>
    <col min="1281" max="1281" width="6.5703125" style="34" customWidth="1"/>
    <col min="1282" max="1282" width="8" style="34" customWidth="1"/>
    <col min="1283" max="1283" width="7.7109375" style="34" customWidth="1"/>
    <col min="1284" max="1284" width="7" style="34" customWidth="1"/>
    <col min="1285" max="1285" width="2.140625" style="34" customWidth="1"/>
    <col min="1286" max="1286" width="11.5703125" style="34"/>
    <col min="1287" max="1287" width="7.42578125" style="34" customWidth="1"/>
    <col min="1288" max="1288" width="14.85546875" style="34" customWidth="1"/>
    <col min="1289" max="1535" width="11.5703125" style="34"/>
    <col min="1536" max="1536" width="3.42578125" style="34" customWidth="1"/>
    <col min="1537" max="1537" width="6.5703125" style="34" customWidth="1"/>
    <col min="1538" max="1538" width="8" style="34" customWidth="1"/>
    <col min="1539" max="1539" width="7.7109375" style="34" customWidth="1"/>
    <col min="1540" max="1540" width="7" style="34" customWidth="1"/>
    <col min="1541" max="1541" width="2.140625" style="34" customWidth="1"/>
    <col min="1542" max="1542" width="11.5703125" style="34"/>
    <col min="1543" max="1543" width="7.42578125" style="34" customWidth="1"/>
    <col min="1544" max="1544" width="14.85546875" style="34" customWidth="1"/>
    <col min="1545" max="1791" width="11.5703125" style="34"/>
    <col min="1792" max="1792" width="3.42578125" style="34" customWidth="1"/>
    <col min="1793" max="1793" width="6.5703125" style="34" customWidth="1"/>
    <col min="1794" max="1794" width="8" style="34" customWidth="1"/>
    <col min="1795" max="1795" width="7.7109375" style="34" customWidth="1"/>
    <col min="1796" max="1796" width="7" style="34" customWidth="1"/>
    <col min="1797" max="1797" width="2.140625" style="34" customWidth="1"/>
    <col min="1798" max="1798" width="11.5703125" style="34"/>
    <col min="1799" max="1799" width="7.42578125" style="34" customWidth="1"/>
    <col min="1800" max="1800" width="14.85546875" style="34" customWidth="1"/>
    <col min="1801" max="2047" width="11.5703125" style="34"/>
    <col min="2048" max="2048" width="3.42578125" style="34" customWidth="1"/>
    <col min="2049" max="2049" width="6.5703125" style="34" customWidth="1"/>
    <col min="2050" max="2050" width="8" style="34" customWidth="1"/>
    <col min="2051" max="2051" width="7.7109375" style="34" customWidth="1"/>
    <col min="2052" max="2052" width="7" style="34" customWidth="1"/>
    <col min="2053" max="2053" width="2.140625" style="34" customWidth="1"/>
    <col min="2054" max="2054" width="11.5703125" style="34"/>
    <col min="2055" max="2055" width="7.42578125" style="34" customWidth="1"/>
    <col min="2056" max="2056" width="14.85546875" style="34" customWidth="1"/>
    <col min="2057" max="2303" width="11.5703125" style="34"/>
    <col min="2304" max="2304" width="3.42578125" style="34" customWidth="1"/>
    <col min="2305" max="2305" width="6.5703125" style="34" customWidth="1"/>
    <col min="2306" max="2306" width="8" style="34" customWidth="1"/>
    <col min="2307" max="2307" width="7.7109375" style="34" customWidth="1"/>
    <col min="2308" max="2308" width="7" style="34" customWidth="1"/>
    <col min="2309" max="2309" width="2.140625" style="34" customWidth="1"/>
    <col min="2310" max="2310" width="11.5703125" style="34"/>
    <col min="2311" max="2311" width="7.42578125" style="34" customWidth="1"/>
    <col min="2312" max="2312" width="14.85546875" style="34" customWidth="1"/>
    <col min="2313" max="2559" width="11.5703125" style="34"/>
    <col min="2560" max="2560" width="3.42578125" style="34" customWidth="1"/>
    <col min="2561" max="2561" width="6.5703125" style="34" customWidth="1"/>
    <col min="2562" max="2562" width="8" style="34" customWidth="1"/>
    <col min="2563" max="2563" width="7.7109375" style="34" customWidth="1"/>
    <col min="2564" max="2564" width="7" style="34" customWidth="1"/>
    <col min="2565" max="2565" width="2.140625" style="34" customWidth="1"/>
    <col min="2566" max="2566" width="11.5703125" style="34"/>
    <col min="2567" max="2567" width="7.42578125" style="34" customWidth="1"/>
    <col min="2568" max="2568" width="14.85546875" style="34" customWidth="1"/>
    <col min="2569" max="2815" width="11.5703125" style="34"/>
    <col min="2816" max="2816" width="3.42578125" style="34" customWidth="1"/>
    <col min="2817" max="2817" width="6.5703125" style="34" customWidth="1"/>
    <col min="2818" max="2818" width="8" style="34" customWidth="1"/>
    <col min="2819" max="2819" width="7.7109375" style="34" customWidth="1"/>
    <col min="2820" max="2820" width="7" style="34" customWidth="1"/>
    <col min="2821" max="2821" width="2.140625" style="34" customWidth="1"/>
    <col min="2822" max="2822" width="11.5703125" style="34"/>
    <col min="2823" max="2823" width="7.42578125" style="34" customWidth="1"/>
    <col min="2824" max="2824" width="14.85546875" style="34" customWidth="1"/>
    <col min="2825" max="3071" width="11.5703125" style="34"/>
    <col min="3072" max="3072" width="3.42578125" style="34" customWidth="1"/>
    <col min="3073" max="3073" width="6.5703125" style="34" customWidth="1"/>
    <col min="3074" max="3074" width="8" style="34" customWidth="1"/>
    <col min="3075" max="3075" width="7.7109375" style="34" customWidth="1"/>
    <col min="3076" max="3076" width="7" style="34" customWidth="1"/>
    <col min="3077" max="3077" width="2.140625" style="34" customWidth="1"/>
    <col min="3078" max="3078" width="11.5703125" style="34"/>
    <col min="3079" max="3079" width="7.42578125" style="34" customWidth="1"/>
    <col min="3080" max="3080" width="14.85546875" style="34" customWidth="1"/>
    <col min="3081" max="3327" width="11.5703125" style="34"/>
    <col min="3328" max="3328" width="3.42578125" style="34" customWidth="1"/>
    <col min="3329" max="3329" width="6.5703125" style="34" customWidth="1"/>
    <col min="3330" max="3330" width="8" style="34" customWidth="1"/>
    <col min="3331" max="3331" width="7.7109375" style="34" customWidth="1"/>
    <col min="3332" max="3332" width="7" style="34" customWidth="1"/>
    <col min="3333" max="3333" width="2.140625" style="34" customWidth="1"/>
    <col min="3334" max="3334" width="11.5703125" style="34"/>
    <col min="3335" max="3335" width="7.42578125" style="34" customWidth="1"/>
    <col min="3336" max="3336" width="14.85546875" style="34" customWidth="1"/>
    <col min="3337" max="3583" width="11.5703125" style="34"/>
    <col min="3584" max="3584" width="3.42578125" style="34" customWidth="1"/>
    <col min="3585" max="3585" width="6.5703125" style="34" customWidth="1"/>
    <col min="3586" max="3586" width="8" style="34" customWidth="1"/>
    <col min="3587" max="3587" width="7.7109375" style="34" customWidth="1"/>
    <col min="3588" max="3588" width="7" style="34" customWidth="1"/>
    <col min="3589" max="3589" width="2.140625" style="34" customWidth="1"/>
    <col min="3590" max="3590" width="11.5703125" style="34"/>
    <col min="3591" max="3591" width="7.42578125" style="34" customWidth="1"/>
    <col min="3592" max="3592" width="14.85546875" style="34" customWidth="1"/>
    <col min="3593" max="3839" width="11.5703125" style="34"/>
    <col min="3840" max="3840" width="3.42578125" style="34" customWidth="1"/>
    <col min="3841" max="3841" width="6.5703125" style="34" customWidth="1"/>
    <col min="3842" max="3842" width="8" style="34" customWidth="1"/>
    <col min="3843" max="3843" width="7.7109375" style="34" customWidth="1"/>
    <col min="3844" max="3844" width="7" style="34" customWidth="1"/>
    <col min="3845" max="3845" width="2.140625" style="34" customWidth="1"/>
    <col min="3846" max="3846" width="11.5703125" style="34"/>
    <col min="3847" max="3847" width="7.42578125" style="34" customWidth="1"/>
    <col min="3848" max="3848" width="14.85546875" style="34" customWidth="1"/>
    <col min="3849" max="4095" width="11.5703125" style="34"/>
    <col min="4096" max="4096" width="3.42578125" style="34" customWidth="1"/>
    <col min="4097" max="4097" width="6.5703125" style="34" customWidth="1"/>
    <col min="4098" max="4098" width="8" style="34" customWidth="1"/>
    <col min="4099" max="4099" width="7.7109375" style="34" customWidth="1"/>
    <col min="4100" max="4100" width="7" style="34" customWidth="1"/>
    <col min="4101" max="4101" width="2.140625" style="34" customWidth="1"/>
    <col min="4102" max="4102" width="11.5703125" style="34"/>
    <col min="4103" max="4103" width="7.42578125" style="34" customWidth="1"/>
    <col min="4104" max="4104" width="14.85546875" style="34" customWidth="1"/>
    <col min="4105" max="4351" width="11.5703125" style="34"/>
    <col min="4352" max="4352" width="3.42578125" style="34" customWidth="1"/>
    <col min="4353" max="4353" width="6.5703125" style="34" customWidth="1"/>
    <col min="4354" max="4354" width="8" style="34" customWidth="1"/>
    <col min="4355" max="4355" width="7.7109375" style="34" customWidth="1"/>
    <col min="4356" max="4356" width="7" style="34" customWidth="1"/>
    <col min="4357" max="4357" width="2.140625" style="34" customWidth="1"/>
    <col min="4358" max="4358" width="11.5703125" style="34"/>
    <col min="4359" max="4359" width="7.42578125" style="34" customWidth="1"/>
    <col min="4360" max="4360" width="14.85546875" style="34" customWidth="1"/>
    <col min="4361" max="4607" width="11.5703125" style="34"/>
    <col min="4608" max="4608" width="3.42578125" style="34" customWidth="1"/>
    <col min="4609" max="4609" width="6.5703125" style="34" customWidth="1"/>
    <col min="4610" max="4610" width="8" style="34" customWidth="1"/>
    <col min="4611" max="4611" width="7.7109375" style="34" customWidth="1"/>
    <col min="4612" max="4612" width="7" style="34" customWidth="1"/>
    <col min="4613" max="4613" width="2.140625" style="34" customWidth="1"/>
    <col min="4614" max="4614" width="11.5703125" style="34"/>
    <col min="4615" max="4615" width="7.42578125" style="34" customWidth="1"/>
    <col min="4616" max="4616" width="14.85546875" style="34" customWidth="1"/>
    <col min="4617" max="4863" width="11.5703125" style="34"/>
    <col min="4864" max="4864" width="3.42578125" style="34" customWidth="1"/>
    <col min="4865" max="4865" width="6.5703125" style="34" customWidth="1"/>
    <col min="4866" max="4866" width="8" style="34" customWidth="1"/>
    <col min="4867" max="4867" width="7.7109375" style="34" customWidth="1"/>
    <col min="4868" max="4868" width="7" style="34" customWidth="1"/>
    <col min="4869" max="4869" width="2.140625" style="34" customWidth="1"/>
    <col min="4870" max="4870" width="11.5703125" style="34"/>
    <col min="4871" max="4871" width="7.42578125" style="34" customWidth="1"/>
    <col min="4872" max="4872" width="14.85546875" style="34" customWidth="1"/>
    <col min="4873" max="5119" width="11.5703125" style="34"/>
    <col min="5120" max="5120" width="3.42578125" style="34" customWidth="1"/>
    <col min="5121" max="5121" width="6.5703125" style="34" customWidth="1"/>
    <col min="5122" max="5122" width="8" style="34" customWidth="1"/>
    <col min="5123" max="5123" width="7.7109375" style="34" customWidth="1"/>
    <col min="5124" max="5124" width="7" style="34" customWidth="1"/>
    <col min="5125" max="5125" width="2.140625" style="34" customWidth="1"/>
    <col min="5126" max="5126" width="11.5703125" style="34"/>
    <col min="5127" max="5127" width="7.42578125" style="34" customWidth="1"/>
    <col min="5128" max="5128" width="14.85546875" style="34" customWidth="1"/>
    <col min="5129" max="5375" width="11.5703125" style="34"/>
    <col min="5376" max="5376" width="3.42578125" style="34" customWidth="1"/>
    <col min="5377" max="5377" width="6.5703125" style="34" customWidth="1"/>
    <col min="5378" max="5378" width="8" style="34" customWidth="1"/>
    <col min="5379" max="5379" width="7.7109375" style="34" customWidth="1"/>
    <col min="5380" max="5380" width="7" style="34" customWidth="1"/>
    <col min="5381" max="5381" width="2.140625" style="34" customWidth="1"/>
    <col min="5382" max="5382" width="11.5703125" style="34"/>
    <col min="5383" max="5383" width="7.42578125" style="34" customWidth="1"/>
    <col min="5384" max="5384" width="14.85546875" style="34" customWidth="1"/>
    <col min="5385" max="5631" width="11.5703125" style="34"/>
    <col min="5632" max="5632" width="3.42578125" style="34" customWidth="1"/>
    <col min="5633" max="5633" width="6.5703125" style="34" customWidth="1"/>
    <col min="5634" max="5634" width="8" style="34" customWidth="1"/>
    <col min="5635" max="5635" width="7.7109375" style="34" customWidth="1"/>
    <col min="5636" max="5636" width="7" style="34" customWidth="1"/>
    <col min="5637" max="5637" width="2.140625" style="34" customWidth="1"/>
    <col min="5638" max="5638" width="11.5703125" style="34"/>
    <col min="5639" max="5639" width="7.42578125" style="34" customWidth="1"/>
    <col min="5640" max="5640" width="14.85546875" style="34" customWidth="1"/>
    <col min="5641" max="5887" width="11.5703125" style="34"/>
    <col min="5888" max="5888" width="3.42578125" style="34" customWidth="1"/>
    <col min="5889" max="5889" width="6.5703125" style="34" customWidth="1"/>
    <col min="5890" max="5890" width="8" style="34" customWidth="1"/>
    <col min="5891" max="5891" width="7.7109375" style="34" customWidth="1"/>
    <col min="5892" max="5892" width="7" style="34" customWidth="1"/>
    <col min="5893" max="5893" width="2.140625" style="34" customWidth="1"/>
    <col min="5894" max="5894" width="11.5703125" style="34"/>
    <col min="5895" max="5895" width="7.42578125" style="34" customWidth="1"/>
    <col min="5896" max="5896" width="14.85546875" style="34" customWidth="1"/>
    <col min="5897" max="6143" width="11.5703125" style="34"/>
    <col min="6144" max="6144" width="3.42578125" style="34" customWidth="1"/>
    <col min="6145" max="6145" width="6.5703125" style="34" customWidth="1"/>
    <col min="6146" max="6146" width="8" style="34" customWidth="1"/>
    <col min="6147" max="6147" width="7.7109375" style="34" customWidth="1"/>
    <col min="6148" max="6148" width="7" style="34" customWidth="1"/>
    <col min="6149" max="6149" width="2.140625" style="34" customWidth="1"/>
    <col min="6150" max="6150" width="11.5703125" style="34"/>
    <col min="6151" max="6151" width="7.42578125" style="34" customWidth="1"/>
    <col min="6152" max="6152" width="14.85546875" style="34" customWidth="1"/>
    <col min="6153" max="6399" width="11.5703125" style="34"/>
    <col min="6400" max="6400" width="3.42578125" style="34" customWidth="1"/>
    <col min="6401" max="6401" width="6.5703125" style="34" customWidth="1"/>
    <col min="6402" max="6402" width="8" style="34" customWidth="1"/>
    <col min="6403" max="6403" width="7.7109375" style="34" customWidth="1"/>
    <col min="6404" max="6404" width="7" style="34" customWidth="1"/>
    <col min="6405" max="6405" width="2.140625" style="34" customWidth="1"/>
    <col min="6406" max="6406" width="11.5703125" style="34"/>
    <col min="6407" max="6407" width="7.42578125" style="34" customWidth="1"/>
    <col min="6408" max="6408" width="14.85546875" style="34" customWidth="1"/>
    <col min="6409" max="6655" width="11.5703125" style="34"/>
    <col min="6656" max="6656" width="3.42578125" style="34" customWidth="1"/>
    <col min="6657" max="6657" width="6.5703125" style="34" customWidth="1"/>
    <col min="6658" max="6658" width="8" style="34" customWidth="1"/>
    <col min="6659" max="6659" width="7.7109375" style="34" customWidth="1"/>
    <col min="6660" max="6660" width="7" style="34" customWidth="1"/>
    <col min="6661" max="6661" width="2.140625" style="34" customWidth="1"/>
    <col min="6662" max="6662" width="11.5703125" style="34"/>
    <col min="6663" max="6663" width="7.42578125" style="34" customWidth="1"/>
    <col min="6664" max="6664" width="14.85546875" style="34" customWidth="1"/>
    <col min="6665" max="6911" width="11.5703125" style="34"/>
    <col min="6912" max="6912" width="3.42578125" style="34" customWidth="1"/>
    <col min="6913" max="6913" width="6.5703125" style="34" customWidth="1"/>
    <col min="6914" max="6914" width="8" style="34" customWidth="1"/>
    <col min="6915" max="6915" width="7.7109375" style="34" customWidth="1"/>
    <col min="6916" max="6916" width="7" style="34" customWidth="1"/>
    <col min="6917" max="6917" width="2.140625" style="34" customWidth="1"/>
    <col min="6918" max="6918" width="11.5703125" style="34"/>
    <col min="6919" max="6919" width="7.42578125" style="34" customWidth="1"/>
    <col min="6920" max="6920" width="14.85546875" style="34" customWidth="1"/>
    <col min="6921" max="7167" width="11.5703125" style="34"/>
    <col min="7168" max="7168" width="3.42578125" style="34" customWidth="1"/>
    <col min="7169" max="7169" width="6.5703125" style="34" customWidth="1"/>
    <col min="7170" max="7170" width="8" style="34" customWidth="1"/>
    <col min="7171" max="7171" width="7.7109375" style="34" customWidth="1"/>
    <col min="7172" max="7172" width="7" style="34" customWidth="1"/>
    <col min="7173" max="7173" width="2.140625" style="34" customWidth="1"/>
    <col min="7174" max="7174" width="11.5703125" style="34"/>
    <col min="7175" max="7175" width="7.42578125" style="34" customWidth="1"/>
    <col min="7176" max="7176" width="14.85546875" style="34" customWidth="1"/>
    <col min="7177" max="7423" width="11.5703125" style="34"/>
    <col min="7424" max="7424" width="3.42578125" style="34" customWidth="1"/>
    <col min="7425" max="7425" width="6.5703125" style="34" customWidth="1"/>
    <col min="7426" max="7426" width="8" style="34" customWidth="1"/>
    <col min="7427" max="7427" width="7.7109375" style="34" customWidth="1"/>
    <col min="7428" max="7428" width="7" style="34" customWidth="1"/>
    <col min="7429" max="7429" width="2.140625" style="34" customWidth="1"/>
    <col min="7430" max="7430" width="11.5703125" style="34"/>
    <col min="7431" max="7431" width="7.42578125" style="34" customWidth="1"/>
    <col min="7432" max="7432" width="14.85546875" style="34" customWidth="1"/>
    <col min="7433" max="7679" width="11.5703125" style="34"/>
    <col min="7680" max="7680" width="3.42578125" style="34" customWidth="1"/>
    <col min="7681" max="7681" width="6.5703125" style="34" customWidth="1"/>
    <col min="7682" max="7682" width="8" style="34" customWidth="1"/>
    <col min="7683" max="7683" width="7.7109375" style="34" customWidth="1"/>
    <col min="7684" max="7684" width="7" style="34" customWidth="1"/>
    <col min="7685" max="7685" width="2.140625" style="34" customWidth="1"/>
    <col min="7686" max="7686" width="11.5703125" style="34"/>
    <col min="7687" max="7687" width="7.42578125" style="34" customWidth="1"/>
    <col min="7688" max="7688" width="14.85546875" style="34" customWidth="1"/>
    <col min="7689" max="7935" width="11.5703125" style="34"/>
    <col min="7936" max="7936" width="3.42578125" style="34" customWidth="1"/>
    <col min="7937" max="7937" width="6.5703125" style="34" customWidth="1"/>
    <col min="7938" max="7938" width="8" style="34" customWidth="1"/>
    <col min="7939" max="7939" width="7.7109375" style="34" customWidth="1"/>
    <col min="7940" max="7940" width="7" style="34" customWidth="1"/>
    <col min="7941" max="7941" width="2.140625" style="34" customWidth="1"/>
    <col min="7942" max="7942" width="11.5703125" style="34"/>
    <col min="7943" max="7943" width="7.42578125" style="34" customWidth="1"/>
    <col min="7944" max="7944" width="14.85546875" style="34" customWidth="1"/>
    <col min="7945" max="8191" width="11.5703125" style="34"/>
    <col min="8192" max="8192" width="3.42578125" style="34" customWidth="1"/>
    <col min="8193" max="8193" width="6.5703125" style="34" customWidth="1"/>
    <col min="8194" max="8194" width="8" style="34" customWidth="1"/>
    <col min="8195" max="8195" width="7.7109375" style="34" customWidth="1"/>
    <col min="8196" max="8196" width="7" style="34" customWidth="1"/>
    <col min="8197" max="8197" width="2.140625" style="34" customWidth="1"/>
    <col min="8198" max="8198" width="11.5703125" style="34"/>
    <col min="8199" max="8199" width="7.42578125" style="34" customWidth="1"/>
    <col min="8200" max="8200" width="14.85546875" style="34" customWidth="1"/>
    <col min="8201" max="8447" width="11.5703125" style="34"/>
    <col min="8448" max="8448" width="3.42578125" style="34" customWidth="1"/>
    <col min="8449" max="8449" width="6.5703125" style="34" customWidth="1"/>
    <col min="8450" max="8450" width="8" style="34" customWidth="1"/>
    <col min="8451" max="8451" width="7.7109375" style="34" customWidth="1"/>
    <col min="8452" max="8452" width="7" style="34" customWidth="1"/>
    <col min="8453" max="8453" width="2.140625" style="34" customWidth="1"/>
    <col min="8454" max="8454" width="11.5703125" style="34"/>
    <col min="8455" max="8455" width="7.42578125" style="34" customWidth="1"/>
    <col min="8456" max="8456" width="14.85546875" style="34" customWidth="1"/>
    <col min="8457" max="8703" width="11.5703125" style="34"/>
    <col min="8704" max="8704" width="3.42578125" style="34" customWidth="1"/>
    <col min="8705" max="8705" width="6.5703125" style="34" customWidth="1"/>
    <col min="8706" max="8706" width="8" style="34" customWidth="1"/>
    <col min="8707" max="8707" width="7.7109375" style="34" customWidth="1"/>
    <col min="8708" max="8708" width="7" style="34" customWidth="1"/>
    <col min="8709" max="8709" width="2.140625" style="34" customWidth="1"/>
    <col min="8710" max="8710" width="11.5703125" style="34"/>
    <col min="8711" max="8711" width="7.42578125" style="34" customWidth="1"/>
    <col min="8712" max="8712" width="14.85546875" style="34" customWidth="1"/>
    <col min="8713" max="8959" width="11.5703125" style="34"/>
    <col min="8960" max="8960" width="3.42578125" style="34" customWidth="1"/>
    <col min="8961" max="8961" width="6.5703125" style="34" customWidth="1"/>
    <col min="8962" max="8962" width="8" style="34" customWidth="1"/>
    <col min="8963" max="8963" width="7.7109375" style="34" customWidth="1"/>
    <col min="8964" max="8964" width="7" style="34" customWidth="1"/>
    <col min="8965" max="8965" width="2.140625" style="34" customWidth="1"/>
    <col min="8966" max="8966" width="11.5703125" style="34"/>
    <col min="8967" max="8967" width="7.42578125" style="34" customWidth="1"/>
    <col min="8968" max="8968" width="14.85546875" style="34" customWidth="1"/>
    <col min="8969" max="9215" width="11.5703125" style="34"/>
    <col min="9216" max="9216" width="3.42578125" style="34" customWidth="1"/>
    <col min="9217" max="9217" width="6.5703125" style="34" customWidth="1"/>
    <col min="9218" max="9218" width="8" style="34" customWidth="1"/>
    <col min="9219" max="9219" width="7.7109375" style="34" customWidth="1"/>
    <col min="9220" max="9220" width="7" style="34" customWidth="1"/>
    <col min="9221" max="9221" width="2.140625" style="34" customWidth="1"/>
    <col min="9222" max="9222" width="11.5703125" style="34"/>
    <col min="9223" max="9223" width="7.42578125" style="34" customWidth="1"/>
    <col min="9224" max="9224" width="14.85546875" style="34" customWidth="1"/>
    <col min="9225" max="9471" width="11.5703125" style="34"/>
    <col min="9472" max="9472" width="3.42578125" style="34" customWidth="1"/>
    <col min="9473" max="9473" width="6.5703125" style="34" customWidth="1"/>
    <col min="9474" max="9474" width="8" style="34" customWidth="1"/>
    <col min="9475" max="9475" width="7.7109375" style="34" customWidth="1"/>
    <col min="9476" max="9476" width="7" style="34" customWidth="1"/>
    <col min="9477" max="9477" width="2.140625" style="34" customWidth="1"/>
    <col min="9478" max="9478" width="11.5703125" style="34"/>
    <col min="9479" max="9479" width="7.42578125" style="34" customWidth="1"/>
    <col min="9480" max="9480" width="14.85546875" style="34" customWidth="1"/>
    <col min="9481" max="9727" width="11.5703125" style="34"/>
    <col min="9728" max="9728" width="3.42578125" style="34" customWidth="1"/>
    <col min="9729" max="9729" width="6.5703125" style="34" customWidth="1"/>
    <col min="9730" max="9730" width="8" style="34" customWidth="1"/>
    <col min="9731" max="9731" width="7.7109375" style="34" customWidth="1"/>
    <col min="9732" max="9732" width="7" style="34" customWidth="1"/>
    <col min="9733" max="9733" width="2.140625" style="34" customWidth="1"/>
    <col min="9734" max="9734" width="11.5703125" style="34"/>
    <col min="9735" max="9735" width="7.42578125" style="34" customWidth="1"/>
    <col min="9736" max="9736" width="14.85546875" style="34" customWidth="1"/>
    <col min="9737" max="9983" width="11.5703125" style="34"/>
    <col min="9984" max="9984" width="3.42578125" style="34" customWidth="1"/>
    <col min="9985" max="9985" width="6.5703125" style="34" customWidth="1"/>
    <col min="9986" max="9986" width="8" style="34" customWidth="1"/>
    <col min="9987" max="9987" width="7.7109375" style="34" customWidth="1"/>
    <col min="9988" max="9988" width="7" style="34" customWidth="1"/>
    <col min="9989" max="9989" width="2.140625" style="34" customWidth="1"/>
    <col min="9990" max="9990" width="11.5703125" style="34"/>
    <col min="9991" max="9991" width="7.42578125" style="34" customWidth="1"/>
    <col min="9992" max="9992" width="14.85546875" style="34" customWidth="1"/>
    <col min="9993" max="10239" width="11.5703125" style="34"/>
    <col min="10240" max="10240" width="3.42578125" style="34" customWidth="1"/>
    <col min="10241" max="10241" width="6.5703125" style="34" customWidth="1"/>
    <col min="10242" max="10242" width="8" style="34" customWidth="1"/>
    <col min="10243" max="10243" width="7.7109375" style="34" customWidth="1"/>
    <col min="10244" max="10244" width="7" style="34" customWidth="1"/>
    <col min="10245" max="10245" width="2.140625" style="34" customWidth="1"/>
    <col min="10246" max="10246" width="11.5703125" style="34"/>
    <col min="10247" max="10247" width="7.42578125" style="34" customWidth="1"/>
    <col min="10248" max="10248" width="14.85546875" style="34" customWidth="1"/>
    <col min="10249" max="10495" width="11.5703125" style="34"/>
    <col min="10496" max="10496" width="3.42578125" style="34" customWidth="1"/>
    <col min="10497" max="10497" width="6.5703125" style="34" customWidth="1"/>
    <col min="10498" max="10498" width="8" style="34" customWidth="1"/>
    <col min="10499" max="10499" width="7.7109375" style="34" customWidth="1"/>
    <col min="10500" max="10500" width="7" style="34" customWidth="1"/>
    <col min="10501" max="10501" width="2.140625" style="34" customWidth="1"/>
    <col min="10502" max="10502" width="11.5703125" style="34"/>
    <col min="10503" max="10503" width="7.42578125" style="34" customWidth="1"/>
    <col min="10504" max="10504" width="14.85546875" style="34" customWidth="1"/>
    <col min="10505" max="10751" width="11.5703125" style="34"/>
    <col min="10752" max="10752" width="3.42578125" style="34" customWidth="1"/>
    <col min="10753" max="10753" width="6.5703125" style="34" customWidth="1"/>
    <col min="10754" max="10754" width="8" style="34" customWidth="1"/>
    <col min="10755" max="10755" width="7.7109375" style="34" customWidth="1"/>
    <col min="10756" max="10756" width="7" style="34" customWidth="1"/>
    <col min="10757" max="10757" width="2.140625" style="34" customWidth="1"/>
    <col min="10758" max="10758" width="11.5703125" style="34"/>
    <col min="10759" max="10759" width="7.42578125" style="34" customWidth="1"/>
    <col min="10760" max="10760" width="14.85546875" style="34" customWidth="1"/>
    <col min="10761" max="11007" width="11.5703125" style="34"/>
    <col min="11008" max="11008" width="3.42578125" style="34" customWidth="1"/>
    <col min="11009" max="11009" width="6.5703125" style="34" customWidth="1"/>
    <col min="11010" max="11010" width="8" style="34" customWidth="1"/>
    <col min="11011" max="11011" width="7.7109375" style="34" customWidth="1"/>
    <col min="11012" max="11012" width="7" style="34" customWidth="1"/>
    <col min="11013" max="11013" width="2.140625" style="34" customWidth="1"/>
    <col min="11014" max="11014" width="11.5703125" style="34"/>
    <col min="11015" max="11015" width="7.42578125" style="34" customWidth="1"/>
    <col min="11016" max="11016" width="14.85546875" style="34" customWidth="1"/>
    <col min="11017" max="11263" width="11.5703125" style="34"/>
    <col min="11264" max="11264" width="3.42578125" style="34" customWidth="1"/>
    <col min="11265" max="11265" width="6.5703125" style="34" customWidth="1"/>
    <col min="11266" max="11266" width="8" style="34" customWidth="1"/>
    <col min="11267" max="11267" width="7.7109375" style="34" customWidth="1"/>
    <col min="11268" max="11268" width="7" style="34" customWidth="1"/>
    <col min="11269" max="11269" width="2.140625" style="34" customWidth="1"/>
    <col min="11270" max="11270" width="11.5703125" style="34"/>
    <col min="11271" max="11271" width="7.42578125" style="34" customWidth="1"/>
    <col min="11272" max="11272" width="14.85546875" style="34" customWidth="1"/>
    <col min="11273" max="11519" width="11.5703125" style="34"/>
    <col min="11520" max="11520" width="3.42578125" style="34" customWidth="1"/>
    <col min="11521" max="11521" width="6.5703125" style="34" customWidth="1"/>
    <col min="11522" max="11522" width="8" style="34" customWidth="1"/>
    <col min="11523" max="11523" width="7.7109375" style="34" customWidth="1"/>
    <col min="11524" max="11524" width="7" style="34" customWidth="1"/>
    <col min="11525" max="11525" width="2.140625" style="34" customWidth="1"/>
    <col min="11526" max="11526" width="11.5703125" style="34"/>
    <col min="11527" max="11527" width="7.42578125" style="34" customWidth="1"/>
    <col min="11528" max="11528" width="14.85546875" style="34" customWidth="1"/>
    <col min="11529" max="11775" width="11.5703125" style="34"/>
    <col min="11776" max="11776" width="3.42578125" style="34" customWidth="1"/>
    <col min="11777" max="11777" width="6.5703125" style="34" customWidth="1"/>
    <col min="11778" max="11778" width="8" style="34" customWidth="1"/>
    <col min="11779" max="11779" width="7.7109375" style="34" customWidth="1"/>
    <col min="11780" max="11780" width="7" style="34" customWidth="1"/>
    <col min="11781" max="11781" width="2.140625" style="34" customWidth="1"/>
    <col min="11782" max="11782" width="11.5703125" style="34"/>
    <col min="11783" max="11783" width="7.42578125" style="34" customWidth="1"/>
    <col min="11784" max="11784" width="14.85546875" style="34" customWidth="1"/>
    <col min="11785" max="12031" width="11.5703125" style="34"/>
    <col min="12032" max="12032" width="3.42578125" style="34" customWidth="1"/>
    <col min="12033" max="12033" width="6.5703125" style="34" customWidth="1"/>
    <col min="12034" max="12034" width="8" style="34" customWidth="1"/>
    <col min="12035" max="12035" width="7.7109375" style="34" customWidth="1"/>
    <col min="12036" max="12036" width="7" style="34" customWidth="1"/>
    <col min="12037" max="12037" width="2.140625" style="34" customWidth="1"/>
    <col min="12038" max="12038" width="11.5703125" style="34"/>
    <col min="12039" max="12039" width="7.42578125" style="34" customWidth="1"/>
    <col min="12040" max="12040" width="14.85546875" style="34" customWidth="1"/>
    <col min="12041" max="12287" width="11.5703125" style="34"/>
    <col min="12288" max="12288" width="3.42578125" style="34" customWidth="1"/>
    <col min="12289" max="12289" width="6.5703125" style="34" customWidth="1"/>
    <col min="12290" max="12290" width="8" style="34" customWidth="1"/>
    <col min="12291" max="12291" width="7.7109375" style="34" customWidth="1"/>
    <col min="12292" max="12292" width="7" style="34" customWidth="1"/>
    <col min="12293" max="12293" width="2.140625" style="34" customWidth="1"/>
    <col min="12294" max="12294" width="11.5703125" style="34"/>
    <col min="12295" max="12295" width="7.42578125" style="34" customWidth="1"/>
    <col min="12296" max="12296" width="14.85546875" style="34" customWidth="1"/>
    <col min="12297" max="12543" width="11.5703125" style="34"/>
    <col min="12544" max="12544" width="3.42578125" style="34" customWidth="1"/>
    <col min="12545" max="12545" width="6.5703125" style="34" customWidth="1"/>
    <col min="12546" max="12546" width="8" style="34" customWidth="1"/>
    <col min="12547" max="12547" width="7.7109375" style="34" customWidth="1"/>
    <col min="12548" max="12548" width="7" style="34" customWidth="1"/>
    <col min="12549" max="12549" width="2.140625" style="34" customWidth="1"/>
    <col min="12550" max="12550" width="11.5703125" style="34"/>
    <col min="12551" max="12551" width="7.42578125" style="34" customWidth="1"/>
    <col min="12552" max="12552" width="14.85546875" style="34" customWidth="1"/>
    <col min="12553" max="12799" width="11.5703125" style="34"/>
    <col min="12800" max="12800" width="3.42578125" style="34" customWidth="1"/>
    <col min="12801" max="12801" width="6.5703125" style="34" customWidth="1"/>
    <col min="12802" max="12802" width="8" style="34" customWidth="1"/>
    <col min="12803" max="12803" width="7.7109375" style="34" customWidth="1"/>
    <col min="12804" max="12804" width="7" style="34" customWidth="1"/>
    <col min="12805" max="12805" width="2.140625" style="34" customWidth="1"/>
    <col min="12806" max="12806" width="11.5703125" style="34"/>
    <col min="12807" max="12807" width="7.42578125" style="34" customWidth="1"/>
    <col min="12808" max="12808" width="14.85546875" style="34" customWidth="1"/>
    <col min="12809" max="13055" width="11.5703125" style="34"/>
    <col min="13056" max="13056" width="3.42578125" style="34" customWidth="1"/>
    <col min="13057" max="13057" width="6.5703125" style="34" customWidth="1"/>
    <col min="13058" max="13058" width="8" style="34" customWidth="1"/>
    <col min="13059" max="13059" width="7.7109375" style="34" customWidth="1"/>
    <col min="13060" max="13060" width="7" style="34" customWidth="1"/>
    <col min="13061" max="13061" width="2.140625" style="34" customWidth="1"/>
    <col min="13062" max="13062" width="11.5703125" style="34"/>
    <col min="13063" max="13063" width="7.42578125" style="34" customWidth="1"/>
    <col min="13064" max="13064" width="14.85546875" style="34" customWidth="1"/>
    <col min="13065" max="13311" width="11.5703125" style="34"/>
    <col min="13312" max="13312" width="3.42578125" style="34" customWidth="1"/>
    <col min="13313" max="13313" width="6.5703125" style="34" customWidth="1"/>
    <col min="13314" max="13314" width="8" style="34" customWidth="1"/>
    <col min="13315" max="13315" width="7.7109375" style="34" customWidth="1"/>
    <col min="13316" max="13316" width="7" style="34" customWidth="1"/>
    <col min="13317" max="13317" width="2.140625" style="34" customWidth="1"/>
    <col min="13318" max="13318" width="11.5703125" style="34"/>
    <col min="13319" max="13319" width="7.42578125" style="34" customWidth="1"/>
    <col min="13320" max="13320" width="14.85546875" style="34" customWidth="1"/>
    <col min="13321" max="13567" width="11.5703125" style="34"/>
    <col min="13568" max="13568" width="3.42578125" style="34" customWidth="1"/>
    <col min="13569" max="13569" width="6.5703125" style="34" customWidth="1"/>
    <col min="13570" max="13570" width="8" style="34" customWidth="1"/>
    <col min="13571" max="13571" width="7.7109375" style="34" customWidth="1"/>
    <col min="13572" max="13572" width="7" style="34" customWidth="1"/>
    <col min="13573" max="13573" width="2.140625" style="34" customWidth="1"/>
    <col min="13574" max="13574" width="11.5703125" style="34"/>
    <col min="13575" max="13575" width="7.42578125" style="34" customWidth="1"/>
    <col min="13576" max="13576" width="14.85546875" style="34" customWidth="1"/>
    <col min="13577" max="13823" width="11.5703125" style="34"/>
    <col min="13824" max="13824" width="3.42578125" style="34" customWidth="1"/>
    <col min="13825" max="13825" width="6.5703125" style="34" customWidth="1"/>
    <col min="13826" max="13826" width="8" style="34" customWidth="1"/>
    <col min="13827" max="13827" width="7.7109375" style="34" customWidth="1"/>
    <col min="13828" max="13828" width="7" style="34" customWidth="1"/>
    <col min="13829" max="13829" width="2.140625" style="34" customWidth="1"/>
    <col min="13830" max="13830" width="11.5703125" style="34"/>
    <col min="13831" max="13831" width="7.42578125" style="34" customWidth="1"/>
    <col min="13832" max="13832" width="14.85546875" style="34" customWidth="1"/>
    <col min="13833" max="14079" width="11.5703125" style="34"/>
    <col min="14080" max="14080" width="3.42578125" style="34" customWidth="1"/>
    <col min="14081" max="14081" width="6.5703125" style="34" customWidth="1"/>
    <col min="14082" max="14082" width="8" style="34" customWidth="1"/>
    <col min="14083" max="14083" width="7.7109375" style="34" customWidth="1"/>
    <col min="14084" max="14084" width="7" style="34" customWidth="1"/>
    <col min="14085" max="14085" width="2.140625" style="34" customWidth="1"/>
    <col min="14086" max="14086" width="11.5703125" style="34"/>
    <col min="14087" max="14087" width="7.42578125" style="34" customWidth="1"/>
    <col min="14088" max="14088" width="14.85546875" style="34" customWidth="1"/>
    <col min="14089" max="14335" width="11.5703125" style="34"/>
    <col min="14336" max="14336" width="3.42578125" style="34" customWidth="1"/>
    <col min="14337" max="14337" width="6.5703125" style="34" customWidth="1"/>
    <col min="14338" max="14338" width="8" style="34" customWidth="1"/>
    <col min="14339" max="14339" width="7.7109375" style="34" customWidth="1"/>
    <col min="14340" max="14340" width="7" style="34" customWidth="1"/>
    <col min="14341" max="14341" width="2.140625" style="34" customWidth="1"/>
    <col min="14342" max="14342" width="11.5703125" style="34"/>
    <col min="14343" max="14343" width="7.42578125" style="34" customWidth="1"/>
    <col min="14344" max="14344" width="14.85546875" style="34" customWidth="1"/>
    <col min="14345" max="14591" width="11.5703125" style="34"/>
    <col min="14592" max="14592" width="3.42578125" style="34" customWidth="1"/>
    <col min="14593" max="14593" width="6.5703125" style="34" customWidth="1"/>
    <col min="14594" max="14594" width="8" style="34" customWidth="1"/>
    <col min="14595" max="14595" width="7.7109375" style="34" customWidth="1"/>
    <col min="14596" max="14596" width="7" style="34" customWidth="1"/>
    <col min="14597" max="14597" width="2.140625" style="34" customWidth="1"/>
    <col min="14598" max="14598" width="11.5703125" style="34"/>
    <col min="14599" max="14599" width="7.42578125" style="34" customWidth="1"/>
    <col min="14600" max="14600" width="14.85546875" style="34" customWidth="1"/>
    <col min="14601" max="14847" width="11.5703125" style="34"/>
    <col min="14848" max="14848" width="3.42578125" style="34" customWidth="1"/>
    <col min="14849" max="14849" width="6.5703125" style="34" customWidth="1"/>
    <col min="14850" max="14850" width="8" style="34" customWidth="1"/>
    <col min="14851" max="14851" width="7.7109375" style="34" customWidth="1"/>
    <col min="14852" max="14852" width="7" style="34" customWidth="1"/>
    <col min="14853" max="14853" width="2.140625" style="34" customWidth="1"/>
    <col min="14854" max="14854" width="11.5703125" style="34"/>
    <col min="14855" max="14855" width="7.42578125" style="34" customWidth="1"/>
    <col min="14856" max="14856" width="14.85546875" style="34" customWidth="1"/>
    <col min="14857" max="15103" width="11.5703125" style="34"/>
    <col min="15104" max="15104" width="3.42578125" style="34" customWidth="1"/>
    <col min="15105" max="15105" width="6.5703125" style="34" customWidth="1"/>
    <col min="15106" max="15106" width="8" style="34" customWidth="1"/>
    <col min="15107" max="15107" width="7.7109375" style="34" customWidth="1"/>
    <col min="15108" max="15108" width="7" style="34" customWidth="1"/>
    <col min="15109" max="15109" width="2.140625" style="34" customWidth="1"/>
    <col min="15110" max="15110" width="11.5703125" style="34"/>
    <col min="15111" max="15111" width="7.42578125" style="34" customWidth="1"/>
    <col min="15112" max="15112" width="14.85546875" style="34" customWidth="1"/>
    <col min="15113" max="15359" width="11.5703125" style="34"/>
    <col min="15360" max="15360" width="3.42578125" style="34" customWidth="1"/>
    <col min="15361" max="15361" width="6.5703125" style="34" customWidth="1"/>
    <col min="15362" max="15362" width="8" style="34" customWidth="1"/>
    <col min="15363" max="15363" width="7.7109375" style="34" customWidth="1"/>
    <col min="15364" max="15364" width="7" style="34" customWidth="1"/>
    <col min="15365" max="15365" width="2.140625" style="34" customWidth="1"/>
    <col min="15366" max="15366" width="11.5703125" style="34"/>
    <col min="15367" max="15367" width="7.42578125" style="34" customWidth="1"/>
    <col min="15368" max="15368" width="14.85546875" style="34" customWidth="1"/>
    <col min="15369" max="15615" width="11.5703125" style="34"/>
    <col min="15616" max="15616" width="3.42578125" style="34" customWidth="1"/>
    <col min="15617" max="15617" width="6.5703125" style="34" customWidth="1"/>
    <col min="15618" max="15618" width="8" style="34" customWidth="1"/>
    <col min="15619" max="15619" width="7.7109375" style="34" customWidth="1"/>
    <col min="15620" max="15620" width="7" style="34" customWidth="1"/>
    <col min="15621" max="15621" width="2.140625" style="34" customWidth="1"/>
    <col min="15622" max="15622" width="11.5703125" style="34"/>
    <col min="15623" max="15623" width="7.42578125" style="34" customWidth="1"/>
    <col min="15624" max="15624" width="14.85546875" style="34" customWidth="1"/>
    <col min="15625" max="15871" width="11.5703125" style="34"/>
    <col min="15872" max="15872" width="3.42578125" style="34" customWidth="1"/>
    <col min="15873" max="15873" width="6.5703125" style="34" customWidth="1"/>
    <col min="15874" max="15874" width="8" style="34" customWidth="1"/>
    <col min="15875" max="15875" width="7.7109375" style="34" customWidth="1"/>
    <col min="15876" max="15876" width="7" style="34" customWidth="1"/>
    <col min="15877" max="15877" width="2.140625" style="34" customWidth="1"/>
    <col min="15878" max="15878" width="11.5703125" style="34"/>
    <col min="15879" max="15879" width="7.42578125" style="34" customWidth="1"/>
    <col min="15880" max="15880" width="14.85546875" style="34" customWidth="1"/>
    <col min="15881" max="16127" width="11.5703125" style="34"/>
    <col min="16128" max="16128" width="3.42578125" style="34" customWidth="1"/>
    <col min="16129" max="16129" width="6.5703125" style="34" customWidth="1"/>
    <col min="16130" max="16130" width="8" style="34" customWidth="1"/>
    <col min="16131" max="16131" width="7.7109375" style="34" customWidth="1"/>
    <col min="16132" max="16132" width="7" style="34" customWidth="1"/>
    <col min="16133" max="16133" width="2.140625" style="34" customWidth="1"/>
    <col min="16134" max="16134" width="11.5703125" style="34"/>
    <col min="16135" max="16135" width="7.42578125" style="34" customWidth="1"/>
    <col min="16136" max="16136" width="14.85546875" style="34" customWidth="1"/>
    <col min="16137" max="16383" width="11.5703125" style="34"/>
    <col min="16384" max="16384" width="11.5703125" style="34" customWidth="1"/>
  </cols>
  <sheetData>
    <row r="6" spans="2:14" x14ac:dyDescent="0.2">
      <c r="L6" s="34" t="s">
        <v>479</v>
      </c>
    </row>
    <row r="7" spans="2:14" x14ac:dyDescent="0.2">
      <c r="B7" s="579" t="s">
        <v>239</v>
      </c>
      <c r="C7" s="579"/>
      <c r="D7" s="579"/>
      <c r="E7" s="579"/>
      <c r="G7" s="559" t="s">
        <v>292</v>
      </c>
      <c r="H7" s="458">
        <v>0.02</v>
      </c>
      <c r="I7" s="40" t="s">
        <v>241</v>
      </c>
      <c r="K7" s="303" t="s">
        <v>390</v>
      </c>
      <c r="L7" s="303" t="s">
        <v>395</v>
      </c>
      <c r="M7" s="303" t="s">
        <v>396</v>
      </c>
      <c r="N7" s="303" t="s">
        <v>394</v>
      </c>
    </row>
    <row r="8" spans="2:14" x14ac:dyDescent="0.2">
      <c r="B8" s="456"/>
      <c r="C8" s="456"/>
      <c r="D8" s="456"/>
      <c r="E8" s="456"/>
      <c r="G8" s="559" t="s">
        <v>378</v>
      </c>
      <c r="H8" s="459">
        <v>2.9000000000000001E-2</v>
      </c>
      <c r="I8" s="40" t="s">
        <v>379</v>
      </c>
      <c r="K8" s="305" t="s">
        <v>397</v>
      </c>
      <c r="L8" s="40">
        <v>10.5</v>
      </c>
      <c r="M8" s="40">
        <v>11.5</v>
      </c>
      <c r="N8" s="40">
        <v>9</v>
      </c>
    </row>
    <row r="9" spans="2:14" x14ac:dyDescent="0.2">
      <c r="B9" s="580" t="s">
        <v>242</v>
      </c>
      <c r="C9" s="580"/>
      <c r="D9" s="580"/>
      <c r="E9" s="580"/>
      <c r="G9" s="560" t="s">
        <v>243</v>
      </c>
      <c r="H9" s="460">
        <v>5</v>
      </c>
      <c r="I9" s="40" t="s">
        <v>244</v>
      </c>
      <c r="K9" s="305" t="s">
        <v>480</v>
      </c>
      <c r="L9" s="196">
        <v>0.7</v>
      </c>
      <c r="M9" s="40">
        <v>0.6</v>
      </c>
      <c r="N9" s="40">
        <v>1.5</v>
      </c>
    </row>
    <row r="10" spans="2:14" x14ac:dyDescent="0.2">
      <c r="B10" s="581" t="s">
        <v>245</v>
      </c>
      <c r="C10" s="581"/>
      <c r="D10" s="581"/>
      <c r="E10" s="581"/>
      <c r="G10" s="560" t="s">
        <v>246</v>
      </c>
      <c r="H10" s="515">
        <v>0.21629999999999999</v>
      </c>
      <c r="I10" s="514" t="s">
        <v>495</v>
      </c>
      <c r="K10" s="305" t="s">
        <v>75</v>
      </c>
      <c r="L10" s="40">
        <v>3</v>
      </c>
      <c r="M10" s="40">
        <v>2.5</v>
      </c>
      <c r="N10" s="40">
        <v>5</v>
      </c>
    </row>
    <row r="11" spans="2:14" x14ac:dyDescent="0.2">
      <c r="B11" s="580"/>
      <c r="C11" s="580"/>
      <c r="D11" s="580"/>
      <c r="E11" s="580"/>
      <c r="G11" s="560" t="s">
        <v>247</v>
      </c>
      <c r="H11" s="461">
        <v>0.1</v>
      </c>
      <c r="I11" s="40" t="s">
        <v>248</v>
      </c>
      <c r="K11" s="305" t="s">
        <v>74</v>
      </c>
      <c r="L11" s="40">
        <v>20</v>
      </c>
      <c r="M11" s="40">
        <v>10</v>
      </c>
      <c r="N11" s="40">
        <v>30</v>
      </c>
    </row>
    <row r="12" spans="2:14" x14ac:dyDescent="0.2">
      <c r="B12" s="456"/>
      <c r="C12" s="457"/>
      <c r="D12" s="457"/>
      <c r="E12" s="456"/>
      <c r="G12" s="560" t="s">
        <v>249</v>
      </c>
      <c r="H12" s="459">
        <v>0.29499999999999998</v>
      </c>
      <c r="I12" s="40" t="s">
        <v>250</v>
      </c>
      <c r="K12" s="351"/>
      <c r="L12" s="352"/>
      <c r="M12" s="352"/>
      <c r="N12" s="352"/>
    </row>
    <row r="13" spans="2:14" ht="15" x14ac:dyDescent="0.25">
      <c r="B13" s="561" t="s">
        <v>251</v>
      </c>
      <c r="C13" s="562">
        <f>Rentabilidad!D13</f>
        <v>135582.7354689528</v>
      </c>
      <c r="D13" s="561" t="s">
        <v>252</v>
      </c>
      <c r="E13" s="563">
        <f>Rentabilidad!D22</f>
        <v>963.3226337849859</v>
      </c>
      <c r="F13" s="45"/>
      <c r="G13" s="560" t="s">
        <v>253</v>
      </c>
      <c r="H13" s="502">
        <v>7</v>
      </c>
      <c r="I13" s="40" t="s">
        <v>383</v>
      </c>
    </row>
    <row r="14" spans="2:14" x14ac:dyDescent="0.2">
      <c r="B14" s="564"/>
      <c r="C14" s="564"/>
      <c r="D14" s="564"/>
      <c r="E14" s="564"/>
      <c r="G14" s="560" t="s">
        <v>449</v>
      </c>
      <c r="H14" s="503">
        <v>0.7</v>
      </c>
      <c r="I14" s="277" t="s">
        <v>279</v>
      </c>
      <c r="K14" s="353"/>
    </row>
    <row r="15" spans="2:14" x14ac:dyDescent="0.2">
      <c r="B15" s="561" t="s">
        <v>254</v>
      </c>
      <c r="C15" s="565">
        <f>Rentabilidad!D15</f>
        <v>0.58181423997282389</v>
      </c>
      <c r="D15" s="561" t="s">
        <v>255</v>
      </c>
      <c r="E15" s="565">
        <f>Rentabilidad!D26</f>
        <v>0.5860332030781763</v>
      </c>
      <c r="F15" s="46"/>
      <c r="G15" s="560" t="s">
        <v>386</v>
      </c>
      <c r="H15" s="504">
        <v>3</v>
      </c>
      <c r="I15" s="40" t="s">
        <v>387</v>
      </c>
    </row>
    <row r="16" spans="2:14" x14ac:dyDescent="0.2">
      <c r="G16" s="560" t="s">
        <v>388</v>
      </c>
      <c r="H16" s="505">
        <v>20</v>
      </c>
      <c r="I16" s="40" t="s">
        <v>389</v>
      </c>
    </row>
  </sheetData>
  <scenarios current="0" sqref="C13 C15 E13 E15">
    <scenario name="OPTIMISTA" locked="1" count="4" user="Usuario" comment="_x000a_Modificado por HP el 22/02/2021_x000a_Modificado por Usuario el 24/02/2021">
      <inputCells r="H13" val="11.5" numFmtId="165"/>
      <inputCells r="H14" val="0.6" numFmtId="169"/>
      <inputCells r="H15" val="2.7" numFmtId="4"/>
      <inputCells r="H16" val="19" numFmtId="2"/>
    </scenario>
    <scenario name="PESIMISTA" locked="1" count="4" user="Usuario" comment="Creado por Usuario el 24/02/2021_x000a_Modificado por Usuario el 24/02/2021">
      <inputCells r="H13" val="9" numFmtId="165"/>
      <inputCells r="H14" val="1" numFmtId="169"/>
      <inputCells r="H15" val="3.5" numFmtId="4"/>
      <inputCells r="H16" val="21" numFmtId="2"/>
    </scenario>
  </scenarios>
  <mergeCells count="4">
    <mergeCell ref="B7:E7"/>
    <mergeCell ref="B9:E9"/>
    <mergeCell ref="B10:E10"/>
    <mergeCell ref="B11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B2:W21"/>
  <sheetViews>
    <sheetView zoomScale="90" zoomScaleNormal="90" workbookViewId="0">
      <selection activeCell="F12" sqref="F12"/>
    </sheetView>
  </sheetViews>
  <sheetFormatPr baseColWidth="10" defaultColWidth="10.7109375" defaultRowHeight="15" x14ac:dyDescent="0.25"/>
  <cols>
    <col min="1" max="1" width="2" customWidth="1"/>
    <col min="2" max="2" width="11.7109375" bestFit="1" customWidth="1"/>
    <col min="3" max="3" width="13.140625" customWidth="1"/>
    <col min="4" max="4" width="17.5703125" customWidth="1"/>
    <col min="5" max="5" width="15.28515625" customWidth="1"/>
    <col min="6" max="6" width="14.85546875" customWidth="1"/>
    <col min="7" max="7" width="14.140625" customWidth="1"/>
    <col min="8" max="8" width="17.7109375" customWidth="1"/>
    <col min="9" max="9" width="19.28515625" customWidth="1"/>
    <col min="10" max="10" width="15.5703125" customWidth="1"/>
    <col min="11" max="11" width="15.42578125" customWidth="1"/>
    <col min="12" max="12" width="14.140625" customWidth="1"/>
    <col min="13" max="13" width="12.7109375" customWidth="1"/>
    <col min="14" max="14" width="13.42578125" customWidth="1"/>
    <col min="15" max="15" width="14" customWidth="1"/>
    <col min="16" max="16" width="15" customWidth="1"/>
    <col min="17" max="17" width="13.85546875" bestFit="1" customWidth="1"/>
  </cols>
  <sheetData>
    <row r="2" spans="2:23" x14ac:dyDescent="0.25">
      <c r="Q2" t="s">
        <v>1</v>
      </c>
    </row>
    <row r="3" spans="2:23" ht="15.75" x14ac:dyDescent="0.25">
      <c r="F3" s="137"/>
      <c r="G3" s="137" t="s">
        <v>0</v>
      </c>
      <c r="H3" s="137"/>
      <c r="I3" s="137"/>
      <c r="J3" s="137"/>
    </row>
    <row r="4" spans="2:23" ht="15.75" x14ac:dyDescent="0.25">
      <c r="F4" s="137" t="s">
        <v>290</v>
      </c>
      <c r="G4" s="137"/>
      <c r="H4" s="137"/>
      <c r="I4" s="137"/>
      <c r="J4" s="137"/>
    </row>
    <row r="5" spans="2:23" x14ac:dyDescent="0.25">
      <c r="O5" t="s">
        <v>272</v>
      </c>
      <c r="P5">
        <v>3600</v>
      </c>
      <c r="Q5" t="s">
        <v>2</v>
      </c>
    </row>
    <row r="6" spans="2:23" ht="15.75" x14ac:dyDescent="0.25">
      <c r="B6" s="136" t="s">
        <v>3</v>
      </c>
      <c r="C6" s="136" t="s">
        <v>4</v>
      </c>
      <c r="D6" s="136" t="s">
        <v>5</v>
      </c>
      <c r="E6" s="136" t="s">
        <v>6</v>
      </c>
      <c r="F6" s="136" t="s">
        <v>7</v>
      </c>
      <c r="G6" s="136" t="s">
        <v>8</v>
      </c>
      <c r="H6" s="136" t="s">
        <v>9</v>
      </c>
      <c r="I6" s="136" t="s">
        <v>10</v>
      </c>
      <c r="J6" s="136" t="s">
        <v>11</v>
      </c>
      <c r="K6" s="136" t="s">
        <v>12</v>
      </c>
      <c r="L6" s="136" t="s">
        <v>13</v>
      </c>
      <c r="M6" s="136" t="s">
        <v>14</v>
      </c>
      <c r="N6" s="136" t="s">
        <v>15</v>
      </c>
      <c r="O6" s="136" t="s">
        <v>16</v>
      </c>
      <c r="P6">
        <v>144</v>
      </c>
      <c r="Q6" t="s">
        <v>17</v>
      </c>
    </row>
    <row r="7" spans="2:23" x14ac:dyDescent="0.25">
      <c r="B7" s="175">
        <v>1</v>
      </c>
      <c r="C7" s="47">
        <f>300*12</f>
        <v>3600</v>
      </c>
      <c r="D7" s="47">
        <f>350*12</f>
        <v>4200</v>
      </c>
      <c r="E7" s="47">
        <f>400*12</f>
        <v>4800</v>
      </c>
      <c r="F7" s="47">
        <f>450*12</f>
        <v>5400</v>
      </c>
      <c r="G7" s="47">
        <f>500*12</f>
        <v>6000</v>
      </c>
      <c r="H7" s="47">
        <f>550*12</f>
        <v>6600</v>
      </c>
      <c r="I7" s="47">
        <f>600*12</f>
        <v>7200</v>
      </c>
      <c r="J7" s="47">
        <f>650*12</f>
        <v>7800</v>
      </c>
      <c r="K7" s="47">
        <f>700*12</f>
        <v>8400</v>
      </c>
      <c r="L7" s="47">
        <f>750*12</f>
        <v>9000</v>
      </c>
      <c r="M7" s="47">
        <f>800*12</f>
        <v>9600</v>
      </c>
      <c r="N7" s="47">
        <f>850*12</f>
        <v>10200</v>
      </c>
      <c r="O7" s="189">
        <f>SUM(C7:N7)</f>
        <v>82800</v>
      </c>
      <c r="P7">
        <f>P6*25</f>
        <v>3600</v>
      </c>
      <c r="V7">
        <v>1930</v>
      </c>
      <c r="W7">
        <v>3600</v>
      </c>
    </row>
    <row r="8" spans="2:23" x14ac:dyDescent="0.25">
      <c r="B8" s="175">
        <v>2</v>
      </c>
      <c r="C8" s="47">
        <v>10200</v>
      </c>
      <c r="D8" s="47">
        <v>10200</v>
      </c>
      <c r="E8" s="47">
        <v>10200</v>
      </c>
      <c r="F8" s="47">
        <v>10200</v>
      </c>
      <c r="G8" s="47">
        <v>10200</v>
      </c>
      <c r="H8" s="47">
        <v>10200</v>
      </c>
      <c r="I8" s="47">
        <v>10200</v>
      </c>
      <c r="J8" s="47">
        <v>10200</v>
      </c>
      <c r="K8" s="47">
        <v>10200</v>
      </c>
      <c r="L8" s="47">
        <v>10200</v>
      </c>
      <c r="M8" s="47">
        <v>10200</v>
      </c>
      <c r="N8" s="47">
        <v>10200</v>
      </c>
      <c r="O8" s="189">
        <f t="shared" ref="O8:O11" si="0">SUM(C8:N8)</f>
        <v>122400</v>
      </c>
      <c r="Q8" t="s">
        <v>18</v>
      </c>
      <c r="V8" s="142">
        <f>V7/W7</f>
        <v>0.53611111111111109</v>
      </c>
      <c r="W8">
        <v>1</v>
      </c>
    </row>
    <row r="9" spans="2:23" x14ac:dyDescent="0.25">
      <c r="B9" s="175">
        <v>3</v>
      </c>
      <c r="C9" s="47">
        <v>10200</v>
      </c>
      <c r="D9" s="47">
        <v>10200</v>
      </c>
      <c r="E9" s="47">
        <v>10200</v>
      </c>
      <c r="F9" s="47">
        <v>10200</v>
      </c>
      <c r="G9" s="47">
        <v>10200</v>
      </c>
      <c r="H9" s="47">
        <v>10200</v>
      </c>
      <c r="I9" s="47">
        <v>10200</v>
      </c>
      <c r="J9" s="47">
        <v>10200</v>
      </c>
      <c r="K9" s="47">
        <v>10200</v>
      </c>
      <c r="L9" s="47">
        <v>10200</v>
      </c>
      <c r="M9" s="47">
        <v>10200</v>
      </c>
      <c r="N9" s="47">
        <v>10200</v>
      </c>
      <c r="O9" s="189">
        <f t="shared" si="0"/>
        <v>122400</v>
      </c>
    </row>
    <row r="10" spans="2:23" x14ac:dyDescent="0.25">
      <c r="B10" s="175">
        <v>4</v>
      </c>
      <c r="C10" s="47">
        <v>10200</v>
      </c>
      <c r="D10" s="47">
        <v>10200</v>
      </c>
      <c r="E10" s="47">
        <v>10200</v>
      </c>
      <c r="F10" s="47">
        <v>10200</v>
      </c>
      <c r="G10" s="47">
        <v>10200</v>
      </c>
      <c r="H10" s="47">
        <v>10200</v>
      </c>
      <c r="I10" s="47">
        <v>10200</v>
      </c>
      <c r="J10" s="47">
        <v>10200</v>
      </c>
      <c r="K10" s="47">
        <v>10200</v>
      </c>
      <c r="L10" s="47">
        <v>10200</v>
      </c>
      <c r="M10" s="47">
        <v>10200</v>
      </c>
      <c r="N10" s="47">
        <v>10200</v>
      </c>
      <c r="O10" s="189">
        <f t="shared" si="0"/>
        <v>122400</v>
      </c>
    </row>
    <row r="11" spans="2:23" x14ac:dyDescent="0.25">
      <c r="B11" s="175">
        <v>5</v>
      </c>
      <c r="C11" s="47">
        <v>10200</v>
      </c>
      <c r="D11" s="47">
        <v>10200</v>
      </c>
      <c r="E11" s="47">
        <v>10200</v>
      </c>
      <c r="F11" s="47">
        <v>10200</v>
      </c>
      <c r="G11" s="47">
        <v>10200</v>
      </c>
      <c r="H11" s="47">
        <v>10200</v>
      </c>
      <c r="I11" s="47">
        <v>10200</v>
      </c>
      <c r="J11" s="47">
        <v>10200</v>
      </c>
      <c r="K11" s="47">
        <v>10200</v>
      </c>
      <c r="L11" s="47">
        <v>10200</v>
      </c>
      <c r="M11" s="47">
        <v>10200</v>
      </c>
      <c r="N11" s="47">
        <v>10200</v>
      </c>
      <c r="O11" s="189">
        <f t="shared" si="0"/>
        <v>122400</v>
      </c>
    </row>
    <row r="12" spans="2:23" x14ac:dyDescent="0.25">
      <c r="F12" t="s">
        <v>400</v>
      </c>
      <c r="I12" t="s">
        <v>401</v>
      </c>
      <c r="N12" t="s">
        <v>402</v>
      </c>
    </row>
    <row r="13" spans="2:23" ht="18.75" x14ac:dyDescent="0.3">
      <c r="F13" s="138"/>
      <c r="G13" s="138" t="s">
        <v>19</v>
      </c>
      <c r="H13" s="138"/>
    </row>
    <row r="14" spans="2:23" ht="18.75" x14ac:dyDescent="0.3">
      <c r="F14" s="138" t="s">
        <v>20</v>
      </c>
      <c r="G14" s="138"/>
      <c r="H14" s="138"/>
    </row>
    <row r="16" spans="2:23" ht="15.75" x14ac:dyDescent="0.25">
      <c r="B16" s="136" t="s">
        <v>3</v>
      </c>
      <c r="C16" s="136" t="s">
        <v>21</v>
      </c>
      <c r="D16" s="136" t="s">
        <v>4</v>
      </c>
      <c r="E16" s="136" t="s">
        <v>5</v>
      </c>
      <c r="F16" s="136" t="s">
        <v>6</v>
      </c>
      <c r="G16" s="136" t="s">
        <v>7</v>
      </c>
      <c r="H16" s="136" t="s">
        <v>8</v>
      </c>
      <c r="I16" s="136" t="s">
        <v>9</v>
      </c>
      <c r="J16" s="136" t="s">
        <v>10</v>
      </c>
      <c r="K16" s="136" t="s">
        <v>11</v>
      </c>
      <c r="L16" s="136" t="s">
        <v>12</v>
      </c>
      <c r="M16" s="136" t="s">
        <v>13</v>
      </c>
      <c r="N16" s="136" t="s">
        <v>14</v>
      </c>
      <c r="O16" s="136" t="s">
        <v>15</v>
      </c>
      <c r="P16" s="136" t="s">
        <v>16</v>
      </c>
      <c r="Q16" t="s">
        <v>22</v>
      </c>
      <c r="R16">
        <v>10</v>
      </c>
      <c r="S16" t="s">
        <v>23</v>
      </c>
      <c r="T16">
        <v>120</v>
      </c>
    </row>
    <row r="17" spans="2:18" x14ac:dyDescent="0.25">
      <c r="B17" s="175">
        <v>1</v>
      </c>
      <c r="C17" s="129">
        <f>Resumen!$H$13</f>
        <v>7</v>
      </c>
      <c r="D17" s="129">
        <f>C7*$C$17</f>
        <v>25200</v>
      </c>
      <c r="E17" s="129">
        <f t="shared" ref="E17:O17" si="1">D7*$C$17</f>
        <v>29400</v>
      </c>
      <c r="F17" s="129">
        <f t="shared" si="1"/>
        <v>33600</v>
      </c>
      <c r="G17" s="129">
        <f t="shared" si="1"/>
        <v>37800</v>
      </c>
      <c r="H17" s="129">
        <f t="shared" si="1"/>
        <v>42000</v>
      </c>
      <c r="I17" s="129">
        <f t="shared" si="1"/>
        <v>46200</v>
      </c>
      <c r="J17" s="129">
        <f t="shared" si="1"/>
        <v>50400</v>
      </c>
      <c r="K17" s="129">
        <f t="shared" si="1"/>
        <v>54600</v>
      </c>
      <c r="L17" s="129">
        <f t="shared" si="1"/>
        <v>58800</v>
      </c>
      <c r="M17" s="129">
        <f t="shared" si="1"/>
        <v>63000</v>
      </c>
      <c r="N17" s="129">
        <f t="shared" si="1"/>
        <v>67200</v>
      </c>
      <c r="O17" s="129">
        <f t="shared" si="1"/>
        <v>71400</v>
      </c>
      <c r="P17" s="129">
        <f>SUM(D17:O17)</f>
        <v>579600</v>
      </c>
    </row>
    <row r="18" spans="2:18" x14ac:dyDescent="0.25">
      <c r="B18" s="175">
        <v>2</v>
      </c>
      <c r="C18" s="129">
        <f>Resumen!$H$13</f>
        <v>7</v>
      </c>
      <c r="D18" s="129">
        <f t="shared" ref="D18:O21" si="2">C8*$C$17</f>
        <v>71400</v>
      </c>
      <c r="E18" s="129">
        <f t="shared" si="2"/>
        <v>71400</v>
      </c>
      <c r="F18" s="129">
        <f t="shared" si="2"/>
        <v>71400</v>
      </c>
      <c r="G18" s="129">
        <f t="shared" si="2"/>
        <v>71400</v>
      </c>
      <c r="H18" s="129">
        <f t="shared" si="2"/>
        <v>71400</v>
      </c>
      <c r="I18" s="129">
        <f t="shared" si="2"/>
        <v>71400</v>
      </c>
      <c r="J18" s="129">
        <f t="shared" si="2"/>
        <v>71400</v>
      </c>
      <c r="K18" s="129">
        <f t="shared" si="2"/>
        <v>71400</v>
      </c>
      <c r="L18" s="129">
        <f t="shared" si="2"/>
        <v>71400</v>
      </c>
      <c r="M18" s="129">
        <f t="shared" si="2"/>
        <v>71400</v>
      </c>
      <c r="N18" s="129">
        <f t="shared" si="2"/>
        <v>71400</v>
      </c>
      <c r="O18" s="129">
        <f t="shared" si="2"/>
        <v>71400</v>
      </c>
      <c r="P18" s="129">
        <f t="shared" ref="P18:P21" si="3">SUM(D18:O18)</f>
        <v>856800</v>
      </c>
      <c r="Q18">
        <v>660000</v>
      </c>
    </row>
    <row r="19" spans="2:18" x14ac:dyDescent="0.25">
      <c r="B19" s="175">
        <v>3</v>
      </c>
      <c r="C19" s="129">
        <f>Resumen!$H$13</f>
        <v>7</v>
      </c>
      <c r="D19" s="129">
        <f t="shared" si="2"/>
        <v>71400</v>
      </c>
      <c r="E19" s="129">
        <f t="shared" si="2"/>
        <v>71400</v>
      </c>
      <c r="F19" s="129">
        <f t="shared" si="2"/>
        <v>71400</v>
      </c>
      <c r="G19" s="129">
        <f t="shared" si="2"/>
        <v>71400</v>
      </c>
      <c r="H19" s="129">
        <f t="shared" si="2"/>
        <v>71400</v>
      </c>
      <c r="I19" s="129">
        <f t="shared" si="2"/>
        <v>71400</v>
      </c>
      <c r="J19" s="129">
        <f t="shared" si="2"/>
        <v>71400</v>
      </c>
      <c r="K19" s="129">
        <f t="shared" si="2"/>
        <v>71400</v>
      </c>
      <c r="L19" s="129">
        <f t="shared" si="2"/>
        <v>71400</v>
      </c>
      <c r="M19" s="129">
        <f t="shared" si="2"/>
        <v>71400</v>
      </c>
      <c r="N19" s="129">
        <f t="shared" si="2"/>
        <v>71400</v>
      </c>
      <c r="O19" s="129">
        <f t="shared" si="2"/>
        <v>71400</v>
      </c>
      <c r="P19" s="129">
        <f t="shared" si="3"/>
        <v>856800</v>
      </c>
      <c r="Q19" s="153">
        <v>7480000</v>
      </c>
      <c r="R19" t="s">
        <v>24</v>
      </c>
    </row>
    <row r="20" spans="2:18" x14ac:dyDescent="0.25">
      <c r="B20" s="175">
        <v>4</v>
      </c>
      <c r="C20" s="129">
        <f>Resumen!$H$13</f>
        <v>7</v>
      </c>
      <c r="D20" s="129">
        <f t="shared" si="2"/>
        <v>71400</v>
      </c>
      <c r="E20" s="129">
        <f t="shared" si="2"/>
        <v>71400</v>
      </c>
      <c r="F20" s="129">
        <f t="shared" si="2"/>
        <v>71400</v>
      </c>
      <c r="G20" s="129">
        <f t="shared" si="2"/>
        <v>71400</v>
      </c>
      <c r="H20" s="129">
        <f t="shared" si="2"/>
        <v>71400</v>
      </c>
      <c r="I20" s="129">
        <f t="shared" si="2"/>
        <v>71400</v>
      </c>
      <c r="J20" s="129">
        <f t="shared" si="2"/>
        <v>71400</v>
      </c>
      <c r="K20" s="129">
        <f t="shared" si="2"/>
        <v>71400</v>
      </c>
      <c r="L20" s="129">
        <f t="shared" si="2"/>
        <v>71400</v>
      </c>
      <c r="M20" s="129">
        <f t="shared" si="2"/>
        <v>71400</v>
      </c>
      <c r="N20" s="129">
        <f t="shared" si="2"/>
        <v>71400</v>
      </c>
      <c r="O20" s="129">
        <f t="shared" si="2"/>
        <v>71400</v>
      </c>
      <c r="P20" s="129">
        <f t="shared" si="3"/>
        <v>856800</v>
      </c>
    </row>
    <row r="21" spans="2:18" x14ac:dyDescent="0.25">
      <c r="B21" s="175">
        <v>5</v>
      </c>
      <c r="C21" s="129">
        <f>Resumen!$H$13</f>
        <v>7</v>
      </c>
      <c r="D21" s="129">
        <f t="shared" si="2"/>
        <v>71400</v>
      </c>
      <c r="E21" s="129">
        <f t="shared" si="2"/>
        <v>71400</v>
      </c>
      <c r="F21" s="129">
        <f t="shared" si="2"/>
        <v>71400</v>
      </c>
      <c r="G21" s="129">
        <f t="shared" si="2"/>
        <v>71400</v>
      </c>
      <c r="H21" s="129">
        <f t="shared" si="2"/>
        <v>71400</v>
      </c>
      <c r="I21" s="129">
        <f t="shared" si="2"/>
        <v>71400</v>
      </c>
      <c r="J21" s="129">
        <f t="shared" si="2"/>
        <v>71400</v>
      </c>
      <c r="K21" s="129">
        <f t="shared" si="2"/>
        <v>71400</v>
      </c>
      <c r="L21" s="129">
        <f t="shared" si="2"/>
        <v>71400</v>
      </c>
      <c r="M21" s="129">
        <f t="shared" si="2"/>
        <v>71400</v>
      </c>
      <c r="N21" s="129">
        <f t="shared" si="2"/>
        <v>71400</v>
      </c>
      <c r="O21" s="129">
        <f t="shared" si="2"/>
        <v>71400</v>
      </c>
      <c r="P21" s="129">
        <f t="shared" si="3"/>
        <v>856800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B2:L44"/>
  <sheetViews>
    <sheetView topLeftCell="A31" zoomScale="90" zoomScaleNormal="90" workbookViewId="0">
      <selection activeCell="C29" sqref="C29"/>
    </sheetView>
  </sheetViews>
  <sheetFormatPr baseColWidth="10" defaultColWidth="10.7109375" defaultRowHeight="15" x14ac:dyDescent="0.25"/>
  <cols>
    <col min="2" max="2" width="32.42578125" customWidth="1"/>
    <col min="3" max="3" width="18.7109375" customWidth="1"/>
    <col min="4" max="4" width="13" customWidth="1"/>
    <col min="5" max="5" width="16.28515625" customWidth="1"/>
    <col min="6" max="6" width="12.28515625" customWidth="1"/>
    <col min="7" max="7" width="12.5703125" customWidth="1"/>
    <col min="8" max="8" width="28.140625" customWidth="1"/>
    <col min="11" max="11" width="25.140625" customWidth="1"/>
  </cols>
  <sheetData>
    <row r="2" spans="2:9" x14ac:dyDescent="0.25">
      <c r="C2" s="128"/>
    </row>
    <row r="3" spans="2:9" x14ac:dyDescent="0.25">
      <c r="B3" s="587" t="s">
        <v>25</v>
      </c>
      <c r="C3" s="587"/>
      <c r="D3" s="587"/>
      <c r="E3" s="587"/>
      <c r="F3" s="587"/>
    </row>
    <row r="5" spans="2:9" x14ac:dyDescent="0.25">
      <c r="B5" s="590" t="s">
        <v>26</v>
      </c>
      <c r="C5" s="589" t="s">
        <v>27</v>
      </c>
      <c r="D5" s="589"/>
      <c r="E5" s="591" t="s">
        <v>28</v>
      </c>
      <c r="F5" s="592"/>
    </row>
    <row r="6" spans="2:9" x14ac:dyDescent="0.25">
      <c r="B6" s="590"/>
      <c r="C6" s="228" t="s">
        <v>29</v>
      </c>
      <c r="D6" s="228" t="s">
        <v>30</v>
      </c>
      <c r="E6" s="228" t="s">
        <v>31</v>
      </c>
      <c r="F6" s="228" t="s">
        <v>32</v>
      </c>
    </row>
    <row r="7" spans="2:9" x14ac:dyDescent="0.25">
      <c r="B7" s="48" t="s">
        <v>33</v>
      </c>
      <c r="C7" s="48"/>
      <c r="D7" s="48"/>
      <c r="E7" s="48"/>
      <c r="F7" s="48"/>
    </row>
    <row r="8" spans="2:9" x14ac:dyDescent="0.25">
      <c r="B8" s="418" t="s">
        <v>34</v>
      </c>
      <c r="C8" s="418"/>
      <c r="D8" s="419">
        <f>SUM(D11:D14)</f>
        <v>9187</v>
      </c>
      <c r="E8" s="419">
        <f t="shared" ref="E8:F8" si="0">SUM(E11:E14)</f>
        <v>4187</v>
      </c>
      <c r="F8" s="420">
        <f t="shared" si="0"/>
        <v>5000</v>
      </c>
    </row>
    <row r="9" spans="2:9" x14ac:dyDescent="0.25">
      <c r="B9" s="32" t="s">
        <v>35</v>
      </c>
      <c r="C9" s="32"/>
      <c r="D9" s="140"/>
      <c r="E9" s="141"/>
      <c r="F9" s="141"/>
      <c r="H9" s="588" t="s">
        <v>36</v>
      </c>
      <c r="I9" s="588"/>
    </row>
    <row r="10" spans="2:9" x14ac:dyDescent="0.25">
      <c r="B10" s="32" t="s">
        <v>37</v>
      </c>
      <c r="C10" s="32"/>
      <c r="D10" s="141"/>
      <c r="E10" s="141"/>
      <c r="F10" s="141"/>
      <c r="H10" s="32" t="s">
        <v>38</v>
      </c>
      <c r="I10" s="32">
        <v>600</v>
      </c>
    </row>
    <row r="11" spans="2:9" x14ac:dyDescent="0.25">
      <c r="B11" s="32" t="s">
        <v>39</v>
      </c>
      <c r="C11" s="32" t="s">
        <v>90</v>
      </c>
      <c r="D11" s="141">
        <f>I13</f>
        <v>2500</v>
      </c>
      <c r="E11" s="141">
        <v>0</v>
      </c>
      <c r="F11" s="141">
        <v>2500</v>
      </c>
      <c r="H11" s="32" t="s">
        <v>40</v>
      </c>
      <c r="I11" s="32">
        <v>700</v>
      </c>
    </row>
    <row r="12" spans="2:9" x14ac:dyDescent="0.25">
      <c r="B12" s="32" t="s">
        <v>41</v>
      </c>
      <c r="C12" s="32" t="s">
        <v>90</v>
      </c>
      <c r="D12" s="141">
        <f>I36</f>
        <v>2287</v>
      </c>
      <c r="E12" s="141">
        <v>1287</v>
      </c>
      <c r="F12" s="141">
        <v>1000</v>
      </c>
      <c r="G12" s="143"/>
      <c r="H12" s="32" t="s">
        <v>42</v>
      </c>
      <c r="I12" s="32">
        <v>1200</v>
      </c>
    </row>
    <row r="13" spans="2:9" ht="15.75" x14ac:dyDescent="0.25">
      <c r="B13" s="32" t="s">
        <v>43</v>
      </c>
      <c r="C13" s="32" t="s">
        <v>90</v>
      </c>
      <c r="D13" s="141">
        <f>L27</f>
        <v>1900</v>
      </c>
      <c r="E13" s="141">
        <v>1400</v>
      </c>
      <c r="F13" s="141">
        <v>500</v>
      </c>
      <c r="G13" s="143"/>
      <c r="H13" s="423" t="s">
        <v>16</v>
      </c>
      <c r="I13" s="423">
        <f>SUM(I10:I12)</f>
        <v>2500</v>
      </c>
    </row>
    <row r="14" spans="2:9" x14ac:dyDescent="0.25">
      <c r="B14" s="32" t="s">
        <v>44</v>
      </c>
      <c r="C14" s="32" t="s">
        <v>90</v>
      </c>
      <c r="D14" s="141">
        <f>I16</f>
        <v>2500</v>
      </c>
      <c r="E14" s="141">
        <v>1500</v>
      </c>
      <c r="F14" s="141">
        <v>1000</v>
      </c>
      <c r="G14" s="143"/>
    </row>
    <row r="15" spans="2:9" x14ac:dyDescent="0.25">
      <c r="B15" s="32" t="s">
        <v>45</v>
      </c>
      <c r="C15" s="32"/>
      <c r="D15" s="141"/>
      <c r="E15" s="141"/>
      <c r="F15" s="141"/>
      <c r="H15" s="586" t="s">
        <v>87</v>
      </c>
      <c r="I15" s="586"/>
    </row>
    <row r="16" spans="2:9" x14ac:dyDescent="0.25">
      <c r="B16" s="418" t="s">
        <v>46</v>
      </c>
      <c r="C16" s="418"/>
      <c r="D16" s="420">
        <f>SUM(D17:D19)</f>
        <v>1435</v>
      </c>
      <c r="E16" s="420">
        <f t="shared" ref="E16:F16" si="1">SUM(E17:E19)</f>
        <v>1435</v>
      </c>
      <c r="F16" s="420">
        <f t="shared" si="1"/>
        <v>0</v>
      </c>
      <c r="H16" s="32" t="s">
        <v>381</v>
      </c>
      <c r="I16" s="32">
        <v>2500</v>
      </c>
    </row>
    <row r="17" spans="2:12" x14ac:dyDescent="0.25">
      <c r="B17" s="32" t="s">
        <v>47</v>
      </c>
      <c r="C17" s="32" t="s">
        <v>281</v>
      </c>
      <c r="D17" s="141">
        <v>1000</v>
      </c>
      <c r="E17" s="141">
        <v>1000</v>
      </c>
      <c r="F17" s="141"/>
    </row>
    <row r="18" spans="2:12" x14ac:dyDescent="0.25">
      <c r="B18" s="32" t="s">
        <v>48</v>
      </c>
      <c r="C18" s="32" t="s">
        <v>281</v>
      </c>
      <c r="D18" s="141">
        <v>420</v>
      </c>
      <c r="E18" s="141">
        <v>420</v>
      </c>
      <c r="F18" s="141"/>
    </row>
    <row r="19" spans="2:12" x14ac:dyDescent="0.25">
      <c r="B19" s="32" t="s">
        <v>49</v>
      </c>
      <c r="C19" s="32" t="s">
        <v>281</v>
      </c>
      <c r="D19" s="141">
        <v>15</v>
      </c>
      <c r="E19" s="141">
        <v>15</v>
      </c>
      <c r="F19" s="141"/>
    </row>
    <row r="20" spans="2:12" x14ac:dyDescent="0.25">
      <c r="B20" s="32" t="s">
        <v>50</v>
      </c>
      <c r="C20" s="32"/>
      <c r="D20" s="141"/>
      <c r="E20" s="141"/>
      <c r="F20" s="141"/>
    </row>
    <row r="21" spans="2:12" x14ac:dyDescent="0.25">
      <c r="B21" s="32" t="s">
        <v>51</v>
      </c>
      <c r="C21" s="32"/>
      <c r="D21" s="141"/>
      <c r="E21" s="141"/>
      <c r="F21" s="141"/>
    </row>
    <row r="22" spans="2:12" x14ac:dyDescent="0.25">
      <c r="B22" s="32" t="s">
        <v>52</v>
      </c>
      <c r="C22" s="32"/>
      <c r="D22" s="141"/>
      <c r="E22" s="141"/>
      <c r="F22" s="141"/>
      <c r="H22" s="589" t="s">
        <v>41</v>
      </c>
      <c r="I22" s="589"/>
      <c r="K22" s="588" t="s">
        <v>53</v>
      </c>
      <c r="L22" s="588"/>
    </row>
    <row r="23" spans="2:12" x14ac:dyDescent="0.25">
      <c r="B23" s="48" t="s">
        <v>54</v>
      </c>
      <c r="C23" s="48"/>
      <c r="D23" s="140"/>
      <c r="E23" s="140"/>
      <c r="F23" s="140"/>
      <c r="H23" s="32" t="s">
        <v>55</v>
      </c>
      <c r="I23" s="32">
        <v>60</v>
      </c>
      <c r="K23" s="32" t="s">
        <v>56</v>
      </c>
      <c r="L23" s="32">
        <v>800</v>
      </c>
    </row>
    <row r="24" spans="2:12" x14ac:dyDescent="0.25">
      <c r="B24" s="418" t="s">
        <v>280</v>
      </c>
      <c r="C24" s="418"/>
      <c r="D24" s="420">
        <f>SUM(D25:D25)</f>
        <v>61307.420712560386</v>
      </c>
      <c r="E24" s="420">
        <f>SUM(E25:E25)</f>
        <v>46307.420712560386</v>
      </c>
      <c r="F24" s="420">
        <f>SUM(F25:F25)</f>
        <v>15000</v>
      </c>
      <c r="H24" s="32" t="s">
        <v>57</v>
      </c>
      <c r="I24" s="32">
        <v>40</v>
      </c>
      <c r="K24" s="32" t="s">
        <v>58</v>
      </c>
      <c r="L24" s="32">
        <v>100</v>
      </c>
    </row>
    <row r="25" spans="2:12" x14ac:dyDescent="0.25">
      <c r="B25" s="317" t="s">
        <v>410</v>
      </c>
      <c r="C25" s="317" t="s">
        <v>281</v>
      </c>
      <c r="D25" s="318">
        <f>'Capital de Trabajo (kw)'!O13</f>
        <v>61307.420712560386</v>
      </c>
      <c r="E25" s="318">
        <f>G26</f>
        <v>46307.420712560386</v>
      </c>
      <c r="F25" s="318">
        <v>15000</v>
      </c>
      <c r="G25" s="143">
        <f>E25+F25</f>
        <v>61307.420712560386</v>
      </c>
      <c r="H25" s="32" t="s">
        <v>59</v>
      </c>
      <c r="I25" s="32">
        <v>20</v>
      </c>
      <c r="K25" s="32" t="s">
        <v>60</v>
      </c>
      <c r="L25" s="32">
        <v>500</v>
      </c>
    </row>
    <row r="26" spans="2:12" x14ac:dyDescent="0.25">
      <c r="B26" s="147" t="s">
        <v>68</v>
      </c>
      <c r="C26" s="147"/>
      <c r="D26" s="174">
        <f>D24+D16+D8</f>
        <v>71929.420712560386</v>
      </c>
      <c r="E26" s="174">
        <f t="shared" ref="E26:F26" si="2">E24+E16+E8</f>
        <v>51929.420712560386</v>
      </c>
      <c r="F26" s="174">
        <f t="shared" si="2"/>
        <v>20000</v>
      </c>
      <c r="G26" s="143">
        <f>D25-F25</f>
        <v>46307.420712560386</v>
      </c>
      <c r="H26" s="32" t="s">
        <v>61</v>
      </c>
      <c r="I26" s="32">
        <v>40</v>
      </c>
      <c r="K26" s="32" t="s">
        <v>62</v>
      </c>
      <c r="L26" s="32">
        <v>500</v>
      </c>
    </row>
    <row r="27" spans="2:12" x14ac:dyDescent="0.25">
      <c r="E27" s="18"/>
      <c r="F27" s="18"/>
      <c r="H27" s="32" t="s">
        <v>63</v>
      </c>
      <c r="I27" s="32">
        <v>250</v>
      </c>
      <c r="K27" s="418" t="s">
        <v>16</v>
      </c>
      <c r="L27" s="418">
        <f>SUM(L23:L26)</f>
        <v>1900</v>
      </c>
    </row>
    <row r="28" spans="2:12" x14ac:dyDescent="0.25">
      <c r="B28" s="315"/>
      <c r="C28" s="316"/>
      <c r="H28" s="32" t="s">
        <v>64</v>
      </c>
      <c r="I28" s="32">
        <v>75</v>
      </c>
    </row>
    <row r="29" spans="2:12" ht="15.75" thickBot="1" x14ac:dyDescent="0.3">
      <c r="E29" s="191"/>
      <c r="F29" s="191"/>
      <c r="H29" s="32" t="s">
        <v>65</v>
      </c>
      <c r="I29" s="32">
        <v>24</v>
      </c>
    </row>
    <row r="30" spans="2:12" x14ac:dyDescent="0.25">
      <c r="E30" s="582" t="s">
        <v>31</v>
      </c>
      <c r="F30" s="584" t="s">
        <v>337</v>
      </c>
      <c r="H30" s="32" t="s">
        <v>67</v>
      </c>
      <c r="I30" s="32">
        <v>48</v>
      </c>
    </row>
    <row r="31" spans="2:12" x14ac:dyDescent="0.25">
      <c r="E31" s="583"/>
      <c r="F31" s="585"/>
      <c r="H31" s="32" t="s">
        <v>69</v>
      </c>
      <c r="I31" s="32">
        <v>20</v>
      </c>
    </row>
    <row r="32" spans="2:12" x14ac:dyDescent="0.25">
      <c r="E32" s="224">
        <f>E26</f>
        <v>51929.420712560386</v>
      </c>
      <c r="F32" s="225">
        <f>F26</f>
        <v>20000</v>
      </c>
      <c r="H32" s="32" t="s">
        <v>70</v>
      </c>
      <c r="I32" s="32">
        <v>300</v>
      </c>
    </row>
    <row r="33" spans="5:9" ht="15.75" thickBot="1" x14ac:dyDescent="0.3">
      <c r="E33" s="421">
        <f>E32/D26</f>
        <v>0.72194965840302427</v>
      </c>
      <c r="F33" s="422">
        <f>F32/D26</f>
        <v>0.27805034159697578</v>
      </c>
      <c r="H33" s="32" t="s">
        <v>71</v>
      </c>
      <c r="I33" s="32">
        <v>200</v>
      </c>
    </row>
    <row r="34" spans="5:9" ht="15.75" customHeight="1" x14ac:dyDescent="0.25">
      <c r="G34" s="191"/>
      <c r="H34" s="32" t="s">
        <v>72</v>
      </c>
      <c r="I34" s="32">
        <v>1200</v>
      </c>
    </row>
    <row r="35" spans="5:9" x14ac:dyDescent="0.25">
      <c r="H35" s="32" t="s">
        <v>73</v>
      </c>
      <c r="I35" s="32">
        <v>10</v>
      </c>
    </row>
    <row r="36" spans="5:9" ht="15.75" x14ac:dyDescent="0.25">
      <c r="H36" s="423" t="s">
        <v>16</v>
      </c>
      <c r="I36" s="423">
        <f>SUM(I23:I35)</f>
        <v>2287</v>
      </c>
    </row>
    <row r="43" spans="5:9" x14ac:dyDescent="0.25">
      <c r="I43" s="260"/>
    </row>
    <row r="44" spans="5:9" x14ac:dyDescent="0.25">
      <c r="I44" s="260"/>
    </row>
  </sheetData>
  <mergeCells count="10">
    <mergeCell ref="E30:E31"/>
    <mergeCell ref="F30:F31"/>
    <mergeCell ref="H15:I15"/>
    <mergeCell ref="B3:F3"/>
    <mergeCell ref="K22:L22"/>
    <mergeCell ref="H9:I9"/>
    <mergeCell ref="H22:I22"/>
    <mergeCell ref="C5:D5"/>
    <mergeCell ref="B5:B6"/>
    <mergeCell ref="E5:F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4"/>
  <sheetViews>
    <sheetView zoomScaleNormal="100" workbookViewId="0">
      <selection activeCell="H15" sqref="H15"/>
    </sheetView>
  </sheetViews>
  <sheetFormatPr baseColWidth="10" defaultColWidth="10.7109375" defaultRowHeight="15" x14ac:dyDescent="0.25"/>
  <cols>
    <col min="2" max="2" width="24" customWidth="1"/>
    <col min="3" max="4" width="12" customWidth="1"/>
    <col min="5" max="5" width="16.85546875" customWidth="1"/>
    <col min="6" max="6" width="15.42578125" customWidth="1"/>
    <col min="7" max="7" width="13.5703125" customWidth="1"/>
    <col min="8" max="8" width="13" customWidth="1"/>
  </cols>
  <sheetData>
    <row r="2" spans="2:8" x14ac:dyDescent="0.25">
      <c r="E2" s="128" t="s">
        <v>77</v>
      </c>
    </row>
    <row r="3" spans="2:8" x14ac:dyDescent="0.25">
      <c r="D3" s="128" t="s">
        <v>78</v>
      </c>
    </row>
    <row r="4" spans="2:8" s="145" customFormat="1" ht="30" x14ac:dyDescent="0.25">
      <c r="B4" s="173" t="s">
        <v>33</v>
      </c>
      <c r="C4" s="173" t="s">
        <v>79</v>
      </c>
      <c r="D4" s="173" t="s">
        <v>80</v>
      </c>
      <c r="E4" s="173" t="s">
        <v>81</v>
      </c>
      <c r="F4" s="173" t="s">
        <v>82</v>
      </c>
      <c r="G4" s="173" t="s">
        <v>83</v>
      </c>
      <c r="H4" s="173" t="s">
        <v>84</v>
      </c>
    </row>
    <row r="5" spans="2:8" x14ac:dyDescent="0.25">
      <c r="B5" s="417" t="s">
        <v>85</v>
      </c>
      <c r="C5" s="32"/>
      <c r="D5" s="32"/>
      <c r="E5" s="32"/>
      <c r="F5" s="32"/>
      <c r="G5" s="32"/>
      <c r="H5" s="32"/>
    </row>
    <row r="6" spans="2:8" x14ac:dyDescent="0.25">
      <c r="B6" s="417" t="s">
        <v>86</v>
      </c>
      <c r="C6" s="141">
        <f>'INVERSION INICIAL'!D11</f>
        <v>2500</v>
      </c>
      <c r="D6" s="32">
        <v>5</v>
      </c>
      <c r="E6" s="32">
        <f>1/D6</f>
        <v>0.2</v>
      </c>
      <c r="F6" s="139">
        <f>E6*C6</f>
        <v>500</v>
      </c>
      <c r="G6" s="141">
        <f>F6*5</f>
        <v>2500</v>
      </c>
      <c r="H6" s="146">
        <f>C6-G6</f>
        <v>0</v>
      </c>
    </row>
    <row r="7" spans="2:8" x14ac:dyDescent="0.25">
      <c r="B7" s="417" t="s">
        <v>41</v>
      </c>
      <c r="C7" s="141">
        <f>'INVERSION INICIAL'!D12</f>
        <v>2287</v>
      </c>
      <c r="D7" s="32">
        <v>2</v>
      </c>
      <c r="E7" s="32">
        <f>1/D7</f>
        <v>0.5</v>
      </c>
      <c r="F7" s="139">
        <f>E7*C7</f>
        <v>1143.5</v>
      </c>
      <c r="G7" s="141">
        <f>F7*1</f>
        <v>1143.5</v>
      </c>
      <c r="H7" s="139">
        <f t="shared" ref="H7:H9" si="0">C7-G7</f>
        <v>1143.5</v>
      </c>
    </row>
    <row r="8" spans="2:8" x14ac:dyDescent="0.25">
      <c r="B8" s="417" t="s">
        <v>87</v>
      </c>
      <c r="C8" s="141">
        <f>'INVERSION INICIAL'!D14</f>
        <v>2500</v>
      </c>
      <c r="D8" s="32">
        <v>3</v>
      </c>
      <c r="E8" s="144">
        <f>1/D8</f>
        <v>0.33333333333333331</v>
      </c>
      <c r="F8" s="139">
        <f>E8*C8</f>
        <v>833.33333333333326</v>
      </c>
      <c r="G8" s="141">
        <f>(F8*1)*2</f>
        <v>1666.6666666666665</v>
      </c>
      <c r="H8" s="139">
        <f t="shared" si="0"/>
        <v>833.33333333333348</v>
      </c>
    </row>
    <row r="9" spans="2:8" x14ac:dyDescent="0.25">
      <c r="B9" s="417" t="s">
        <v>53</v>
      </c>
      <c r="C9" s="141">
        <f>'INVERSION INICIAL'!D13</f>
        <v>1900</v>
      </c>
      <c r="D9" s="32">
        <v>5</v>
      </c>
      <c r="E9" s="32">
        <f>1/D9</f>
        <v>0.2</v>
      </c>
      <c r="F9" s="139">
        <f>E9*C9</f>
        <v>380</v>
      </c>
      <c r="G9" s="141">
        <f>F9*5</f>
        <v>1900</v>
      </c>
      <c r="H9" s="146">
        <f t="shared" si="0"/>
        <v>0</v>
      </c>
    </row>
    <row r="10" spans="2:8" x14ac:dyDescent="0.25">
      <c r="B10" s="417" t="s">
        <v>45</v>
      </c>
      <c r="C10" s="32"/>
      <c r="D10" s="32"/>
      <c r="E10" s="32"/>
      <c r="F10" s="32"/>
      <c r="G10" s="32"/>
      <c r="H10" s="32"/>
    </row>
    <row r="11" spans="2:8" ht="15.75" x14ac:dyDescent="0.25">
      <c r="B11" s="148" t="s">
        <v>30</v>
      </c>
      <c r="C11" s="149"/>
      <c r="D11" s="149"/>
      <c r="E11" s="149"/>
      <c r="F11" s="150">
        <f>SUM(F6:F9)</f>
        <v>2856.833333333333</v>
      </c>
      <c r="G11" s="149"/>
      <c r="H11" s="150">
        <f>SUM(H6:H9)</f>
        <v>1976.8333333333335</v>
      </c>
    </row>
    <row r="13" spans="2:8" x14ac:dyDescent="0.25">
      <c r="G13" s="143"/>
    </row>
    <row r="14" spans="2:8" x14ac:dyDescent="0.25">
      <c r="G14" s="14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Q14"/>
  <sheetViews>
    <sheetView zoomScale="90" zoomScaleNormal="90" workbookViewId="0">
      <selection activeCell="K21" sqref="K21"/>
    </sheetView>
  </sheetViews>
  <sheetFormatPr baseColWidth="10" defaultColWidth="10.7109375" defaultRowHeight="15" x14ac:dyDescent="0.25"/>
  <cols>
    <col min="1" max="1" width="3.28515625" customWidth="1"/>
    <col min="2" max="2" width="18.42578125" customWidth="1"/>
  </cols>
  <sheetData>
    <row r="3" spans="2:17" ht="15.75" x14ac:dyDescent="0.25">
      <c r="D3" s="319"/>
      <c r="G3" s="137"/>
      <c r="H3" s="137" t="s">
        <v>88</v>
      </c>
      <c r="I3" s="137"/>
      <c r="J3" s="137"/>
    </row>
    <row r="4" spans="2:17" s="153" customFormat="1" ht="15.75" x14ac:dyDescent="0.25">
      <c r="G4" s="154" t="s">
        <v>89</v>
      </c>
      <c r="H4" s="154"/>
      <c r="I4" s="154"/>
      <c r="J4" s="154"/>
    </row>
    <row r="5" spans="2:17" x14ac:dyDescent="0.25">
      <c r="B5" s="593" t="s">
        <v>26</v>
      </c>
      <c r="C5" s="591" t="s">
        <v>294</v>
      </c>
      <c r="D5" s="595"/>
      <c r="E5" s="595"/>
      <c r="F5" s="595"/>
      <c r="G5" s="595"/>
      <c r="H5" s="595"/>
      <c r="I5" s="595"/>
      <c r="J5" s="595"/>
      <c r="K5" s="595"/>
      <c r="L5" s="595"/>
      <c r="M5" s="595"/>
      <c r="N5" s="595"/>
      <c r="O5" s="592"/>
      <c r="P5" s="593" t="s">
        <v>16</v>
      </c>
    </row>
    <row r="6" spans="2:17" x14ac:dyDescent="0.25">
      <c r="B6" s="594"/>
      <c r="C6" s="147">
        <v>0</v>
      </c>
      <c r="D6" s="147">
        <v>1</v>
      </c>
      <c r="E6" s="147">
        <v>2</v>
      </c>
      <c r="F6" s="147">
        <v>3</v>
      </c>
      <c r="G6" s="147">
        <v>4</v>
      </c>
      <c r="H6" s="147">
        <v>5</v>
      </c>
      <c r="I6" s="147">
        <v>6</v>
      </c>
      <c r="J6" s="147">
        <v>7</v>
      </c>
      <c r="K6" s="147">
        <v>8</v>
      </c>
      <c r="L6" s="147">
        <v>9</v>
      </c>
      <c r="M6" s="147">
        <v>10</v>
      </c>
      <c r="N6" s="147">
        <v>11</v>
      </c>
      <c r="O6" s="147">
        <v>12</v>
      </c>
      <c r="P6" s="594"/>
    </row>
    <row r="7" spans="2:17" x14ac:dyDescent="0.25">
      <c r="B7" s="151" t="s">
        <v>90</v>
      </c>
      <c r="C7" s="317"/>
      <c r="D7" s="317">
        <f>'Presupuesto de ventas'!C7</f>
        <v>3600</v>
      </c>
      <c r="E7" s="317">
        <f>'Presupuesto de ventas'!D7</f>
        <v>4200</v>
      </c>
      <c r="F7" s="317">
        <f>'Presupuesto de ventas'!E7</f>
        <v>4800</v>
      </c>
      <c r="G7" s="317">
        <f>'Presupuesto de ventas'!F7</f>
        <v>5400</v>
      </c>
      <c r="H7" s="317">
        <f>'Presupuesto de ventas'!G7</f>
        <v>6000</v>
      </c>
      <c r="I7" s="317">
        <f>'Presupuesto de ventas'!H7</f>
        <v>6600</v>
      </c>
      <c r="J7" s="317">
        <f>'Presupuesto de ventas'!I7</f>
        <v>7200</v>
      </c>
      <c r="K7" s="317">
        <f>'Presupuesto de ventas'!J7</f>
        <v>7800</v>
      </c>
      <c r="L7" s="317">
        <f>'Presupuesto de ventas'!K7</f>
        <v>8400</v>
      </c>
      <c r="M7" s="317">
        <f>'Presupuesto de ventas'!L7</f>
        <v>9000</v>
      </c>
      <c r="N7" s="317">
        <f>'Presupuesto de ventas'!M7</f>
        <v>9600</v>
      </c>
      <c r="O7" s="317">
        <f>'Presupuesto de ventas'!N7</f>
        <v>10200</v>
      </c>
      <c r="P7" s="32">
        <f>SUM(D7:O7)</f>
        <v>82800</v>
      </c>
    </row>
    <row r="8" spans="2:17" x14ac:dyDescent="0.25">
      <c r="B8" s="151" t="s">
        <v>91</v>
      </c>
      <c r="C8" s="317"/>
      <c r="D8" s="320">
        <f>'Costos_Unitario '!$I$20</f>
        <v>5.724871175523349</v>
      </c>
      <c r="E8" s="320">
        <f>'Costos_Unitario '!$I$20</f>
        <v>5.724871175523349</v>
      </c>
      <c r="F8" s="320">
        <f>'Costos_Unitario '!$I$20</f>
        <v>5.724871175523349</v>
      </c>
      <c r="G8" s="320">
        <f>'Costos_Unitario '!$I$20</f>
        <v>5.724871175523349</v>
      </c>
      <c r="H8" s="320">
        <f>'Costos_Unitario '!$I$20</f>
        <v>5.724871175523349</v>
      </c>
      <c r="I8" s="320">
        <f>'Costos_Unitario '!$I$20</f>
        <v>5.724871175523349</v>
      </c>
      <c r="J8" s="320">
        <f>'Costos_Unitario '!$I$20</f>
        <v>5.724871175523349</v>
      </c>
      <c r="K8" s="320">
        <f>'Costos_Unitario '!$I$20</f>
        <v>5.724871175523349</v>
      </c>
      <c r="L8" s="320">
        <f>'Costos_Unitario '!$I$20</f>
        <v>5.724871175523349</v>
      </c>
      <c r="M8" s="320">
        <f>'Costos_Unitario '!$I$20</f>
        <v>5.724871175523349</v>
      </c>
      <c r="N8" s="320">
        <f>'Costos_Unitario '!$I$20</f>
        <v>5.724871175523349</v>
      </c>
      <c r="O8" s="320">
        <f>'Costos_Unitario '!$I$20</f>
        <v>5.724871175523349</v>
      </c>
      <c r="P8" s="32"/>
    </row>
    <row r="9" spans="2:17" x14ac:dyDescent="0.25">
      <c r="B9" s="151" t="s">
        <v>282</v>
      </c>
      <c r="C9" s="317"/>
      <c r="D9" s="506">
        <f>D8*D7</f>
        <v>20609.536231884056</v>
      </c>
      <c r="E9" s="317">
        <f t="shared" ref="E9:O9" si="0">E8*E7</f>
        <v>24044.458937198066</v>
      </c>
      <c r="F9" s="317">
        <f t="shared" si="0"/>
        <v>27479.381642512075</v>
      </c>
      <c r="G9" s="317">
        <f t="shared" si="0"/>
        <v>30914.304347826084</v>
      </c>
      <c r="H9" s="317">
        <f t="shared" si="0"/>
        <v>34349.227053140094</v>
      </c>
      <c r="I9" s="317">
        <f t="shared" si="0"/>
        <v>37784.149758454107</v>
      </c>
      <c r="J9" s="317">
        <f t="shared" si="0"/>
        <v>41219.072463768112</v>
      </c>
      <c r="K9" s="317">
        <f t="shared" si="0"/>
        <v>44653.995169082125</v>
      </c>
      <c r="L9" s="317">
        <f t="shared" si="0"/>
        <v>48088.917874396131</v>
      </c>
      <c r="M9" s="317">
        <f t="shared" si="0"/>
        <v>51523.840579710144</v>
      </c>
      <c r="N9" s="317">
        <f t="shared" si="0"/>
        <v>54958.76328502415</v>
      </c>
      <c r="O9" s="317">
        <f t="shared" si="0"/>
        <v>58393.685990338163</v>
      </c>
      <c r="P9" s="32"/>
    </row>
    <row r="10" spans="2:17" x14ac:dyDescent="0.25">
      <c r="B10" s="151" t="s">
        <v>283</v>
      </c>
      <c r="C10" s="317"/>
      <c r="D10" s="321">
        <f>'Gastos Operativos'!$H$19</f>
        <v>2913.7347222222224</v>
      </c>
      <c r="E10" s="321">
        <f>'Gastos Operativos'!$H$19</f>
        <v>2913.7347222222224</v>
      </c>
      <c r="F10" s="321">
        <f>'Gastos Operativos'!$H$19</f>
        <v>2913.7347222222224</v>
      </c>
      <c r="G10" s="321">
        <f>'Gastos Operativos'!$H$19</f>
        <v>2913.7347222222224</v>
      </c>
      <c r="H10" s="321">
        <f>'Gastos Operativos'!$H$19</f>
        <v>2913.7347222222224</v>
      </c>
      <c r="I10" s="321">
        <f>'Gastos Operativos'!$H$19</f>
        <v>2913.7347222222224</v>
      </c>
      <c r="J10" s="321">
        <f>'Gastos Operativos'!$H$19</f>
        <v>2913.7347222222224</v>
      </c>
      <c r="K10" s="321">
        <f>'Gastos Operativos'!$H$19</f>
        <v>2913.7347222222224</v>
      </c>
      <c r="L10" s="321">
        <f>'Gastos Operativos'!$H$19</f>
        <v>2913.7347222222224</v>
      </c>
      <c r="M10" s="321">
        <f>'Gastos Operativos'!$H$19</f>
        <v>2913.7347222222224</v>
      </c>
      <c r="N10" s="321">
        <f>'Gastos Operativos'!$H$19</f>
        <v>2913.7347222222224</v>
      </c>
      <c r="O10" s="321">
        <f>'Gastos Operativos'!$H$19</f>
        <v>2913.7347222222224</v>
      </c>
      <c r="P10" s="32"/>
    </row>
    <row r="11" spans="2:17" x14ac:dyDescent="0.25">
      <c r="B11" s="151" t="s">
        <v>284</v>
      </c>
      <c r="C11" s="317"/>
      <c r="D11" s="321">
        <f>D10+D9</f>
        <v>23523.27095410628</v>
      </c>
      <c r="E11" s="321">
        <f t="shared" ref="E11:O11" si="1">E10+E9</f>
        <v>26958.193659420289</v>
      </c>
      <c r="F11" s="321">
        <f t="shared" si="1"/>
        <v>30393.116364734298</v>
      </c>
      <c r="G11" s="321">
        <f t="shared" si="1"/>
        <v>33828.039070048304</v>
      </c>
      <c r="H11" s="321">
        <f t="shared" si="1"/>
        <v>37262.961775362317</v>
      </c>
      <c r="I11" s="321">
        <f t="shared" si="1"/>
        <v>40697.88448067633</v>
      </c>
      <c r="J11" s="321">
        <f t="shared" si="1"/>
        <v>44132.807185990336</v>
      </c>
      <c r="K11" s="321">
        <f t="shared" si="1"/>
        <v>47567.729891304349</v>
      </c>
      <c r="L11" s="321">
        <f t="shared" si="1"/>
        <v>51002.652596618354</v>
      </c>
      <c r="M11" s="321">
        <f t="shared" si="1"/>
        <v>54437.575301932367</v>
      </c>
      <c r="N11" s="321">
        <f t="shared" si="1"/>
        <v>57872.498007246373</v>
      </c>
      <c r="O11" s="321">
        <f t="shared" si="1"/>
        <v>61307.420712560386</v>
      </c>
      <c r="P11" s="32"/>
    </row>
    <row r="12" spans="2:17" x14ac:dyDescent="0.25">
      <c r="B12" s="152" t="s">
        <v>92</v>
      </c>
      <c r="C12" s="321">
        <f>D11</f>
        <v>23523.27095410628</v>
      </c>
      <c r="D12" s="321">
        <f>E11-C12</f>
        <v>3434.9227053140094</v>
      </c>
      <c r="E12" s="321">
        <f>F11-D13</f>
        <v>3434.9227053140094</v>
      </c>
      <c r="F12" s="321">
        <f>G11-E13</f>
        <v>3434.9227053140057</v>
      </c>
      <c r="G12" s="321">
        <f t="shared" ref="G12:L12" si="2">H11-F13</f>
        <v>3434.922705314013</v>
      </c>
      <c r="H12" s="321">
        <f t="shared" si="2"/>
        <v>3434.922705314013</v>
      </c>
      <c r="I12" s="321">
        <f t="shared" si="2"/>
        <v>3434.9227053140057</v>
      </c>
      <c r="J12" s="321">
        <f t="shared" si="2"/>
        <v>3434.922705314013</v>
      </c>
      <c r="K12" s="321">
        <f t="shared" si="2"/>
        <v>3434.9227053140057</v>
      </c>
      <c r="L12" s="321">
        <f t="shared" si="2"/>
        <v>3434.922705314013</v>
      </c>
      <c r="M12" s="321">
        <f>N11-L13</f>
        <v>3434.9227053140057</v>
      </c>
      <c r="N12" s="321">
        <f>O11-M13</f>
        <v>3434.922705314013</v>
      </c>
      <c r="O12" s="321">
        <f>O11-N13</f>
        <v>0</v>
      </c>
      <c r="P12" s="416">
        <f>SUM(C12:O12)</f>
        <v>61307.420712560386</v>
      </c>
      <c r="Q12" t="s">
        <v>399</v>
      </c>
    </row>
    <row r="13" spans="2:17" ht="15.75" thickBot="1" x14ac:dyDescent="0.3">
      <c r="B13" s="271" t="s">
        <v>16</v>
      </c>
      <c r="C13" s="272"/>
      <c r="D13" s="273">
        <f>D11+D12</f>
        <v>26958.193659420289</v>
      </c>
      <c r="E13" s="273">
        <f t="shared" ref="E13:N13" si="3">E11+E12</f>
        <v>30393.116364734298</v>
      </c>
      <c r="F13" s="273">
        <f t="shared" si="3"/>
        <v>33828.039070048304</v>
      </c>
      <c r="G13" s="273">
        <f t="shared" si="3"/>
        <v>37262.961775362317</v>
      </c>
      <c r="H13" s="273">
        <f t="shared" si="3"/>
        <v>40697.88448067633</v>
      </c>
      <c r="I13" s="273">
        <f t="shared" si="3"/>
        <v>44132.807185990336</v>
      </c>
      <c r="J13" s="273">
        <f t="shared" si="3"/>
        <v>47567.729891304349</v>
      </c>
      <c r="K13" s="273">
        <f t="shared" si="3"/>
        <v>51002.652596618354</v>
      </c>
      <c r="L13" s="273">
        <f t="shared" si="3"/>
        <v>54437.575301932367</v>
      </c>
      <c r="M13" s="273">
        <f t="shared" si="3"/>
        <v>57872.498007246373</v>
      </c>
      <c r="N13" s="273">
        <f t="shared" si="3"/>
        <v>61307.420712560386</v>
      </c>
      <c r="O13" s="416">
        <f>O11+O12</f>
        <v>61307.420712560386</v>
      </c>
      <c r="P13" s="272"/>
    </row>
    <row r="14" spans="2:17" x14ac:dyDescent="0.25">
      <c r="C14" t="s">
        <v>398</v>
      </c>
    </row>
  </sheetData>
  <mergeCells count="3">
    <mergeCell ref="B5:B6"/>
    <mergeCell ref="C5:O5"/>
    <mergeCell ref="P5:P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T51"/>
  <sheetViews>
    <sheetView topLeftCell="A40" zoomScale="110" zoomScaleNormal="110" workbookViewId="0">
      <selection activeCell="L55" sqref="L55"/>
    </sheetView>
  </sheetViews>
  <sheetFormatPr baseColWidth="10" defaultRowHeight="15" x14ac:dyDescent="0.25"/>
  <cols>
    <col min="15" max="15" width="13.85546875" customWidth="1"/>
    <col min="19" max="19" width="11.85546875" bestFit="1" customWidth="1"/>
  </cols>
  <sheetData>
    <row r="4" spans="1:20" ht="15.75" x14ac:dyDescent="0.25">
      <c r="B4" s="136" t="s">
        <v>3</v>
      </c>
      <c r="C4" s="136" t="s">
        <v>4</v>
      </c>
      <c r="D4" s="136" t="s">
        <v>5</v>
      </c>
      <c r="E4" s="136" t="s">
        <v>6</v>
      </c>
      <c r="F4" s="136" t="s">
        <v>7</v>
      </c>
      <c r="G4" s="136" t="s">
        <v>8</v>
      </c>
      <c r="H4" s="136" t="s">
        <v>9</v>
      </c>
      <c r="I4" s="136" t="s">
        <v>10</v>
      </c>
      <c r="J4" s="136" t="s">
        <v>11</v>
      </c>
      <c r="K4" s="136" t="s">
        <v>12</v>
      </c>
      <c r="L4" s="136" t="s">
        <v>13</v>
      </c>
      <c r="M4" s="136" t="s">
        <v>14</v>
      </c>
      <c r="N4" s="136" t="s">
        <v>15</v>
      </c>
      <c r="O4" s="136" t="s">
        <v>16</v>
      </c>
    </row>
    <row r="5" spans="1:20" x14ac:dyDescent="0.25">
      <c r="B5" s="175">
        <v>1</v>
      </c>
      <c r="C5" s="47">
        <f>300*12</f>
        <v>3600</v>
      </c>
      <c r="D5" s="47">
        <f>350*12</f>
        <v>4200</v>
      </c>
      <c r="E5" s="47">
        <f>400*12</f>
        <v>4800</v>
      </c>
      <c r="F5" s="47">
        <f>450*12</f>
        <v>5400</v>
      </c>
      <c r="G5" s="47">
        <f>500*12</f>
        <v>6000</v>
      </c>
      <c r="H5" s="47">
        <f>550*12</f>
        <v>6600</v>
      </c>
      <c r="I5" s="47">
        <f>600*12</f>
        <v>7200</v>
      </c>
      <c r="J5" s="47">
        <f>650*12</f>
        <v>7800</v>
      </c>
      <c r="K5" s="47">
        <f>700*12</f>
        <v>8400</v>
      </c>
      <c r="L5" s="47">
        <f>750*12</f>
        <v>9000</v>
      </c>
      <c r="M5" s="47">
        <f>800*12</f>
        <v>9600</v>
      </c>
      <c r="N5" s="47">
        <f>850*12</f>
        <v>10200</v>
      </c>
      <c r="O5" s="189">
        <f>SUM(C5:N5)</f>
        <v>82800</v>
      </c>
    </row>
    <row r="6" spans="1:20" x14ac:dyDescent="0.25">
      <c r="B6" s="175">
        <v>2</v>
      </c>
      <c r="C6" s="47">
        <v>10200</v>
      </c>
      <c r="D6" s="47">
        <v>10200</v>
      </c>
      <c r="E6" s="47">
        <v>10200</v>
      </c>
      <c r="F6" s="47">
        <v>10200</v>
      </c>
      <c r="G6" s="47">
        <v>10200</v>
      </c>
      <c r="H6" s="47">
        <v>10200</v>
      </c>
      <c r="I6" s="47">
        <v>10200</v>
      </c>
      <c r="J6" s="47">
        <v>10200</v>
      </c>
      <c r="K6" s="47">
        <v>10200</v>
      </c>
      <c r="L6" s="47">
        <v>10200</v>
      </c>
      <c r="M6" s="47">
        <v>10200</v>
      </c>
      <c r="N6" s="47">
        <v>10200</v>
      </c>
      <c r="O6" s="189">
        <f t="shared" ref="O6:O9" si="0">SUM(C6:N6)</f>
        <v>122400</v>
      </c>
    </row>
    <row r="7" spans="1:20" x14ac:dyDescent="0.25">
      <c r="B7" s="175">
        <v>3</v>
      </c>
      <c r="C7" s="47">
        <v>10200</v>
      </c>
      <c r="D7" s="47">
        <v>10200</v>
      </c>
      <c r="E7" s="47">
        <v>10200</v>
      </c>
      <c r="F7" s="47">
        <v>10200</v>
      </c>
      <c r="G7" s="47">
        <v>10200</v>
      </c>
      <c r="H7" s="47">
        <v>10200</v>
      </c>
      <c r="I7" s="47">
        <v>10200</v>
      </c>
      <c r="J7" s="47">
        <v>10200</v>
      </c>
      <c r="K7" s="47">
        <v>10200</v>
      </c>
      <c r="L7" s="47">
        <v>10200</v>
      </c>
      <c r="M7" s="47">
        <v>10200</v>
      </c>
      <c r="N7" s="47">
        <v>10200</v>
      </c>
      <c r="O7" s="189">
        <f t="shared" si="0"/>
        <v>122400</v>
      </c>
    </row>
    <row r="8" spans="1:20" x14ac:dyDescent="0.25">
      <c r="B8" s="175">
        <v>4</v>
      </c>
      <c r="C8" s="47">
        <v>10200</v>
      </c>
      <c r="D8" s="47">
        <v>10200</v>
      </c>
      <c r="E8" s="47">
        <v>10200</v>
      </c>
      <c r="F8" s="47">
        <v>10200</v>
      </c>
      <c r="G8" s="47">
        <v>10200</v>
      </c>
      <c r="H8" s="47">
        <v>10200</v>
      </c>
      <c r="I8" s="47">
        <v>10200</v>
      </c>
      <c r="J8" s="47">
        <v>10200</v>
      </c>
      <c r="K8" s="47">
        <v>10200</v>
      </c>
      <c r="L8" s="47">
        <v>10200</v>
      </c>
      <c r="M8" s="47">
        <v>10200</v>
      </c>
      <c r="N8" s="47">
        <v>10200</v>
      </c>
      <c r="O8" s="189">
        <f t="shared" si="0"/>
        <v>122400</v>
      </c>
      <c r="Q8" s="473">
        <v>8</v>
      </c>
      <c r="R8">
        <f>60*Q8</f>
        <v>480</v>
      </c>
      <c r="S8" t="s">
        <v>475</v>
      </c>
    </row>
    <row r="9" spans="1:20" x14ac:dyDescent="0.25">
      <c r="B9" s="175">
        <v>5</v>
      </c>
      <c r="C9" s="47">
        <v>10200</v>
      </c>
      <c r="D9" s="47">
        <v>10200</v>
      </c>
      <c r="E9" s="47">
        <v>10200</v>
      </c>
      <c r="F9" s="47">
        <v>10200</v>
      </c>
      <c r="G9" s="47">
        <v>10200</v>
      </c>
      <c r="H9" s="47">
        <v>10200</v>
      </c>
      <c r="I9" s="47">
        <v>10200</v>
      </c>
      <c r="J9" s="47">
        <v>10200</v>
      </c>
      <c r="K9" s="47">
        <v>10200</v>
      </c>
      <c r="L9" s="47">
        <v>10200</v>
      </c>
      <c r="M9" s="47">
        <v>10200</v>
      </c>
      <c r="N9" s="47">
        <v>10200</v>
      </c>
      <c r="O9" s="189">
        <f t="shared" si="0"/>
        <v>122400</v>
      </c>
    </row>
    <row r="10" spans="1:20" x14ac:dyDescent="0.25">
      <c r="Q10">
        <v>72</v>
      </c>
      <c r="R10">
        <v>480</v>
      </c>
    </row>
    <row r="11" spans="1:20" x14ac:dyDescent="0.25">
      <c r="B11" s="372" t="s">
        <v>464</v>
      </c>
      <c r="C11" s="379">
        <f>+C5/$C$12</f>
        <v>2</v>
      </c>
      <c r="D11" s="379">
        <f t="shared" ref="D11:N11" si="1">+D5/$C$12</f>
        <v>2.3333333333333335</v>
      </c>
      <c r="E11" s="379">
        <f t="shared" si="1"/>
        <v>2.6666666666666665</v>
      </c>
      <c r="F11" s="379">
        <f t="shared" si="1"/>
        <v>3</v>
      </c>
      <c r="G11" s="379">
        <f t="shared" si="1"/>
        <v>3.3333333333333335</v>
      </c>
      <c r="H11" s="379">
        <f t="shared" si="1"/>
        <v>3.6666666666666665</v>
      </c>
      <c r="I11" s="379">
        <f t="shared" si="1"/>
        <v>4</v>
      </c>
      <c r="J11" s="379">
        <f t="shared" si="1"/>
        <v>4.333333333333333</v>
      </c>
      <c r="K11" s="379">
        <f t="shared" si="1"/>
        <v>4.666666666666667</v>
      </c>
      <c r="L11" s="379">
        <f t="shared" si="1"/>
        <v>5</v>
      </c>
      <c r="M11" s="379">
        <f t="shared" si="1"/>
        <v>5.333333333333333</v>
      </c>
      <c r="N11" s="379">
        <f t="shared" si="1"/>
        <v>5.666666666666667</v>
      </c>
      <c r="Q11">
        <v>1</v>
      </c>
      <c r="R11" t="s">
        <v>263</v>
      </c>
    </row>
    <row r="12" spans="1:20" x14ac:dyDescent="0.25">
      <c r="B12" s="307" t="s">
        <v>404</v>
      </c>
      <c r="C12" s="308">
        <v>1800</v>
      </c>
      <c r="D12" s="308" t="s">
        <v>473</v>
      </c>
      <c r="E12" t="s">
        <v>472</v>
      </c>
      <c r="G12" s="472">
        <f>C12/25</f>
        <v>72</v>
      </c>
      <c r="H12" t="s">
        <v>474</v>
      </c>
      <c r="R12" s="142">
        <f>R10/Q10</f>
        <v>6.666666666666667</v>
      </c>
      <c r="S12" t="s">
        <v>475</v>
      </c>
      <c r="T12" t="s">
        <v>476</v>
      </c>
    </row>
    <row r="13" spans="1:20" x14ac:dyDescent="0.25">
      <c r="B13" s="307" t="s">
        <v>405</v>
      </c>
      <c r="C13" s="308">
        <v>930</v>
      </c>
      <c r="D13" s="308"/>
    </row>
    <row r="14" spans="1:20" x14ac:dyDescent="0.25">
      <c r="I14" s="143"/>
    </row>
    <row r="15" spans="1:20" ht="15.75" x14ac:dyDescent="0.25">
      <c r="B15" s="322" t="s">
        <v>3</v>
      </c>
      <c r="F15" s="143"/>
      <c r="H15" s="143">
        <f>AVERAGE(C16:H16)</f>
        <v>2635</v>
      </c>
      <c r="N15" s="143">
        <f>AVERAGE(I16:N16)</f>
        <v>4495</v>
      </c>
    </row>
    <row r="16" spans="1:20" x14ac:dyDescent="0.25">
      <c r="A16" t="s">
        <v>413</v>
      </c>
      <c r="B16" s="175">
        <v>1</v>
      </c>
      <c r="C16" s="141">
        <f>+C5/$C$12*$C$13</f>
        <v>1860</v>
      </c>
      <c r="D16" s="141">
        <f t="shared" ref="D16:N16" si="2">+D5/$C$12*$C$13</f>
        <v>2170</v>
      </c>
      <c r="E16" s="141">
        <f t="shared" si="2"/>
        <v>2480</v>
      </c>
      <c r="F16" s="141">
        <f t="shared" si="2"/>
        <v>2790</v>
      </c>
      <c r="G16" s="141">
        <f t="shared" si="2"/>
        <v>3100</v>
      </c>
      <c r="H16" s="141">
        <f t="shared" si="2"/>
        <v>3410</v>
      </c>
      <c r="I16" s="141">
        <f t="shared" si="2"/>
        <v>3720</v>
      </c>
      <c r="J16" s="141">
        <f t="shared" si="2"/>
        <v>4029.9999999999995</v>
      </c>
      <c r="K16" s="141">
        <f t="shared" si="2"/>
        <v>4340</v>
      </c>
      <c r="L16" s="141">
        <f t="shared" si="2"/>
        <v>4650</v>
      </c>
      <c r="M16" s="141">
        <f t="shared" si="2"/>
        <v>4960</v>
      </c>
      <c r="N16" s="141">
        <f t="shared" si="2"/>
        <v>5270</v>
      </c>
      <c r="O16" s="324">
        <f>SUM(B16:N16)</f>
        <v>42781</v>
      </c>
    </row>
    <row r="17" spans="1:15" x14ac:dyDescent="0.25">
      <c r="B17" s="175">
        <v>2</v>
      </c>
      <c r="C17" s="141">
        <f>+C6/$C$12*$C$13</f>
        <v>5270</v>
      </c>
      <c r="D17" s="141">
        <f t="shared" ref="D17:N17" si="3">+D6/$C$12*$C$13</f>
        <v>5270</v>
      </c>
      <c r="E17" s="141">
        <f t="shared" si="3"/>
        <v>5270</v>
      </c>
      <c r="F17" s="141">
        <f t="shared" si="3"/>
        <v>5270</v>
      </c>
      <c r="G17" s="141">
        <f t="shared" si="3"/>
        <v>5270</v>
      </c>
      <c r="H17" s="141">
        <f t="shared" si="3"/>
        <v>5270</v>
      </c>
      <c r="I17" s="141">
        <f t="shared" si="3"/>
        <v>5270</v>
      </c>
      <c r="J17" s="141">
        <f t="shared" si="3"/>
        <v>5270</v>
      </c>
      <c r="K17" s="141">
        <f t="shared" si="3"/>
        <v>5270</v>
      </c>
      <c r="L17" s="141">
        <f t="shared" si="3"/>
        <v>5270</v>
      </c>
      <c r="M17" s="141">
        <f t="shared" si="3"/>
        <v>5270</v>
      </c>
      <c r="N17" s="141">
        <f t="shared" si="3"/>
        <v>5270</v>
      </c>
      <c r="O17" s="324">
        <f t="shared" ref="O17:O20" si="4">SUM(B17:N17)</f>
        <v>63242</v>
      </c>
    </row>
    <row r="18" spans="1:15" x14ac:dyDescent="0.25">
      <c r="B18" s="175">
        <v>3</v>
      </c>
      <c r="C18" s="141">
        <f t="shared" ref="C18:N20" si="5">+C7/$C$12*$C$13</f>
        <v>5270</v>
      </c>
      <c r="D18" s="141">
        <f t="shared" si="5"/>
        <v>5270</v>
      </c>
      <c r="E18" s="141">
        <f t="shared" si="5"/>
        <v>5270</v>
      </c>
      <c r="F18" s="141">
        <f t="shared" si="5"/>
        <v>5270</v>
      </c>
      <c r="G18" s="141">
        <f t="shared" si="5"/>
        <v>5270</v>
      </c>
      <c r="H18" s="141">
        <f t="shared" si="5"/>
        <v>5270</v>
      </c>
      <c r="I18" s="141">
        <f t="shared" si="5"/>
        <v>5270</v>
      </c>
      <c r="J18" s="141">
        <f t="shared" si="5"/>
        <v>5270</v>
      </c>
      <c r="K18" s="141">
        <f t="shared" si="5"/>
        <v>5270</v>
      </c>
      <c r="L18" s="141">
        <f t="shared" si="5"/>
        <v>5270</v>
      </c>
      <c r="M18" s="141">
        <f t="shared" si="5"/>
        <v>5270</v>
      </c>
      <c r="N18" s="141">
        <f t="shared" si="5"/>
        <v>5270</v>
      </c>
      <c r="O18" s="324">
        <f t="shared" si="4"/>
        <v>63243</v>
      </c>
    </row>
    <row r="19" spans="1:15" x14ac:dyDescent="0.25">
      <c r="B19" s="175">
        <v>4</v>
      </c>
      <c r="C19" s="141">
        <f t="shared" si="5"/>
        <v>5270</v>
      </c>
      <c r="D19" s="141">
        <f t="shared" si="5"/>
        <v>5270</v>
      </c>
      <c r="E19" s="141">
        <f t="shared" si="5"/>
        <v>5270</v>
      </c>
      <c r="F19" s="141">
        <f t="shared" si="5"/>
        <v>5270</v>
      </c>
      <c r="G19" s="141">
        <f t="shared" si="5"/>
        <v>5270</v>
      </c>
      <c r="H19" s="141">
        <f t="shared" si="5"/>
        <v>5270</v>
      </c>
      <c r="I19" s="141">
        <f t="shared" si="5"/>
        <v>5270</v>
      </c>
      <c r="J19" s="141">
        <f t="shared" si="5"/>
        <v>5270</v>
      </c>
      <c r="K19" s="141">
        <f t="shared" si="5"/>
        <v>5270</v>
      </c>
      <c r="L19" s="141">
        <f t="shared" si="5"/>
        <v>5270</v>
      </c>
      <c r="M19" s="141">
        <f t="shared" si="5"/>
        <v>5270</v>
      </c>
      <c r="N19" s="141">
        <f t="shared" si="5"/>
        <v>5270</v>
      </c>
      <c r="O19" s="324">
        <f t="shared" si="4"/>
        <v>63244</v>
      </c>
    </row>
    <row r="20" spans="1:15" x14ac:dyDescent="0.25">
      <c r="B20" s="175">
        <v>5</v>
      </c>
      <c r="C20" s="141">
        <f t="shared" si="5"/>
        <v>5270</v>
      </c>
      <c r="D20" s="141">
        <f t="shared" si="5"/>
        <v>5270</v>
      </c>
      <c r="E20" s="141">
        <f t="shared" si="5"/>
        <v>5270</v>
      </c>
      <c r="F20" s="141">
        <f t="shared" si="5"/>
        <v>5270</v>
      </c>
      <c r="G20" s="141">
        <f t="shared" si="5"/>
        <v>5270</v>
      </c>
      <c r="H20" s="141">
        <f t="shared" si="5"/>
        <v>5270</v>
      </c>
      <c r="I20" s="141">
        <f t="shared" si="5"/>
        <v>5270</v>
      </c>
      <c r="J20" s="141">
        <f t="shared" si="5"/>
        <v>5270</v>
      </c>
      <c r="K20" s="141">
        <f t="shared" si="5"/>
        <v>5270</v>
      </c>
      <c r="L20" s="141">
        <f t="shared" si="5"/>
        <v>5270</v>
      </c>
      <c r="M20" s="141">
        <f t="shared" si="5"/>
        <v>5270</v>
      </c>
      <c r="N20" s="141">
        <f t="shared" si="5"/>
        <v>5270</v>
      </c>
      <c r="O20" s="324">
        <f t="shared" si="4"/>
        <v>63245</v>
      </c>
    </row>
    <row r="21" spans="1:15" x14ac:dyDescent="0.25">
      <c r="B21" s="32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</row>
    <row r="22" spans="1:15" ht="15.75" x14ac:dyDescent="0.25">
      <c r="B22" s="322" t="s">
        <v>3</v>
      </c>
      <c r="I22" s="474">
        <f>(H15+(0.09*H15))</f>
        <v>2872.15</v>
      </c>
      <c r="N22" s="143">
        <f>(N15+(N15*0.09))</f>
        <v>4899.55</v>
      </c>
      <c r="O22" s="143">
        <f>I22+N22</f>
        <v>7771.7000000000007</v>
      </c>
    </row>
    <row r="23" spans="1:15" x14ac:dyDescent="0.25">
      <c r="A23" t="s">
        <v>406</v>
      </c>
      <c r="B23" s="175">
        <v>1</v>
      </c>
      <c r="C23" s="318">
        <f>+C16/6</f>
        <v>310</v>
      </c>
      <c r="D23" s="318">
        <f t="shared" ref="D23:N23" si="6">+D16/6</f>
        <v>361.66666666666669</v>
      </c>
      <c r="E23" s="318">
        <f t="shared" si="6"/>
        <v>413.33333333333331</v>
      </c>
      <c r="F23" s="318">
        <f t="shared" si="6"/>
        <v>465</v>
      </c>
      <c r="G23" s="318">
        <f t="shared" si="6"/>
        <v>516.66666666666663</v>
      </c>
      <c r="H23" s="318">
        <f t="shared" si="6"/>
        <v>568.33333333333337</v>
      </c>
      <c r="I23" s="318">
        <f t="shared" si="6"/>
        <v>620</v>
      </c>
      <c r="J23" s="318">
        <f t="shared" si="6"/>
        <v>671.66666666666663</v>
      </c>
      <c r="K23" s="318">
        <f t="shared" si="6"/>
        <v>723.33333333333337</v>
      </c>
      <c r="L23" s="318">
        <f t="shared" si="6"/>
        <v>775</v>
      </c>
      <c r="M23" s="318">
        <f t="shared" si="6"/>
        <v>826.66666666666663</v>
      </c>
      <c r="N23" s="318">
        <f t="shared" si="6"/>
        <v>878.33333333333337</v>
      </c>
      <c r="O23" s="324">
        <f>SUM(C23:N23)</f>
        <v>7130</v>
      </c>
    </row>
    <row r="24" spans="1:15" x14ac:dyDescent="0.25">
      <c r="B24" s="175">
        <v>2</v>
      </c>
      <c r="C24" s="318">
        <f t="shared" ref="C24:N27" si="7">+C17/6</f>
        <v>878.33333333333337</v>
      </c>
      <c r="D24" s="318">
        <f t="shared" si="7"/>
        <v>878.33333333333337</v>
      </c>
      <c r="E24" s="318">
        <f t="shared" si="7"/>
        <v>878.33333333333337</v>
      </c>
      <c r="F24" s="318">
        <f t="shared" si="7"/>
        <v>878.33333333333337</v>
      </c>
      <c r="G24" s="318">
        <f t="shared" si="7"/>
        <v>878.33333333333337</v>
      </c>
      <c r="H24" s="318">
        <f t="shared" si="7"/>
        <v>878.33333333333337</v>
      </c>
      <c r="I24" s="318">
        <f t="shared" si="7"/>
        <v>878.33333333333337</v>
      </c>
      <c r="J24" s="318">
        <f t="shared" si="7"/>
        <v>878.33333333333337</v>
      </c>
      <c r="K24" s="318">
        <f t="shared" si="7"/>
        <v>878.33333333333337</v>
      </c>
      <c r="L24" s="318">
        <f t="shared" si="7"/>
        <v>878.33333333333337</v>
      </c>
      <c r="M24" s="318">
        <f t="shared" si="7"/>
        <v>878.33333333333337</v>
      </c>
      <c r="N24" s="318">
        <f t="shared" si="7"/>
        <v>878.33333333333337</v>
      </c>
      <c r="O24" s="324">
        <f t="shared" ref="O24:O27" si="8">SUM(C24:N24)</f>
        <v>10540</v>
      </c>
    </row>
    <row r="25" spans="1:15" x14ac:dyDescent="0.25">
      <c r="B25" s="175">
        <v>3</v>
      </c>
      <c r="C25" s="318">
        <f t="shared" si="7"/>
        <v>878.33333333333337</v>
      </c>
      <c r="D25" s="318">
        <f t="shared" si="7"/>
        <v>878.33333333333337</v>
      </c>
      <c r="E25" s="318">
        <f t="shared" si="7"/>
        <v>878.33333333333337</v>
      </c>
      <c r="F25" s="318">
        <f t="shared" si="7"/>
        <v>878.33333333333337</v>
      </c>
      <c r="G25" s="318">
        <f t="shared" si="7"/>
        <v>878.33333333333337</v>
      </c>
      <c r="H25" s="318">
        <f t="shared" si="7"/>
        <v>878.33333333333337</v>
      </c>
      <c r="I25" s="318">
        <f t="shared" si="7"/>
        <v>878.33333333333337</v>
      </c>
      <c r="J25" s="318">
        <f t="shared" si="7"/>
        <v>878.33333333333337</v>
      </c>
      <c r="K25" s="318">
        <f t="shared" si="7"/>
        <v>878.33333333333337</v>
      </c>
      <c r="L25" s="318">
        <f t="shared" si="7"/>
        <v>878.33333333333337</v>
      </c>
      <c r="M25" s="318">
        <f t="shared" si="7"/>
        <v>878.33333333333337</v>
      </c>
      <c r="N25" s="318">
        <f t="shared" si="7"/>
        <v>878.33333333333337</v>
      </c>
      <c r="O25" s="324">
        <f t="shared" si="8"/>
        <v>10540</v>
      </c>
    </row>
    <row r="26" spans="1:15" x14ac:dyDescent="0.25">
      <c r="B26" s="175">
        <v>4</v>
      </c>
      <c r="C26" s="318">
        <f t="shared" si="7"/>
        <v>878.33333333333337</v>
      </c>
      <c r="D26" s="318">
        <f t="shared" si="7"/>
        <v>878.33333333333337</v>
      </c>
      <c r="E26" s="318">
        <f t="shared" si="7"/>
        <v>878.33333333333337</v>
      </c>
      <c r="F26" s="318">
        <f t="shared" si="7"/>
        <v>878.33333333333337</v>
      </c>
      <c r="G26" s="318">
        <f t="shared" si="7"/>
        <v>878.33333333333337</v>
      </c>
      <c r="H26" s="318">
        <f t="shared" si="7"/>
        <v>878.33333333333337</v>
      </c>
      <c r="I26" s="318">
        <f t="shared" si="7"/>
        <v>878.33333333333337</v>
      </c>
      <c r="J26" s="318">
        <f t="shared" si="7"/>
        <v>878.33333333333337</v>
      </c>
      <c r="K26" s="318">
        <f t="shared" si="7"/>
        <v>878.33333333333337</v>
      </c>
      <c r="L26" s="318">
        <f t="shared" si="7"/>
        <v>878.33333333333337</v>
      </c>
      <c r="M26" s="318">
        <f t="shared" si="7"/>
        <v>878.33333333333337</v>
      </c>
      <c r="N26" s="318">
        <f t="shared" si="7"/>
        <v>878.33333333333337</v>
      </c>
      <c r="O26" s="324">
        <f t="shared" si="8"/>
        <v>10540</v>
      </c>
    </row>
    <row r="27" spans="1:15" x14ac:dyDescent="0.25">
      <c r="B27" s="175">
        <v>5</v>
      </c>
      <c r="C27" s="318">
        <f t="shared" si="7"/>
        <v>878.33333333333337</v>
      </c>
      <c r="D27" s="318">
        <f t="shared" si="7"/>
        <v>878.33333333333337</v>
      </c>
      <c r="E27" s="318">
        <f t="shared" si="7"/>
        <v>878.33333333333337</v>
      </c>
      <c r="F27" s="318">
        <f t="shared" si="7"/>
        <v>878.33333333333337</v>
      </c>
      <c r="G27" s="318">
        <f t="shared" si="7"/>
        <v>878.33333333333337</v>
      </c>
      <c r="H27" s="318">
        <f t="shared" si="7"/>
        <v>878.33333333333337</v>
      </c>
      <c r="I27" s="318">
        <f t="shared" si="7"/>
        <v>878.33333333333337</v>
      </c>
      <c r="J27" s="318">
        <f t="shared" si="7"/>
        <v>878.33333333333337</v>
      </c>
      <c r="K27" s="318">
        <f t="shared" si="7"/>
        <v>878.33333333333337</v>
      </c>
      <c r="L27" s="318">
        <f t="shared" si="7"/>
        <v>878.33333333333337</v>
      </c>
      <c r="M27" s="318">
        <f t="shared" si="7"/>
        <v>878.33333333333337</v>
      </c>
      <c r="N27" s="318">
        <f t="shared" si="7"/>
        <v>878.33333333333337</v>
      </c>
      <c r="O27" s="324">
        <f t="shared" si="8"/>
        <v>10540</v>
      </c>
    </row>
    <row r="30" spans="1:15" ht="15.75" x14ac:dyDescent="0.25">
      <c r="A30" t="s">
        <v>407</v>
      </c>
      <c r="B30" s="322" t="s">
        <v>3</v>
      </c>
    </row>
    <row r="31" spans="1:15" x14ac:dyDescent="0.25">
      <c r="B31" s="175">
        <v>1</v>
      </c>
      <c r="C31" s="141">
        <f>+(C16+C16/6)/12</f>
        <v>180.83333333333334</v>
      </c>
      <c r="D31" s="141">
        <f t="shared" ref="D31:N31" si="9">+(D16+D16/6)/12</f>
        <v>210.9722222222222</v>
      </c>
      <c r="E31" s="141">
        <f t="shared" si="9"/>
        <v>241.11111111111111</v>
      </c>
      <c r="F31" s="141">
        <f t="shared" si="9"/>
        <v>271.25</v>
      </c>
      <c r="G31" s="141">
        <f t="shared" si="9"/>
        <v>301.38888888888886</v>
      </c>
      <c r="H31" s="141">
        <f t="shared" si="9"/>
        <v>331.52777777777777</v>
      </c>
      <c r="I31" s="141">
        <f t="shared" si="9"/>
        <v>361.66666666666669</v>
      </c>
      <c r="J31" s="141">
        <f t="shared" si="9"/>
        <v>391.80555555555549</v>
      </c>
      <c r="K31" s="141">
        <f t="shared" si="9"/>
        <v>421.9444444444444</v>
      </c>
      <c r="L31" s="141">
        <f t="shared" si="9"/>
        <v>452.08333333333331</v>
      </c>
      <c r="M31" s="141">
        <f t="shared" si="9"/>
        <v>482.22222222222223</v>
      </c>
      <c r="N31" s="141">
        <f t="shared" si="9"/>
        <v>512.36111111111109</v>
      </c>
      <c r="O31" s="324">
        <f>SUM(C31:N31)</f>
        <v>4159.166666666667</v>
      </c>
    </row>
    <row r="32" spans="1:15" x14ac:dyDescent="0.25">
      <c r="B32" s="175">
        <v>2</v>
      </c>
      <c r="C32" s="141">
        <f t="shared" ref="C32:N32" si="10">+(C17+C17/6)/12</f>
        <v>512.36111111111109</v>
      </c>
      <c r="D32" s="141">
        <f t="shared" si="10"/>
        <v>512.36111111111109</v>
      </c>
      <c r="E32" s="141">
        <f t="shared" si="10"/>
        <v>512.36111111111109</v>
      </c>
      <c r="F32" s="141">
        <f t="shared" si="10"/>
        <v>512.36111111111109</v>
      </c>
      <c r="G32" s="141">
        <f t="shared" si="10"/>
        <v>512.36111111111109</v>
      </c>
      <c r="H32" s="141">
        <f t="shared" si="10"/>
        <v>512.36111111111109</v>
      </c>
      <c r="I32" s="141">
        <f t="shared" si="10"/>
        <v>512.36111111111109</v>
      </c>
      <c r="J32" s="141">
        <f t="shared" si="10"/>
        <v>512.36111111111109</v>
      </c>
      <c r="K32" s="141">
        <f t="shared" si="10"/>
        <v>512.36111111111109</v>
      </c>
      <c r="L32" s="141">
        <f t="shared" si="10"/>
        <v>512.36111111111109</v>
      </c>
      <c r="M32" s="141">
        <f t="shared" si="10"/>
        <v>512.36111111111109</v>
      </c>
      <c r="N32" s="141">
        <f t="shared" si="10"/>
        <v>512.36111111111109</v>
      </c>
      <c r="O32" s="324">
        <f t="shared" ref="O32:O35" si="11">SUM(C32:N32)</f>
        <v>6148.3333333333348</v>
      </c>
    </row>
    <row r="33" spans="1:15" x14ac:dyDescent="0.25">
      <c r="B33" s="175">
        <v>3</v>
      </c>
      <c r="C33" s="141">
        <f t="shared" ref="C33:N33" si="12">+(C18+C18/6)/12</f>
        <v>512.36111111111109</v>
      </c>
      <c r="D33" s="141">
        <f t="shared" si="12"/>
        <v>512.36111111111109</v>
      </c>
      <c r="E33" s="141">
        <f t="shared" si="12"/>
        <v>512.36111111111109</v>
      </c>
      <c r="F33" s="141">
        <f t="shared" si="12"/>
        <v>512.36111111111109</v>
      </c>
      <c r="G33" s="141">
        <f t="shared" si="12"/>
        <v>512.36111111111109</v>
      </c>
      <c r="H33" s="141">
        <f t="shared" si="12"/>
        <v>512.36111111111109</v>
      </c>
      <c r="I33" s="141">
        <f t="shared" si="12"/>
        <v>512.36111111111109</v>
      </c>
      <c r="J33" s="141">
        <f t="shared" si="12"/>
        <v>512.36111111111109</v>
      </c>
      <c r="K33" s="141">
        <f t="shared" si="12"/>
        <v>512.36111111111109</v>
      </c>
      <c r="L33" s="141">
        <f t="shared" si="12"/>
        <v>512.36111111111109</v>
      </c>
      <c r="M33" s="141">
        <f t="shared" si="12"/>
        <v>512.36111111111109</v>
      </c>
      <c r="N33" s="141">
        <f t="shared" si="12"/>
        <v>512.36111111111109</v>
      </c>
      <c r="O33" s="324">
        <f t="shared" si="11"/>
        <v>6148.3333333333348</v>
      </c>
    </row>
    <row r="34" spans="1:15" x14ac:dyDescent="0.25">
      <c r="B34" s="175">
        <v>4</v>
      </c>
      <c r="C34" s="141">
        <f t="shared" ref="C34:N34" si="13">+(C19+C19/6)/12</f>
        <v>512.36111111111109</v>
      </c>
      <c r="D34" s="141">
        <f t="shared" si="13"/>
        <v>512.36111111111109</v>
      </c>
      <c r="E34" s="141">
        <f t="shared" si="13"/>
        <v>512.36111111111109</v>
      </c>
      <c r="F34" s="141">
        <f t="shared" si="13"/>
        <v>512.36111111111109</v>
      </c>
      <c r="G34" s="141">
        <f t="shared" si="13"/>
        <v>512.36111111111109</v>
      </c>
      <c r="H34" s="141">
        <f t="shared" si="13"/>
        <v>512.36111111111109</v>
      </c>
      <c r="I34" s="141">
        <f t="shared" si="13"/>
        <v>512.36111111111109</v>
      </c>
      <c r="J34" s="141">
        <f t="shared" si="13"/>
        <v>512.36111111111109</v>
      </c>
      <c r="K34" s="141">
        <f t="shared" si="13"/>
        <v>512.36111111111109</v>
      </c>
      <c r="L34" s="141">
        <f t="shared" si="13"/>
        <v>512.36111111111109</v>
      </c>
      <c r="M34" s="141">
        <f t="shared" si="13"/>
        <v>512.36111111111109</v>
      </c>
      <c r="N34" s="141">
        <f t="shared" si="13"/>
        <v>512.36111111111109</v>
      </c>
      <c r="O34" s="324">
        <f t="shared" si="11"/>
        <v>6148.3333333333348</v>
      </c>
    </row>
    <row r="35" spans="1:15" x14ac:dyDescent="0.25">
      <c r="B35" s="175">
        <v>5</v>
      </c>
      <c r="C35" s="141">
        <f t="shared" ref="C35:N35" si="14">+(C20+C20/6)/12</f>
        <v>512.36111111111109</v>
      </c>
      <c r="D35" s="141">
        <f t="shared" si="14"/>
        <v>512.36111111111109</v>
      </c>
      <c r="E35" s="141">
        <f t="shared" si="14"/>
        <v>512.36111111111109</v>
      </c>
      <c r="F35" s="141">
        <f t="shared" si="14"/>
        <v>512.36111111111109</v>
      </c>
      <c r="G35" s="141">
        <f t="shared" si="14"/>
        <v>512.36111111111109</v>
      </c>
      <c r="H35" s="141">
        <f t="shared" si="14"/>
        <v>512.36111111111109</v>
      </c>
      <c r="I35" s="141">
        <f t="shared" si="14"/>
        <v>512.36111111111109</v>
      </c>
      <c r="J35" s="141">
        <f t="shared" si="14"/>
        <v>512.36111111111109</v>
      </c>
      <c r="K35" s="141">
        <f t="shared" si="14"/>
        <v>512.36111111111109</v>
      </c>
      <c r="L35" s="141">
        <f t="shared" si="14"/>
        <v>512.36111111111109</v>
      </c>
      <c r="M35" s="141">
        <f t="shared" si="14"/>
        <v>512.36111111111109</v>
      </c>
      <c r="N35" s="141">
        <f t="shared" si="14"/>
        <v>512.36111111111109</v>
      </c>
      <c r="O35" s="324">
        <f t="shared" si="11"/>
        <v>6148.3333333333348</v>
      </c>
    </row>
    <row r="36" spans="1:15" x14ac:dyDescent="0.25"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</row>
    <row r="39" spans="1:15" ht="15.75" x14ac:dyDescent="0.25">
      <c r="A39" t="s">
        <v>408</v>
      </c>
      <c r="B39" s="322" t="s">
        <v>3</v>
      </c>
    </row>
    <row r="40" spans="1:15" x14ac:dyDescent="0.25">
      <c r="B40" s="175">
        <v>1</v>
      </c>
      <c r="C40" s="32">
        <f t="shared" ref="C40:O40" si="15">+C16*0.09</f>
        <v>167.4</v>
      </c>
      <c r="D40" s="32">
        <f t="shared" si="15"/>
        <v>195.29999999999998</v>
      </c>
      <c r="E40" s="32">
        <f t="shared" si="15"/>
        <v>223.2</v>
      </c>
      <c r="F40" s="32">
        <f t="shared" si="15"/>
        <v>251.1</v>
      </c>
      <c r="G40" s="32">
        <f t="shared" si="15"/>
        <v>279</v>
      </c>
      <c r="H40" s="32">
        <f t="shared" si="15"/>
        <v>306.89999999999998</v>
      </c>
      <c r="I40" s="32">
        <f t="shared" si="15"/>
        <v>334.8</v>
      </c>
      <c r="J40" s="32">
        <f t="shared" si="15"/>
        <v>362.69999999999993</v>
      </c>
      <c r="K40" s="32">
        <f t="shared" si="15"/>
        <v>390.59999999999997</v>
      </c>
      <c r="L40" s="32">
        <f t="shared" si="15"/>
        <v>418.5</v>
      </c>
      <c r="M40" s="32">
        <f t="shared" si="15"/>
        <v>446.4</v>
      </c>
      <c r="N40" s="32">
        <f t="shared" si="15"/>
        <v>474.29999999999995</v>
      </c>
      <c r="O40" s="325">
        <f t="shared" si="15"/>
        <v>3850.29</v>
      </c>
    </row>
    <row r="41" spans="1:15" x14ac:dyDescent="0.25">
      <c r="B41" s="175">
        <v>2</v>
      </c>
      <c r="C41" s="32">
        <f t="shared" ref="C41:O41" si="16">+C17*0.09</f>
        <v>474.29999999999995</v>
      </c>
      <c r="D41" s="32">
        <f t="shared" si="16"/>
        <v>474.29999999999995</v>
      </c>
      <c r="E41" s="32">
        <f t="shared" si="16"/>
        <v>474.29999999999995</v>
      </c>
      <c r="F41" s="32">
        <f t="shared" si="16"/>
        <v>474.29999999999995</v>
      </c>
      <c r="G41" s="32">
        <f t="shared" si="16"/>
        <v>474.29999999999995</v>
      </c>
      <c r="H41" s="32">
        <f t="shared" si="16"/>
        <v>474.29999999999995</v>
      </c>
      <c r="I41" s="32">
        <f t="shared" si="16"/>
        <v>474.29999999999995</v>
      </c>
      <c r="J41" s="32">
        <f t="shared" si="16"/>
        <v>474.29999999999995</v>
      </c>
      <c r="K41" s="32">
        <f t="shared" si="16"/>
        <v>474.29999999999995</v>
      </c>
      <c r="L41" s="32">
        <f t="shared" si="16"/>
        <v>474.29999999999995</v>
      </c>
      <c r="M41" s="32">
        <f t="shared" si="16"/>
        <v>474.29999999999995</v>
      </c>
      <c r="N41" s="32">
        <f t="shared" si="16"/>
        <v>474.29999999999995</v>
      </c>
      <c r="O41" s="325">
        <f t="shared" si="16"/>
        <v>5691.78</v>
      </c>
    </row>
    <row r="42" spans="1:15" x14ac:dyDescent="0.25">
      <c r="B42" s="175">
        <v>3</v>
      </c>
      <c r="C42" s="32">
        <f t="shared" ref="C42:O42" si="17">+C18*0.09</f>
        <v>474.29999999999995</v>
      </c>
      <c r="D42" s="32">
        <f t="shared" si="17"/>
        <v>474.29999999999995</v>
      </c>
      <c r="E42" s="32">
        <f t="shared" si="17"/>
        <v>474.29999999999995</v>
      </c>
      <c r="F42" s="32">
        <f t="shared" si="17"/>
        <v>474.29999999999995</v>
      </c>
      <c r="G42" s="32">
        <f t="shared" si="17"/>
        <v>474.29999999999995</v>
      </c>
      <c r="H42" s="32">
        <f t="shared" si="17"/>
        <v>474.29999999999995</v>
      </c>
      <c r="I42" s="32">
        <f t="shared" si="17"/>
        <v>474.29999999999995</v>
      </c>
      <c r="J42" s="32">
        <f t="shared" si="17"/>
        <v>474.29999999999995</v>
      </c>
      <c r="K42" s="32">
        <f t="shared" si="17"/>
        <v>474.29999999999995</v>
      </c>
      <c r="L42" s="32">
        <f t="shared" si="17"/>
        <v>474.29999999999995</v>
      </c>
      <c r="M42" s="32">
        <f t="shared" si="17"/>
        <v>474.29999999999995</v>
      </c>
      <c r="N42" s="32">
        <f t="shared" si="17"/>
        <v>474.29999999999995</v>
      </c>
      <c r="O42" s="325">
        <f t="shared" si="17"/>
        <v>5691.87</v>
      </c>
    </row>
    <row r="43" spans="1:15" x14ac:dyDescent="0.25">
      <c r="B43" s="175">
        <v>4</v>
      </c>
      <c r="C43" s="32">
        <f t="shared" ref="C43:O43" si="18">+C19*0.09</f>
        <v>474.29999999999995</v>
      </c>
      <c r="D43" s="32">
        <f t="shared" si="18"/>
        <v>474.29999999999995</v>
      </c>
      <c r="E43" s="32">
        <f t="shared" si="18"/>
        <v>474.29999999999995</v>
      </c>
      <c r="F43" s="32">
        <f t="shared" si="18"/>
        <v>474.29999999999995</v>
      </c>
      <c r="G43" s="32">
        <f t="shared" si="18"/>
        <v>474.29999999999995</v>
      </c>
      <c r="H43" s="32">
        <f t="shared" si="18"/>
        <v>474.29999999999995</v>
      </c>
      <c r="I43" s="32">
        <f t="shared" si="18"/>
        <v>474.29999999999995</v>
      </c>
      <c r="J43" s="32">
        <f t="shared" si="18"/>
        <v>474.29999999999995</v>
      </c>
      <c r="K43" s="32">
        <f t="shared" si="18"/>
        <v>474.29999999999995</v>
      </c>
      <c r="L43" s="32">
        <f t="shared" si="18"/>
        <v>474.29999999999995</v>
      </c>
      <c r="M43" s="32">
        <f t="shared" si="18"/>
        <v>474.29999999999995</v>
      </c>
      <c r="N43" s="32">
        <f t="shared" si="18"/>
        <v>474.29999999999995</v>
      </c>
      <c r="O43" s="325">
        <f t="shared" si="18"/>
        <v>5691.96</v>
      </c>
    </row>
    <row r="44" spans="1:15" x14ac:dyDescent="0.25">
      <c r="B44" s="175">
        <v>5</v>
      </c>
      <c r="C44" s="32">
        <f t="shared" ref="C44:O44" si="19">+C20*0.09</f>
        <v>474.29999999999995</v>
      </c>
      <c r="D44" s="32">
        <f t="shared" si="19"/>
        <v>474.29999999999995</v>
      </c>
      <c r="E44" s="32">
        <f t="shared" si="19"/>
        <v>474.29999999999995</v>
      </c>
      <c r="F44" s="32">
        <f t="shared" si="19"/>
        <v>474.29999999999995</v>
      </c>
      <c r="G44" s="32">
        <f t="shared" si="19"/>
        <v>474.29999999999995</v>
      </c>
      <c r="H44" s="32">
        <f t="shared" si="19"/>
        <v>474.29999999999995</v>
      </c>
      <c r="I44" s="32">
        <f t="shared" si="19"/>
        <v>474.29999999999995</v>
      </c>
      <c r="J44" s="32">
        <f t="shared" si="19"/>
        <v>474.29999999999995</v>
      </c>
      <c r="K44" s="32">
        <f t="shared" si="19"/>
        <v>474.29999999999995</v>
      </c>
      <c r="L44" s="32">
        <f t="shared" si="19"/>
        <v>474.29999999999995</v>
      </c>
      <c r="M44" s="32">
        <f t="shared" si="19"/>
        <v>474.29999999999995</v>
      </c>
      <c r="N44" s="32">
        <f t="shared" si="19"/>
        <v>474.29999999999995</v>
      </c>
      <c r="O44" s="325">
        <f t="shared" si="19"/>
        <v>5692.05</v>
      </c>
    </row>
    <row r="46" spans="1:15" ht="15.75" x14ac:dyDescent="0.25">
      <c r="B46" s="322" t="s">
        <v>3</v>
      </c>
      <c r="O46" s="143"/>
    </row>
    <row r="47" spans="1:15" x14ac:dyDescent="0.25">
      <c r="B47" s="175">
        <v>1</v>
      </c>
      <c r="C47" s="139">
        <f>+C16+C23+C31+C40</f>
        <v>2518.2333333333336</v>
      </c>
      <c r="D47" s="139">
        <f t="shared" ref="D47:N47" si="20">+D16+D23+D31+D40</f>
        <v>2937.9388888888889</v>
      </c>
      <c r="E47" s="139">
        <f t="shared" si="20"/>
        <v>3357.6444444444446</v>
      </c>
      <c r="F47" s="139">
        <f t="shared" si="20"/>
        <v>3777.35</v>
      </c>
      <c r="G47" s="139">
        <f t="shared" si="20"/>
        <v>4197.0555555555547</v>
      </c>
      <c r="H47" s="139">
        <f t="shared" si="20"/>
        <v>4616.7611111111109</v>
      </c>
      <c r="I47" s="139">
        <f t="shared" si="20"/>
        <v>5036.4666666666672</v>
      </c>
      <c r="J47" s="139">
        <f t="shared" si="20"/>
        <v>5456.1722222222215</v>
      </c>
      <c r="K47" s="139">
        <f t="shared" si="20"/>
        <v>5875.8777777777777</v>
      </c>
      <c r="L47" s="139">
        <f t="shared" si="20"/>
        <v>6295.583333333333</v>
      </c>
      <c r="M47" s="139">
        <f t="shared" si="20"/>
        <v>6715.2888888888892</v>
      </c>
      <c r="N47" s="139">
        <f t="shared" si="20"/>
        <v>7134.9944444444445</v>
      </c>
    </row>
    <row r="48" spans="1:15" x14ac:dyDescent="0.25">
      <c r="B48" s="175">
        <v>2</v>
      </c>
      <c r="C48" s="139">
        <f t="shared" ref="C48:N48" si="21">+C17+C24+C32+C41</f>
        <v>7134.9944444444445</v>
      </c>
      <c r="D48" s="139">
        <f t="shared" si="21"/>
        <v>7134.9944444444445</v>
      </c>
      <c r="E48" s="139">
        <f t="shared" si="21"/>
        <v>7134.9944444444445</v>
      </c>
      <c r="F48" s="139">
        <f t="shared" si="21"/>
        <v>7134.9944444444445</v>
      </c>
      <c r="G48" s="139">
        <f t="shared" si="21"/>
        <v>7134.9944444444445</v>
      </c>
      <c r="H48" s="139">
        <f t="shared" si="21"/>
        <v>7134.9944444444445</v>
      </c>
      <c r="I48" s="139">
        <f t="shared" si="21"/>
        <v>7134.9944444444445</v>
      </c>
      <c r="J48" s="139">
        <f t="shared" si="21"/>
        <v>7134.9944444444445</v>
      </c>
      <c r="K48" s="139">
        <f t="shared" si="21"/>
        <v>7134.9944444444445</v>
      </c>
      <c r="L48" s="139">
        <f t="shared" si="21"/>
        <v>7134.9944444444445</v>
      </c>
      <c r="M48" s="139">
        <f t="shared" si="21"/>
        <v>7134.9944444444445</v>
      </c>
      <c r="N48" s="139">
        <f t="shared" si="21"/>
        <v>7134.9944444444445</v>
      </c>
    </row>
    <row r="49" spans="2:14" x14ac:dyDescent="0.25">
      <c r="B49" s="175">
        <v>3</v>
      </c>
      <c r="C49" s="139">
        <f t="shared" ref="C49:N49" si="22">+C18+C25+C33+C42</f>
        <v>7134.9944444444445</v>
      </c>
      <c r="D49" s="139">
        <f t="shared" si="22"/>
        <v>7134.9944444444445</v>
      </c>
      <c r="E49" s="139">
        <f t="shared" si="22"/>
        <v>7134.9944444444445</v>
      </c>
      <c r="F49" s="139">
        <f t="shared" si="22"/>
        <v>7134.9944444444445</v>
      </c>
      <c r="G49" s="139">
        <f t="shared" si="22"/>
        <v>7134.9944444444445</v>
      </c>
      <c r="H49" s="139">
        <f t="shared" si="22"/>
        <v>7134.9944444444445</v>
      </c>
      <c r="I49" s="139">
        <f t="shared" si="22"/>
        <v>7134.9944444444445</v>
      </c>
      <c r="J49" s="139">
        <f t="shared" si="22"/>
        <v>7134.9944444444445</v>
      </c>
      <c r="K49" s="139">
        <f t="shared" si="22"/>
        <v>7134.9944444444445</v>
      </c>
      <c r="L49" s="139">
        <f t="shared" si="22"/>
        <v>7134.9944444444445</v>
      </c>
      <c r="M49" s="139">
        <f t="shared" si="22"/>
        <v>7134.9944444444445</v>
      </c>
      <c r="N49" s="139">
        <f t="shared" si="22"/>
        <v>7134.9944444444445</v>
      </c>
    </row>
    <row r="50" spans="2:14" x14ac:dyDescent="0.25">
      <c r="B50" s="175">
        <v>4</v>
      </c>
      <c r="C50" s="139">
        <f t="shared" ref="C50:N50" si="23">+C19+C26+C34+C43</f>
        <v>7134.9944444444445</v>
      </c>
      <c r="D50" s="139">
        <f t="shared" si="23"/>
        <v>7134.9944444444445</v>
      </c>
      <c r="E50" s="139">
        <f t="shared" si="23"/>
        <v>7134.9944444444445</v>
      </c>
      <c r="F50" s="139">
        <f t="shared" si="23"/>
        <v>7134.9944444444445</v>
      </c>
      <c r="G50" s="139">
        <f t="shared" si="23"/>
        <v>7134.9944444444445</v>
      </c>
      <c r="H50" s="139">
        <f t="shared" si="23"/>
        <v>7134.9944444444445</v>
      </c>
      <c r="I50" s="139">
        <f t="shared" si="23"/>
        <v>7134.9944444444445</v>
      </c>
      <c r="J50" s="139">
        <f t="shared" si="23"/>
        <v>7134.9944444444445</v>
      </c>
      <c r="K50" s="139">
        <f t="shared" si="23"/>
        <v>7134.9944444444445</v>
      </c>
      <c r="L50" s="139">
        <f t="shared" si="23"/>
        <v>7134.9944444444445</v>
      </c>
      <c r="M50" s="139">
        <f t="shared" si="23"/>
        <v>7134.9944444444445</v>
      </c>
      <c r="N50" s="139">
        <f t="shared" si="23"/>
        <v>7134.9944444444445</v>
      </c>
    </row>
    <row r="51" spans="2:14" x14ac:dyDescent="0.25">
      <c r="B51" s="175">
        <v>5</v>
      </c>
      <c r="C51" s="139">
        <f t="shared" ref="C51:N51" si="24">+C20+C27+C35+C44</f>
        <v>7134.9944444444445</v>
      </c>
      <c r="D51" s="139">
        <f t="shared" si="24"/>
        <v>7134.9944444444445</v>
      </c>
      <c r="E51" s="139">
        <f t="shared" si="24"/>
        <v>7134.9944444444445</v>
      </c>
      <c r="F51" s="139">
        <f t="shared" si="24"/>
        <v>7134.9944444444445</v>
      </c>
      <c r="G51" s="139">
        <f t="shared" si="24"/>
        <v>7134.9944444444445</v>
      </c>
      <c r="H51" s="139">
        <f t="shared" si="24"/>
        <v>7134.9944444444445</v>
      </c>
      <c r="I51" s="139">
        <f t="shared" si="24"/>
        <v>7134.9944444444445</v>
      </c>
      <c r="J51" s="139">
        <f t="shared" si="24"/>
        <v>7134.9944444444445</v>
      </c>
      <c r="K51" s="139">
        <f t="shared" si="24"/>
        <v>7134.9944444444445</v>
      </c>
      <c r="L51" s="139">
        <f t="shared" si="24"/>
        <v>7134.9944444444445</v>
      </c>
      <c r="M51" s="139">
        <f t="shared" si="24"/>
        <v>7134.9944444444445</v>
      </c>
      <c r="N51" s="139">
        <f t="shared" si="24"/>
        <v>7134.9944444444445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AS967"/>
  <sheetViews>
    <sheetView topLeftCell="W8" zoomScale="90" zoomScaleNormal="90" workbookViewId="0">
      <selection activeCell="AJ35" sqref="AJ35"/>
    </sheetView>
  </sheetViews>
  <sheetFormatPr baseColWidth="10" defaultColWidth="14.42578125" defaultRowHeight="15" customHeight="1" x14ac:dyDescent="0.2"/>
  <cols>
    <col min="1" max="1" width="6.140625" style="50" customWidth="1"/>
    <col min="2" max="2" width="22" style="50" customWidth="1"/>
    <col min="3" max="3" width="15.5703125" style="50" customWidth="1"/>
    <col min="4" max="4" width="15.42578125" style="50" customWidth="1"/>
    <col min="5" max="6" width="13.85546875" style="50" customWidth="1"/>
    <col min="7" max="7" width="14.140625" style="50" customWidth="1"/>
    <col min="8" max="8" width="11.85546875" style="50" customWidth="1"/>
    <col min="9" max="9" width="13.140625" style="50" customWidth="1"/>
    <col min="10" max="10" width="2.140625" style="50" customWidth="1"/>
    <col min="11" max="11" width="22.42578125" style="50" customWidth="1"/>
    <col min="12" max="12" width="10.85546875" style="50" customWidth="1"/>
    <col min="13" max="13" width="12.28515625" style="50" customWidth="1"/>
    <col min="14" max="14" width="11.5703125" style="50" customWidth="1"/>
    <col min="15" max="15" width="12" style="50" customWidth="1"/>
    <col min="16" max="16" width="12.28515625" style="50" customWidth="1"/>
    <col min="17" max="17" width="11.42578125" style="50" customWidth="1"/>
    <col min="18" max="18" width="12.140625" style="50" customWidth="1"/>
    <col min="19" max="19" width="2.140625" style="50" customWidth="1"/>
    <col min="20" max="20" width="10" style="50" customWidth="1"/>
    <col min="21" max="21" width="12.28515625" style="50" customWidth="1"/>
    <col min="22" max="22" width="12.7109375" style="50" customWidth="1"/>
    <col min="23" max="23" width="15" style="50" customWidth="1"/>
    <col min="24" max="24" width="11.42578125" style="50" customWidth="1"/>
    <col min="25" max="25" width="11.7109375" style="50" customWidth="1"/>
    <col min="26" max="26" width="12.140625" style="50" customWidth="1"/>
    <col min="27" max="27" width="14.42578125" style="50"/>
    <col min="28" max="28" width="3.5703125" style="50" customWidth="1"/>
    <col min="29" max="29" width="29" style="50" customWidth="1"/>
    <col min="30" max="16384" width="14.42578125" style="50"/>
  </cols>
  <sheetData>
    <row r="1" spans="1:45" ht="12.75" customHeight="1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45" ht="15" customHeight="1" x14ac:dyDescent="0.25">
      <c r="A2" s="49"/>
      <c r="B2" s="596" t="s">
        <v>93</v>
      </c>
      <c r="C2" s="597"/>
      <c r="D2" s="597"/>
      <c r="E2" s="597"/>
      <c r="F2" s="597"/>
      <c r="G2" s="597"/>
      <c r="H2" s="597"/>
      <c r="I2" s="597"/>
      <c r="J2" s="49"/>
      <c r="K2" s="596" t="s">
        <v>93</v>
      </c>
      <c r="L2" s="597"/>
      <c r="M2" s="597"/>
      <c r="N2" s="597"/>
      <c r="O2" s="597"/>
      <c r="P2" s="597"/>
      <c r="Q2" s="597"/>
      <c r="R2" s="597"/>
      <c r="S2" s="49"/>
      <c r="T2" s="596" t="s">
        <v>93</v>
      </c>
      <c r="U2" s="597"/>
      <c r="V2" s="597"/>
      <c r="W2" s="597"/>
      <c r="X2" s="597"/>
      <c r="Y2" s="597"/>
      <c r="Z2" s="597"/>
      <c r="AA2" s="597"/>
      <c r="AC2" s="596" t="s">
        <v>93</v>
      </c>
      <c r="AD2" s="597"/>
      <c r="AE2" s="597"/>
      <c r="AF2" s="597"/>
      <c r="AG2" s="597"/>
      <c r="AH2" s="597"/>
      <c r="AI2" s="597"/>
      <c r="AJ2" s="597"/>
      <c r="AL2" s="596" t="s">
        <v>93</v>
      </c>
      <c r="AM2" s="597"/>
      <c r="AN2" s="597"/>
      <c r="AO2" s="597"/>
      <c r="AP2" s="597"/>
      <c r="AQ2" s="597"/>
      <c r="AR2" s="597"/>
      <c r="AS2" s="597"/>
    </row>
    <row r="3" spans="1:45" ht="12.75" customHeight="1" x14ac:dyDescent="0.2">
      <c r="A3" s="49"/>
      <c r="B3" s="71"/>
      <c r="C3" s="71"/>
      <c r="D3" s="71"/>
      <c r="E3" s="306" t="s">
        <v>411</v>
      </c>
      <c r="F3" s="71"/>
      <c r="G3" s="71"/>
      <c r="H3" s="71"/>
      <c r="I3" s="71"/>
      <c r="J3" s="49"/>
      <c r="K3" s="71"/>
      <c r="L3" s="71"/>
      <c r="M3" s="71"/>
      <c r="N3" s="306" t="s">
        <v>412</v>
      </c>
      <c r="O3" s="71"/>
      <c r="P3" s="71"/>
      <c r="Q3" s="71"/>
      <c r="R3" s="71"/>
      <c r="S3" s="49"/>
      <c r="T3" s="71"/>
      <c r="U3" s="71"/>
      <c r="V3" s="71"/>
      <c r="W3" s="306" t="s">
        <v>414</v>
      </c>
      <c r="X3" s="71"/>
      <c r="Y3" s="71"/>
      <c r="Z3" s="71"/>
      <c r="AA3" s="71"/>
      <c r="AC3" s="71"/>
      <c r="AD3" s="71"/>
      <c r="AE3" s="71"/>
      <c r="AF3" s="306" t="s">
        <v>415</v>
      </c>
      <c r="AG3" s="71"/>
      <c r="AH3" s="71"/>
      <c r="AI3" s="71"/>
      <c r="AJ3" s="71"/>
      <c r="AL3" s="71"/>
      <c r="AM3" s="71"/>
      <c r="AN3" s="71"/>
      <c r="AO3" s="306" t="s">
        <v>416</v>
      </c>
      <c r="AP3" s="71"/>
      <c r="AQ3" s="71"/>
      <c r="AR3" s="71"/>
      <c r="AS3" s="71"/>
    </row>
    <row r="4" spans="1:45" ht="12.75" customHeight="1" x14ac:dyDescent="0.2">
      <c r="A4" s="49"/>
      <c r="B4" s="71"/>
      <c r="C4" s="71"/>
      <c r="D4" s="71"/>
      <c r="E4" s="71"/>
      <c r="F4" s="71"/>
      <c r="G4" s="71"/>
      <c r="H4" s="71"/>
      <c r="I4" s="71"/>
      <c r="J4" s="49"/>
      <c r="K4" s="71"/>
      <c r="L4" s="71"/>
      <c r="M4" s="71"/>
      <c r="N4" s="71"/>
      <c r="O4" s="71"/>
      <c r="P4" s="71"/>
      <c r="Q4" s="71"/>
      <c r="R4" s="71"/>
      <c r="S4" s="49"/>
      <c r="T4" s="71"/>
      <c r="U4" s="71"/>
      <c r="V4" s="71"/>
      <c r="W4" s="71"/>
      <c r="X4" s="71"/>
      <c r="Y4" s="71"/>
      <c r="Z4" s="71"/>
      <c r="AA4" s="71"/>
      <c r="AC4" s="71"/>
      <c r="AD4" s="71"/>
      <c r="AE4" s="71"/>
      <c r="AF4" s="71"/>
      <c r="AG4" s="71"/>
      <c r="AH4" s="71"/>
      <c r="AI4" s="71"/>
      <c r="AJ4" s="71"/>
      <c r="AL4" s="71"/>
      <c r="AM4" s="71"/>
      <c r="AN4" s="71"/>
      <c r="AO4" s="71"/>
      <c r="AP4" s="71"/>
      <c r="AQ4" s="71"/>
      <c r="AR4" s="71"/>
      <c r="AS4" s="71"/>
    </row>
    <row r="5" spans="1:45" ht="12.75" customHeight="1" x14ac:dyDescent="0.2">
      <c r="A5" s="49"/>
      <c r="B5" s="598" t="s">
        <v>94</v>
      </c>
      <c r="C5" s="597"/>
      <c r="D5" s="597"/>
      <c r="E5" s="597"/>
      <c r="F5" s="597"/>
      <c r="G5" s="597"/>
      <c r="H5" s="597"/>
      <c r="I5" s="597"/>
      <c r="J5" s="49"/>
      <c r="K5" s="598" t="s">
        <v>94</v>
      </c>
      <c r="L5" s="597"/>
      <c r="M5" s="597"/>
      <c r="N5" s="597"/>
      <c r="O5" s="597"/>
      <c r="P5" s="597"/>
      <c r="Q5" s="597"/>
      <c r="R5" s="597"/>
      <c r="S5" s="49"/>
      <c r="T5" s="598" t="s">
        <v>94</v>
      </c>
      <c r="U5" s="597"/>
      <c r="V5" s="597"/>
      <c r="W5" s="597"/>
      <c r="X5" s="597"/>
      <c r="Y5" s="597"/>
      <c r="Z5" s="597"/>
      <c r="AA5" s="597"/>
      <c r="AC5" s="598" t="s">
        <v>94</v>
      </c>
      <c r="AD5" s="597"/>
      <c r="AE5" s="597"/>
      <c r="AF5" s="597"/>
      <c r="AG5" s="597"/>
      <c r="AH5" s="597"/>
      <c r="AI5" s="597"/>
      <c r="AJ5" s="597"/>
      <c r="AL5" s="598" t="s">
        <v>94</v>
      </c>
      <c r="AM5" s="597"/>
      <c r="AN5" s="597"/>
      <c r="AO5" s="597"/>
      <c r="AP5" s="597"/>
      <c r="AQ5" s="597"/>
      <c r="AR5" s="597"/>
      <c r="AS5" s="597"/>
    </row>
    <row r="6" spans="1:45" ht="12.75" customHeight="1" x14ac:dyDescent="0.2">
      <c r="A6" s="49"/>
      <c r="B6" s="71"/>
      <c r="C6" s="71"/>
      <c r="D6" s="71"/>
      <c r="E6" s="71"/>
      <c r="F6" s="71"/>
      <c r="G6" s="71"/>
      <c r="H6" s="71"/>
      <c r="I6" s="71"/>
      <c r="J6" s="49"/>
      <c r="K6" s="71"/>
      <c r="L6" s="71"/>
      <c r="M6" s="71"/>
      <c r="N6" s="71"/>
      <c r="O6" s="71"/>
      <c r="P6" s="71"/>
      <c r="Q6" s="71"/>
      <c r="R6" s="71"/>
      <c r="S6" s="49"/>
      <c r="T6" s="71"/>
      <c r="U6" s="71"/>
      <c r="V6" s="71"/>
      <c r="W6" s="71"/>
      <c r="X6" s="71"/>
      <c r="Y6" s="71"/>
      <c r="Z6" s="71"/>
      <c r="AA6" s="71"/>
      <c r="AC6" s="71"/>
      <c r="AD6" s="71"/>
      <c r="AE6" s="71"/>
      <c r="AF6" s="71"/>
      <c r="AG6" s="71"/>
      <c r="AH6" s="71"/>
      <c r="AI6" s="71"/>
      <c r="AJ6" s="71"/>
      <c r="AL6" s="71"/>
      <c r="AM6" s="71"/>
      <c r="AN6" s="71"/>
      <c r="AO6" s="71"/>
      <c r="AP6" s="71"/>
      <c r="AQ6" s="71"/>
      <c r="AR6" s="71"/>
      <c r="AS6" s="71"/>
    </row>
    <row r="7" spans="1:45" ht="13.5" customHeight="1" thickBot="1" x14ac:dyDescent="0.3">
      <c r="A7" s="49"/>
      <c r="B7" s="162" t="s">
        <v>95</v>
      </c>
      <c r="C7" s="162" t="s">
        <v>96</v>
      </c>
      <c r="D7" s="162" t="s">
        <v>97</v>
      </c>
      <c r="E7" s="162" t="s">
        <v>98</v>
      </c>
      <c r="F7" s="162" t="s">
        <v>99</v>
      </c>
      <c r="G7" s="162" t="s">
        <v>100</v>
      </c>
      <c r="H7" s="162" t="s">
        <v>101</v>
      </c>
      <c r="I7" s="162" t="s">
        <v>16</v>
      </c>
      <c r="J7" s="49"/>
      <c r="K7" s="162" t="s">
        <v>95</v>
      </c>
      <c r="L7" s="162" t="s">
        <v>96</v>
      </c>
      <c r="M7" s="162" t="s">
        <v>97</v>
      </c>
      <c r="N7" s="162" t="s">
        <v>98</v>
      </c>
      <c r="O7" s="162" t="s">
        <v>99</v>
      </c>
      <c r="P7" s="162" t="s">
        <v>100</v>
      </c>
      <c r="Q7" s="162" t="s">
        <v>101</v>
      </c>
      <c r="R7" s="162" t="s">
        <v>16</v>
      </c>
      <c r="S7" s="49"/>
      <c r="T7" s="162" t="s">
        <v>95</v>
      </c>
      <c r="U7" s="162" t="s">
        <v>96</v>
      </c>
      <c r="V7" s="162" t="s">
        <v>97</v>
      </c>
      <c r="W7" s="162" t="s">
        <v>98</v>
      </c>
      <c r="X7" s="162" t="s">
        <v>99</v>
      </c>
      <c r="Y7" s="162" t="s">
        <v>100</v>
      </c>
      <c r="Z7" s="162" t="s">
        <v>101</v>
      </c>
      <c r="AA7" s="162" t="s">
        <v>16</v>
      </c>
      <c r="AC7" s="162" t="s">
        <v>95</v>
      </c>
      <c r="AD7" s="162" t="s">
        <v>96</v>
      </c>
      <c r="AE7" s="162" t="s">
        <v>97</v>
      </c>
      <c r="AF7" s="162" t="s">
        <v>98</v>
      </c>
      <c r="AG7" s="162" t="s">
        <v>99</v>
      </c>
      <c r="AH7" s="162" t="s">
        <v>100</v>
      </c>
      <c r="AI7" s="162" t="s">
        <v>101</v>
      </c>
      <c r="AJ7" s="162" t="s">
        <v>16</v>
      </c>
      <c r="AL7" s="162" t="s">
        <v>95</v>
      </c>
      <c r="AM7" s="162" t="s">
        <v>96</v>
      </c>
      <c r="AN7" s="162" t="s">
        <v>97</v>
      </c>
      <c r="AO7" s="162" t="s">
        <v>98</v>
      </c>
      <c r="AP7" s="162" t="s">
        <v>99</v>
      </c>
      <c r="AQ7" s="162" t="s">
        <v>100</v>
      </c>
      <c r="AR7" s="162" t="s">
        <v>101</v>
      </c>
      <c r="AS7" s="162" t="s">
        <v>16</v>
      </c>
    </row>
    <row r="8" spans="1:45" ht="12.75" customHeight="1" x14ac:dyDescent="0.25">
      <c r="A8" s="49"/>
      <c r="B8" s="410" t="s">
        <v>102</v>
      </c>
      <c r="C8" s="411"/>
      <c r="D8" s="411"/>
      <c r="E8" s="411"/>
      <c r="F8" s="411"/>
      <c r="G8" s="411"/>
      <c r="H8" s="411"/>
      <c r="I8" s="412">
        <f>I9+I10</f>
        <v>57920.456666666665</v>
      </c>
      <c r="J8" s="49"/>
      <c r="K8" s="410" t="s">
        <v>102</v>
      </c>
      <c r="L8" s="411"/>
      <c r="M8" s="411"/>
      <c r="N8" s="411"/>
      <c r="O8" s="411"/>
      <c r="P8" s="411"/>
      <c r="Q8" s="411"/>
      <c r="R8" s="412">
        <f>R9+R10</f>
        <v>85622.113333333327</v>
      </c>
      <c r="S8" s="49"/>
      <c r="T8" s="410" t="s">
        <v>102</v>
      </c>
      <c r="U8" s="411"/>
      <c r="V8" s="411"/>
      <c r="W8" s="411"/>
      <c r="X8" s="411"/>
      <c r="Y8" s="411"/>
      <c r="Z8" s="411"/>
      <c r="AA8" s="412">
        <f>AA9+AA10</f>
        <v>85623.203333333324</v>
      </c>
      <c r="AC8" s="410" t="s">
        <v>102</v>
      </c>
      <c r="AD8" s="411"/>
      <c r="AE8" s="411"/>
      <c r="AF8" s="411"/>
      <c r="AG8" s="411"/>
      <c r="AH8" s="411"/>
      <c r="AI8" s="411"/>
      <c r="AJ8" s="412">
        <f>AJ9+AJ10</f>
        <v>85624.293333333335</v>
      </c>
      <c r="AL8" s="410" t="s">
        <v>102</v>
      </c>
      <c r="AM8" s="411"/>
      <c r="AN8" s="411"/>
      <c r="AO8" s="411"/>
      <c r="AP8" s="411"/>
      <c r="AQ8" s="411"/>
      <c r="AR8" s="411"/>
      <c r="AS8" s="412">
        <f>AS9+AS10</f>
        <v>85625.383333333331</v>
      </c>
    </row>
    <row r="9" spans="1:45" ht="12.75" customHeight="1" x14ac:dyDescent="0.2">
      <c r="A9" s="49"/>
      <c r="B9" s="74" t="s">
        <v>465</v>
      </c>
      <c r="C9" s="75">
        <f>D9/12</f>
        <v>3565.0833333333335</v>
      </c>
      <c r="D9" s="75">
        <f>'SUELDO BASE'!O16</f>
        <v>42781</v>
      </c>
      <c r="E9" s="75">
        <f>'SUELDO BASE'!O23</f>
        <v>7130</v>
      </c>
      <c r="F9" s="75">
        <f>'SUELDO BASE'!O31</f>
        <v>4159.166666666667</v>
      </c>
      <c r="G9" s="75">
        <f>D9+E9+F9</f>
        <v>54070.166666666664</v>
      </c>
      <c r="H9" s="75">
        <f>D9*9%</f>
        <v>3850.29</v>
      </c>
      <c r="I9" s="76">
        <f>H9+G9</f>
        <v>57920.456666666665</v>
      </c>
      <c r="J9" s="49"/>
      <c r="K9" s="74" t="s">
        <v>465</v>
      </c>
      <c r="L9" s="75">
        <f>M9/12</f>
        <v>5270.166666666667</v>
      </c>
      <c r="M9" s="75">
        <f>'SUELDO BASE'!O17</f>
        <v>63242</v>
      </c>
      <c r="N9" s="75">
        <f>'SUELDO BASE'!O24</f>
        <v>10540</v>
      </c>
      <c r="O9" s="75">
        <f>'SUELDO BASE'!O32</f>
        <v>6148.3333333333348</v>
      </c>
      <c r="P9" s="75">
        <f>M9+N9+O9</f>
        <v>79930.333333333328</v>
      </c>
      <c r="Q9" s="75">
        <f>M9*9%</f>
        <v>5691.78</v>
      </c>
      <c r="R9" s="76">
        <f>Q9+P9</f>
        <v>85622.113333333327</v>
      </c>
      <c r="S9" s="49"/>
      <c r="T9" s="74" t="s">
        <v>384</v>
      </c>
      <c r="U9" s="75">
        <f>V9/12</f>
        <v>5270.25</v>
      </c>
      <c r="V9" s="75">
        <f>'SUELDO BASE'!O18</f>
        <v>63243</v>
      </c>
      <c r="W9" s="75">
        <f>'SUELDO BASE'!O25</f>
        <v>10540</v>
      </c>
      <c r="X9" s="75">
        <f>'SUELDO BASE'!O33</f>
        <v>6148.3333333333348</v>
      </c>
      <c r="Y9" s="75">
        <f>V9+W9+X9</f>
        <v>79931.333333333328</v>
      </c>
      <c r="Z9" s="75">
        <f>V9*9%</f>
        <v>5691.87</v>
      </c>
      <c r="AA9" s="76">
        <f>Z9+Y9</f>
        <v>85623.203333333324</v>
      </c>
      <c r="AC9" s="74" t="s">
        <v>465</v>
      </c>
      <c r="AD9" s="75">
        <f>AE9/12</f>
        <v>5270.333333333333</v>
      </c>
      <c r="AE9" s="75">
        <f>'SUELDO BASE'!O19</f>
        <v>63244</v>
      </c>
      <c r="AF9" s="75">
        <f>'SUELDO BASE'!O26</f>
        <v>10540</v>
      </c>
      <c r="AG9" s="75">
        <f>'SUELDO BASE'!O34</f>
        <v>6148.3333333333348</v>
      </c>
      <c r="AH9" s="75">
        <f>AE9+AF9+AG9</f>
        <v>79932.333333333328</v>
      </c>
      <c r="AI9" s="75">
        <f>AE9*9%</f>
        <v>5691.96</v>
      </c>
      <c r="AJ9" s="76">
        <f>AI9+AH9</f>
        <v>85624.293333333335</v>
      </c>
      <c r="AL9" s="74" t="s">
        <v>384</v>
      </c>
      <c r="AM9" s="75">
        <f>AN9/12</f>
        <v>5270.416666666667</v>
      </c>
      <c r="AN9" s="75">
        <f>'SUELDO BASE'!O20</f>
        <v>63245</v>
      </c>
      <c r="AO9" s="75">
        <f>'SUELDO BASE'!O27</f>
        <v>10540</v>
      </c>
      <c r="AP9" s="75">
        <f>'SUELDO BASE'!O35</f>
        <v>6148.3333333333348</v>
      </c>
      <c r="AQ9" s="75">
        <f>AN9+AO9+AP9</f>
        <v>79933.333333333328</v>
      </c>
      <c r="AR9" s="75">
        <f>AN9*9%</f>
        <v>5692.05</v>
      </c>
      <c r="AS9" s="76">
        <f>AR9+AQ9</f>
        <v>85625.383333333331</v>
      </c>
    </row>
    <row r="10" spans="1:45" ht="12.75" customHeight="1" x14ac:dyDescent="0.2">
      <c r="A10" s="49"/>
      <c r="B10" s="77"/>
      <c r="C10" s="75"/>
      <c r="D10" s="75"/>
      <c r="E10" s="75"/>
      <c r="F10" s="75"/>
      <c r="G10" s="75"/>
      <c r="H10" s="75"/>
      <c r="I10" s="76"/>
      <c r="J10" s="49"/>
      <c r="K10" s="77"/>
      <c r="L10" s="75"/>
      <c r="M10" s="75"/>
      <c r="N10" s="75"/>
      <c r="O10" s="75"/>
      <c r="P10" s="75"/>
      <c r="Q10" s="75"/>
      <c r="R10" s="76"/>
      <c r="S10" s="49"/>
      <c r="T10" s="77"/>
      <c r="U10" s="75"/>
      <c r="V10" s="75"/>
      <c r="W10" s="75"/>
      <c r="X10" s="75"/>
      <c r="Y10" s="75"/>
      <c r="Z10" s="75"/>
      <c r="AA10" s="76"/>
      <c r="AC10" s="77"/>
      <c r="AD10" s="75"/>
      <c r="AE10" s="75"/>
      <c r="AF10" s="75"/>
      <c r="AG10" s="75"/>
      <c r="AH10" s="75"/>
      <c r="AI10" s="75"/>
      <c r="AJ10" s="76"/>
      <c r="AL10" s="77"/>
      <c r="AM10" s="75"/>
      <c r="AN10" s="75"/>
      <c r="AO10" s="75"/>
      <c r="AP10" s="75"/>
      <c r="AQ10" s="75"/>
      <c r="AR10" s="75"/>
      <c r="AS10" s="76"/>
    </row>
    <row r="11" spans="1:45" ht="12.75" customHeight="1" x14ac:dyDescent="0.2">
      <c r="A11" s="49"/>
      <c r="B11" s="77"/>
      <c r="C11" s="75"/>
      <c r="D11" s="75"/>
      <c r="E11" s="75"/>
      <c r="F11" s="75"/>
      <c r="G11" s="75"/>
      <c r="H11" s="75"/>
      <c r="I11" s="76"/>
      <c r="J11" s="49"/>
      <c r="K11" s="77"/>
      <c r="L11" s="75"/>
      <c r="M11" s="75"/>
      <c r="N11" s="75"/>
      <c r="O11" s="75"/>
      <c r="P11" s="75"/>
      <c r="Q11" s="75"/>
      <c r="R11" s="76"/>
      <c r="S11" s="49"/>
      <c r="T11" s="77"/>
      <c r="U11" s="75"/>
      <c r="V11" s="75"/>
      <c r="W11" s="75"/>
      <c r="X11" s="75"/>
      <c r="Y11" s="75"/>
      <c r="Z11" s="75"/>
      <c r="AA11" s="76"/>
      <c r="AC11" s="77"/>
      <c r="AD11" s="75"/>
      <c r="AE11" s="75"/>
      <c r="AF11" s="75"/>
      <c r="AG11" s="75"/>
      <c r="AH11" s="75"/>
      <c r="AI11" s="75"/>
      <c r="AJ11" s="76"/>
      <c r="AL11" s="77"/>
      <c r="AM11" s="75"/>
      <c r="AN11" s="75"/>
      <c r="AO11" s="75"/>
      <c r="AP11" s="75"/>
      <c r="AQ11" s="75"/>
      <c r="AR11" s="75"/>
      <c r="AS11" s="76"/>
    </row>
    <row r="12" spans="1:45" ht="12.75" customHeight="1" x14ac:dyDescent="0.25">
      <c r="A12" s="49"/>
      <c r="B12" s="413" t="s">
        <v>103</v>
      </c>
      <c r="C12" s="414"/>
      <c r="D12" s="414"/>
      <c r="E12" s="414"/>
      <c r="F12" s="414"/>
      <c r="G12" s="414"/>
      <c r="H12" s="414"/>
      <c r="I12" s="415">
        <f>I13</f>
        <v>13184.816666666666</v>
      </c>
      <c r="J12" s="49"/>
      <c r="K12" s="413" t="s">
        <v>103</v>
      </c>
      <c r="L12" s="414"/>
      <c r="M12" s="414"/>
      <c r="N12" s="414"/>
      <c r="O12" s="414"/>
      <c r="P12" s="414"/>
      <c r="Q12" s="414"/>
      <c r="R12" s="415">
        <f>R13</f>
        <v>13184.816666666666</v>
      </c>
      <c r="S12" s="49"/>
      <c r="T12" s="413" t="s">
        <v>103</v>
      </c>
      <c r="U12" s="414"/>
      <c r="V12" s="414"/>
      <c r="W12" s="414"/>
      <c r="X12" s="414"/>
      <c r="Y12" s="414"/>
      <c r="Z12" s="414"/>
      <c r="AA12" s="415">
        <f>AA13</f>
        <v>13184.816666666666</v>
      </c>
      <c r="AC12" s="413" t="s">
        <v>103</v>
      </c>
      <c r="AD12" s="414"/>
      <c r="AE12" s="414"/>
      <c r="AF12" s="414"/>
      <c r="AG12" s="414"/>
      <c r="AH12" s="414"/>
      <c r="AI12" s="414"/>
      <c r="AJ12" s="415">
        <f>AJ13</f>
        <v>13184.816666666666</v>
      </c>
      <c r="AL12" s="413" t="s">
        <v>103</v>
      </c>
      <c r="AM12" s="414"/>
      <c r="AN12" s="414"/>
      <c r="AO12" s="414"/>
      <c r="AP12" s="414"/>
      <c r="AQ12" s="414"/>
      <c r="AR12" s="414"/>
      <c r="AS12" s="415">
        <f>AS13</f>
        <v>13184.816666666666</v>
      </c>
    </row>
    <row r="13" spans="1:45" ht="12.75" customHeight="1" x14ac:dyDescent="0.2">
      <c r="A13" s="49"/>
      <c r="B13" s="77" t="s">
        <v>104</v>
      </c>
      <c r="C13" s="75">
        <v>930</v>
      </c>
      <c r="D13" s="75">
        <f>C13*12</f>
        <v>11160</v>
      </c>
      <c r="E13" s="75">
        <f t="shared" ref="E13" si="0">C13</f>
        <v>930</v>
      </c>
      <c r="F13" s="75">
        <f>(E13+E13/6)/12</f>
        <v>90.416666666666671</v>
      </c>
      <c r="G13" s="75">
        <f t="shared" ref="G13" si="1">D13+E13+F13</f>
        <v>12180.416666666666</v>
      </c>
      <c r="H13" s="75">
        <f>D13*9%</f>
        <v>1004.4</v>
      </c>
      <c r="I13" s="76">
        <f t="shared" ref="I13" si="2">H13+G13</f>
        <v>13184.816666666666</v>
      </c>
      <c r="J13" s="49"/>
      <c r="K13" s="77" t="s">
        <v>104</v>
      </c>
      <c r="L13" s="75">
        <v>930</v>
      </c>
      <c r="M13" s="75">
        <f>L13*12</f>
        <v>11160</v>
      </c>
      <c r="N13" s="75">
        <f t="shared" ref="N13" si="3">L13</f>
        <v>930</v>
      </c>
      <c r="O13" s="75">
        <f>(N13+N13/6)/12</f>
        <v>90.416666666666671</v>
      </c>
      <c r="P13" s="75">
        <f t="shared" ref="P13" si="4">M13+N13+O13</f>
        <v>12180.416666666666</v>
      </c>
      <c r="Q13" s="75">
        <f>M13*9%</f>
        <v>1004.4</v>
      </c>
      <c r="R13" s="76">
        <f t="shared" ref="R13" si="5">Q13+P13</f>
        <v>13184.816666666666</v>
      </c>
      <c r="S13" s="49"/>
      <c r="T13" s="77" t="s">
        <v>104</v>
      </c>
      <c r="U13" s="75">
        <v>930</v>
      </c>
      <c r="V13" s="75">
        <f>U13*12</f>
        <v>11160</v>
      </c>
      <c r="W13" s="75">
        <f t="shared" ref="W13" si="6">U13</f>
        <v>930</v>
      </c>
      <c r="X13" s="75">
        <f>(W13+W13/6)/12</f>
        <v>90.416666666666671</v>
      </c>
      <c r="Y13" s="75">
        <f t="shared" ref="Y13" si="7">V13+W13+X13</f>
        <v>12180.416666666666</v>
      </c>
      <c r="Z13" s="75">
        <f>V13*9%</f>
        <v>1004.4</v>
      </c>
      <c r="AA13" s="76">
        <f t="shared" ref="AA13" si="8">Z13+Y13</f>
        <v>13184.816666666666</v>
      </c>
      <c r="AC13" s="77" t="s">
        <v>104</v>
      </c>
      <c r="AD13" s="75">
        <v>930</v>
      </c>
      <c r="AE13" s="75">
        <f>AD13*12</f>
        <v>11160</v>
      </c>
      <c r="AF13" s="75">
        <f t="shared" ref="AF13" si="9">AD13</f>
        <v>930</v>
      </c>
      <c r="AG13" s="75">
        <f>(AF13+AF13/6)/12</f>
        <v>90.416666666666671</v>
      </c>
      <c r="AH13" s="75">
        <f t="shared" ref="AH13" si="10">AE13+AF13+AG13</f>
        <v>12180.416666666666</v>
      </c>
      <c r="AI13" s="75">
        <f>AE13*9%</f>
        <v>1004.4</v>
      </c>
      <c r="AJ13" s="76">
        <f t="shared" ref="AJ13" si="11">AI13+AH13</f>
        <v>13184.816666666666</v>
      </c>
      <c r="AL13" s="77" t="s">
        <v>104</v>
      </c>
      <c r="AM13" s="75">
        <v>930</v>
      </c>
      <c r="AN13" s="75">
        <f>AM13*12</f>
        <v>11160</v>
      </c>
      <c r="AO13" s="75">
        <f t="shared" ref="AO13" si="12">AM13</f>
        <v>930</v>
      </c>
      <c r="AP13" s="75">
        <f>(AO13+AO13/6)/12</f>
        <v>90.416666666666671</v>
      </c>
      <c r="AQ13" s="75">
        <f t="shared" ref="AQ13" si="13">AN13+AO13+AP13</f>
        <v>12180.416666666666</v>
      </c>
      <c r="AR13" s="75">
        <f>AN13*9%</f>
        <v>1004.4</v>
      </c>
      <c r="AS13" s="76">
        <f t="shared" ref="AS13" si="14">AR13+AQ13</f>
        <v>13184.816666666666</v>
      </c>
    </row>
    <row r="14" spans="1:45" ht="12.75" customHeight="1" x14ac:dyDescent="0.25">
      <c r="A14" s="49"/>
      <c r="B14" s="77"/>
      <c r="C14" s="80"/>
      <c r="D14" s="80"/>
      <c r="E14" s="80"/>
      <c r="F14" s="80"/>
      <c r="G14" s="80"/>
      <c r="H14" s="80"/>
      <c r="I14" s="79"/>
      <c r="J14" s="49"/>
      <c r="K14" s="77"/>
      <c r="L14" s="80"/>
      <c r="M14" s="80"/>
      <c r="N14" s="80"/>
      <c r="O14" s="80"/>
      <c r="P14" s="80"/>
      <c r="Q14" s="80"/>
      <c r="R14" s="79"/>
      <c r="S14" s="49"/>
      <c r="T14" s="77"/>
      <c r="U14" s="80"/>
      <c r="V14" s="80"/>
      <c r="W14" s="80"/>
      <c r="X14" s="80"/>
      <c r="Y14" s="80"/>
      <c r="Z14" s="80"/>
      <c r="AA14" s="79"/>
      <c r="AC14" s="77"/>
      <c r="AD14" s="80"/>
      <c r="AE14" s="80"/>
      <c r="AF14" s="80"/>
      <c r="AG14" s="80"/>
      <c r="AH14" s="80"/>
      <c r="AI14" s="80"/>
      <c r="AJ14" s="79"/>
      <c r="AL14" s="77"/>
      <c r="AM14" s="80"/>
      <c r="AN14" s="80"/>
      <c r="AO14" s="80"/>
      <c r="AP14" s="80"/>
      <c r="AQ14" s="80"/>
      <c r="AR14" s="80"/>
      <c r="AS14" s="79"/>
    </row>
    <row r="15" spans="1:45" ht="12.75" customHeight="1" x14ac:dyDescent="0.25">
      <c r="A15" s="49"/>
      <c r="B15" s="78"/>
      <c r="C15" s="80"/>
      <c r="D15" s="80"/>
      <c r="E15" s="80"/>
      <c r="F15" s="80"/>
      <c r="G15" s="80"/>
      <c r="H15" s="80"/>
      <c r="I15" s="79"/>
      <c r="J15" s="49"/>
      <c r="K15" s="78"/>
      <c r="L15" s="80"/>
      <c r="M15" s="80"/>
      <c r="N15" s="80"/>
      <c r="O15" s="80"/>
      <c r="P15" s="80"/>
      <c r="Q15" s="80"/>
      <c r="R15" s="79"/>
      <c r="S15" s="49"/>
      <c r="T15" s="78"/>
      <c r="U15" s="80"/>
      <c r="V15" s="80"/>
      <c r="W15" s="80"/>
      <c r="X15" s="80"/>
      <c r="Y15" s="80"/>
      <c r="Z15" s="80"/>
      <c r="AA15" s="79"/>
      <c r="AC15" s="78"/>
      <c r="AD15" s="80"/>
      <c r="AE15" s="80"/>
      <c r="AF15" s="80"/>
      <c r="AG15" s="80"/>
      <c r="AH15" s="80"/>
      <c r="AI15" s="80"/>
      <c r="AJ15" s="79"/>
      <c r="AL15" s="78"/>
      <c r="AM15" s="80"/>
      <c r="AN15" s="80"/>
      <c r="AO15" s="80"/>
      <c r="AP15" s="80"/>
      <c r="AQ15" s="80"/>
      <c r="AR15" s="80"/>
      <c r="AS15" s="79"/>
    </row>
    <row r="16" spans="1:45" ht="12.75" customHeight="1" x14ac:dyDescent="0.25">
      <c r="A16" s="49"/>
      <c r="B16" s="77"/>
      <c r="C16" s="73"/>
      <c r="D16" s="73"/>
      <c r="E16" s="73"/>
      <c r="F16" s="73"/>
      <c r="G16" s="73"/>
      <c r="H16" s="73"/>
      <c r="I16" s="81"/>
      <c r="J16" s="49"/>
      <c r="K16" s="77"/>
      <c r="L16" s="73"/>
      <c r="M16" s="73"/>
      <c r="N16" s="73"/>
      <c r="O16" s="73"/>
      <c r="P16" s="73"/>
      <c r="Q16" s="73"/>
      <c r="R16" s="81"/>
      <c r="S16" s="49"/>
      <c r="T16" s="77"/>
      <c r="U16" s="73"/>
      <c r="V16" s="73"/>
      <c r="W16" s="73"/>
      <c r="X16" s="73"/>
      <c r="Y16" s="73"/>
      <c r="Z16" s="73"/>
      <c r="AA16" s="81"/>
      <c r="AC16" s="77"/>
      <c r="AD16" s="73"/>
      <c r="AE16" s="73"/>
      <c r="AF16" s="73"/>
      <c r="AG16" s="73"/>
      <c r="AH16" s="73"/>
      <c r="AI16" s="73"/>
      <c r="AJ16" s="81"/>
      <c r="AL16" s="77"/>
      <c r="AM16" s="73"/>
      <c r="AN16" s="73"/>
      <c r="AO16" s="73"/>
      <c r="AP16" s="73"/>
      <c r="AQ16" s="73"/>
      <c r="AR16" s="73"/>
      <c r="AS16" s="81"/>
    </row>
    <row r="17" spans="1:45" ht="12.75" customHeight="1" x14ac:dyDescent="0.25">
      <c r="A17" s="49"/>
      <c r="B17" s="77"/>
      <c r="C17" s="73"/>
      <c r="D17" s="73"/>
      <c r="E17" s="73"/>
      <c r="F17" s="73"/>
      <c r="G17" s="73"/>
      <c r="H17" s="73"/>
      <c r="I17" s="81"/>
      <c r="J17" s="49"/>
      <c r="K17" s="77"/>
      <c r="L17" s="73"/>
      <c r="M17" s="73"/>
      <c r="N17" s="73"/>
      <c r="O17" s="73"/>
      <c r="P17" s="73"/>
      <c r="Q17" s="73"/>
      <c r="R17" s="81"/>
      <c r="S17" s="49"/>
      <c r="T17" s="77"/>
      <c r="U17" s="73"/>
      <c r="V17" s="73"/>
      <c r="W17" s="73"/>
      <c r="X17" s="73"/>
      <c r="Y17" s="73"/>
      <c r="Z17" s="73"/>
      <c r="AA17" s="81"/>
      <c r="AC17" s="77"/>
      <c r="AD17" s="73"/>
      <c r="AE17" s="73"/>
      <c r="AF17" s="73"/>
      <c r="AG17" s="73"/>
      <c r="AH17" s="73"/>
      <c r="AI17" s="73"/>
      <c r="AJ17" s="81"/>
      <c r="AL17" s="77"/>
      <c r="AM17" s="73"/>
      <c r="AN17" s="73"/>
      <c r="AO17" s="73"/>
      <c r="AP17" s="73"/>
      <c r="AQ17" s="73"/>
      <c r="AR17" s="73"/>
      <c r="AS17" s="81"/>
    </row>
    <row r="18" spans="1:45" ht="12.75" customHeight="1" x14ac:dyDescent="0.25">
      <c r="A18" s="49"/>
      <c r="B18" s="163" t="s">
        <v>16</v>
      </c>
      <c r="C18" s="164">
        <f>SUM(C8:C17)</f>
        <v>4495.0833333333339</v>
      </c>
      <c r="D18" s="164">
        <f t="shared" ref="D18:H18" si="15">SUM(D8:D17)</f>
        <v>53941</v>
      </c>
      <c r="E18" s="164">
        <f t="shared" si="15"/>
        <v>8060</v>
      </c>
      <c r="F18" s="164">
        <f t="shared" si="15"/>
        <v>4249.5833333333339</v>
      </c>
      <c r="G18" s="164">
        <f t="shared" si="15"/>
        <v>66250.583333333328</v>
      </c>
      <c r="H18" s="164">
        <f t="shared" si="15"/>
        <v>4854.6899999999996</v>
      </c>
      <c r="I18" s="165">
        <f>I12+I8</f>
        <v>71105.273333333331</v>
      </c>
      <c r="J18" s="49"/>
      <c r="K18" s="163" t="s">
        <v>16</v>
      </c>
      <c r="L18" s="164">
        <f>SUM(L8:L17)</f>
        <v>6200.166666666667</v>
      </c>
      <c r="M18" s="164">
        <f t="shared" ref="M18:Q18" si="16">SUM(M8:M17)</f>
        <v>74402</v>
      </c>
      <c r="N18" s="164">
        <f t="shared" si="16"/>
        <v>11470</v>
      </c>
      <c r="O18" s="164">
        <f t="shared" si="16"/>
        <v>6238.7500000000018</v>
      </c>
      <c r="P18" s="164">
        <f t="shared" si="16"/>
        <v>92110.75</v>
      </c>
      <c r="Q18" s="164">
        <f t="shared" si="16"/>
        <v>6696.1799999999994</v>
      </c>
      <c r="R18" s="165">
        <f>R12+R8</f>
        <v>98806.93</v>
      </c>
      <c r="S18" s="49"/>
      <c r="T18" s="163" t="s">
        <v>16</v>
      </c>
      <c r="U18" s="164">
        <f>SUM(U8:U17)</f>
        <v>6200.25</v>
      </c>
      <c r="V18" s="164">
        <f t="shared" ref="V18:Z18" si="17">SUM(V8:V17)</f>
        <v>74403</v>
      </c>
      <c r="W18" s="164">
        <f t="shared" si="17"/>
        <v>11470</v>
      </c>
      <c r="X18" s="164">
        <f t="shared" si="17"/>
        <v>6238.7500000000018</v>
      </c>
      <c r="Y18" s="164">
        <f t="shared" si="17"/>
        <v>92111.75</v>
      </c>
      <c r="Z18" s="164">
        <f t="shared" si="17"/>
        <v>6696.2699999999995</v>
      </c>
      <c r="AA18" s="165">
        <f>AA12+AA8</f>
        <v>98808.01999999999</v>
      </c>
      <c r="AC18" s="163" t="s">
        <v>16</v>
      </c>
      <c r="AD18" s="164">
        <f>SUM(AD8:AD17)</f>
        <v>6200.333333333333</v>
      </c>
      <c r="AE18" s="164">
        <f t="shared" ref="AE18:AI18" si="18">SUM(AE8:AE17)</f>
        <v>74404</v>
      </c>
      <c r="AF18" s="164">
        <f t="shared" si="18"/>
        <v>11470</v>
      </c>
      <c r="AG18" s="164">
        <f t="shared" si="18"/>
        <v>6238.7500000000018</v>
      </c>
      <c r="AH18" s="164">
        <f t="shared" si="18"/>
        <v>92112.75</v>
      </c>
      <c r="AI18" s="164">
        <f t="shared" si="18"/>
        <v>6696.36</v>
      </c>
      <c r="AJ18" s="165">
        <f>AJ12+AJ8</f>
        <v>98809.11</v>
      </c>
      <c r="AL18" s="163" t="s">
        <v>16</v>
      </c>
      <c r="AM18" s="164">
        <f>SUM(AM8:AM17)</f>
        <v>6200.416666666667</v>
      </c>
      <c r="AN18" s="164">
        <f t="shared" ref="AN18:AR18" si="19">SUM(AN8:AN17)</f>
        <v>74405</v>
      </c>
      <c r="AO18" s="164">
        <f t="shared" si="19"/>
        <v>11470</v>
      </c>
      <c r="AP18" s="164">
        <f t="shared" si="19"/>
        <v>6238.7500000000018</v>
      </c>
      <c r="AQ18" s="164">
        <f t="shared" si="19"/>
        <v>92113.75</v>
      </c>
      <c r="AR18" s="164">
        <f t="shared" si="19"/>
        <v>6696.45</v>
      </c>
      <c r="AS18" s="165">
        <f>AS12+AS8</f>
        <v>98810.2</v>
      </c>
    </row>
    <row r="19" spans="1:45" ht="12.75" customHeight="1" x14ac:dyDescent="0.2">
      <c r="A19" s="49"/>
      <c r="B19" s="71" t="s">
        <v>105</v>
      </c>
      <c r="C19" s="71"/>
      <c r="D19" s="71"/>
      <c r="E19" s="71"/>
      <c r="F19" s="71"/>
      <c r="G19" s="71"/>
      <c r="H19" s="71"/>
      <c r="I19" s="71"/>
      <c r="J19" s="49"/>
      <c r="K19" s="71" t="s">
        <v>105</v>
      </c>
      <c r="L19" s="71"/>
      <c r="M19" s="71"/>
      <c r="N19" s="71"/>
      <c r="O19" s="71"/>
      <c r="P19" s="71"/>
      <c r="Q19" s="71"/>
      <c r="R19" s="71"/>
      <c r="S19" s="49"/>
      <c r="T19" s="71" t="s">
        <v>105</v>
      </c>
      <c r="U19" s="71"/>
      <c r="V19" s="71"/>
      <c r="W19" s="71"/>
      <c r="X19" s="71"/>
      <c r="Y19" s="71"/>
      <c r="Z19" s="71"/>
      <c r="AA19" s="71"/>
      <c r="AC19" s="71" t="s">
        <v>105</v>
      </c>
      <c r="AD19" s="71"/>
      <c r="AE19" s="71"/>
      <c r="AF19" s="71"/>
      <c r="AG19" s="71"/>
      <c r="AH19" s="71"/>
      <c r="AI19" s="71"/>
      <c r="AJ19" s="71"/>
      <c r="AL19" s="71" t="s">
        <v>105</v>
      </c>
      <c r="AM19" s="71"/>
      <c r="AN19" s="71"/>
      <c r="AO19" s="71"/>
      <c r="AP19" s="71"/>
      <c r="AQ19" s="71"/>
      <c r="AR19" s="71"/>
      <c r="AS19" s="71"/>
    </row>
    <row r="20" spans="1:45" ht="12.75" customHeight="1" x14ac:dyDescent="0.2">
      <c r="A20" s="49"/>
      <c r="B20" s="71" t="s">
        <v>106</v>
      </c>
      <c r="C20" s="71"/>
      <c r="D20" s="71"/>
      <c r="E20" s="71"/>
      <c r="F20" s="71"/>
      <c r="G20" s="71"/>
      <c r="H20" s="71"/>
      <c r="I20" s="71"/>
      <c r="J20" s="49"/>
      <c r="K20" s="71" t="s">
        <v>106</v>
      </c>
      <c r="L20" s="71"/>
      <c r="M20" s="71"/>
      <c r="N20" s="71"/>
      <c r="O20" s="71"/>
      <c r="P20" s="71"/>
      <c r="Q20" s="71"/>
      <c r="R20" s="71"/>
      <c r="S20" s="49"/>
      <c r="T20" s="71" t="s">
        <v>106</v>
      </c>
      <c r="U20" s="71"/>
      <c r="V20" s="71"/>
      <c r="W20" s="71"/>
      <c r="X20" s="71"/>
      <c r="Y20" s="71"/>
      <c r="Z20" s="71"/>
      <c r="AA20" s="71"/>
      <c r="AC20" s="71" t="s">
        <v>106</v>
      </c>
      <c r="AD20" s="71"/>
      <c r="AE20" s="71"/>
      <c r="AF20" s="71"/>
      <c r="AG20" s="71"/>
      <c r="AH20" s="71"/>
      <c r="AI20" s="71"/>
      <c r="AJ20" s="71"/>
      <c r="AL20" s="71" t="s">
        <v>106</v>
      </c>
      <c r="AM20" s="71"/>
      <c r="AN20" s="71"/>
      <c r="AO20" s="71"/>
      <c r="AP20" s="71"/>
      <c r="AQ20" s="71"/>
      <c r="AR20" s="71"/>
      <c r="AS20" s="71"/>
    </row>
    <row r="21" spans="1:45" ht="12.75" customHeight="1" x14ac:dyDescent="0.2">
      <c r="A21" s="49"/>
      <c r="B21" s="71" t="s">
        <v>107</v>
      </c>
      <c r="C21" s="71"/>
      <c r="D21" s="71"/>
      <c r="E21" s="71"/>
      <c r="F21" s="71"/>
      <c r="G21" s="71"/>
      <c r="H21" s="71"/>
      <c r="I21" s="71"/>
      <c r="J21" s="49"/>
      <c r="K21" s="71" t="s">
        <v>107</v>
      </c>
      <c r="L21" s="71"/>
      <c r="M21" s="71"/>
      <c r="N21" s="71"/>
      <c r="O21" s="71"/>
      <c r="P21" s="71"/>
      <c r="Q21" s="71"/>
      <c r="R21" s="71"/>
      <c r="S21" s="49"/>
      <c r="T21" s="71" t="s">
        <v>107</v>
      </c>
      <c r="U21" s="71"/>
      <c r="V21" s="71"/>
      <c r="W21" s="71"/>
      <c r="X21" s="71"/>
      <c r="Y21" s="71"/>
      <c r="Z21" s="71"/>
      <c r="AA21" s="71"/>
      <c r="AC21" s="71" t="s">
        <v>107</v>
      </c>
      <c r="AD21" s="71"/>
      <c r="AE21" s="71"/>
      <c r="AF21" s="71"/>
      <c r="AG21" s="71"/>
      <c r="AH21" s="71"/>
      <c r="AI21" s="71"/>
      <c r="AJ21" s="71"/>
      <c r="AL21" s="71" t="s">
        <v>107</v>
      </c>
      <c r="AM21" s="71"/>
      <c r="AN21" s="71"/>
      <c r="AO21" s="71"/>
      <c r="AP21" s="71"/>
      <c r="AQ21" s="71"/>
      <c r="AR21" s="71"/>
      <c r="AS21" s="71"/>
    </row>
    <row r="22" spans="1:45" ht="16.5" customHeight="1" x14ac:dyDescent="0.25">
      <c r="A22" s="49"/>
      <c r="B22" s="82"/>
      <c r="C22" s="599"/>
      <c r="D22" s="597"/>
      <c r="E22" s="597"/>
      <c r="F22" s="597"/>
      <c r="G22" s="597"/>
      <c r="H22" s="597"/>
      <c r="I22" s="597"/>
      <c r="J22" s="597"/>
      <c r="K22" s="597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45" ht="15.75" customHeight="1" x14ac:dyDescent="0.25">
      <c r="A23" s="49"/>
      <c r="B23" s="600" t="s">
        <v>108</v>
      </c>
      <c r="C23" s="597"/>
      <c r="D23" s="597"/>
      <c r="E23" s="597"/>
      <c r="F23" s="597"/>
      <c r="G23" s="597"/>
      <c r="H23" s="83"/>
      <c r="L23" s="599" t="s">
        <v>417</v>
      </c>
      <c r="M23" s="599"/>
      <c r="N23" s="49">
        <v>82800</v>
      </c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45" ht="13.5" customHeight="1" thickBot="1" x14ac:dyDescent="0.25">
      <c r="A24" s="49"/>
      <c r="B24" s="82"/>
      <c r="C24" s="84"/>
      <c r="D24" s="84"/>
      <c r="E24" s="84"/>
      <c r="F24" s="84"/>
      <c r="G24" s="84"/>
      <c r="H24" s="84"/>
      <c r="K24" s="66"/>
      <c r="L24" s="598" t="s">
        <v>418</v>
      </c>
      <c r="M24" s="598"/>
      <c r="N24" s="131">
        <f>I8/N23</f>
        <v>0.69952242351046701</v>
      </c>
      <c r="O24" s="49" t="s">
        <v>419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45" ht="12.75" customHeight="1" x14ac:dyDescent="0.2">
      <c r="A25" s="49"/>
      <c r="B25" s="601" t="s">
        <v>109</v>
      </c>
      <c r="C25" s="603" t="s">
        <v>110</v>
      </c>
      <c r="D25" s="604"/>
      <c r="E25" s="604"/>
      <c r="F25" s="604"/>
      <c r="G25" s="605"/>
      <c r="H25" s="85"/>
      <c r="I25" s="86"/>
      <c r="J25" s="86"/>
      <c r="K25" s="86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45" ht="13.5" customHeight="1" thickBot="1" x14ac:dyDescent="0.25">
      <c r="A26" s="49"/>
      <c r="B26" s="602"/>
      <c r="C26" s="166">
        <v>1</v>
      </c>
      <c r="D26" s="167">
        <f t="shared" ref="D26" si="20">C26+1</f>
        <v>2</v>
      </c>
      <c r="E26" s="167">
        <v>3</v>
      </c>
      <c r="F26" s="167">
        <v>4</v>
      </c>
      <c r="G26" s="168">
        <v>5</v>
      </c>
      <c r="H26" s="87"/>
      <c r="I26" s="88"/>
      <c r="J26" s="88"/>
      <c r="K26" s="88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45" ht="12.75" customHeight="1" x14ac:dyDescent="0.2">
      <c r="A27" s="49"/>
      <c r="B27" s="72" t="s">
        <v>111</v>
      </c>
      <c r="C27" s="89">
        <f>I8</f>
        <v>57920.456666666665</v>
      </c>
      <c r="D27" s="89">
        <f>R8</f>
        <v>85622.113333333327</v>
      </c>
      <c r="E27" s="89">
        <f>AA8</f>
        <v>85623.203333333324</v>
      </c>
      <c r="F27" s="89">
        <f>AJ8</f>
        <v>85624.293333333335</v>
      </c>
      <c r="G27" s="89">
        <f>AS8</f>
        <v>85625.383333333331</v>
      </c>
      <c r="H27" s="90"/>
      <c r="I27" s="91"/>
      <c r="J27" s="91"/>
      <c r="K27" s="91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45" ht="12.75" customHeight="1" x14ac:dyDescent="0.2">
      <c r="A28" s="49"/>
      <c r="B28" s="78" t="s">
        <v>112</v>
      </c>
      <c r="C28" s="92">
        <f>I12</f>
        <v>13184.816666666666</v>
      </c>
      <c r="D28" s="92">
        <f>R12</f>
        <v>13184.816666666666</v>
      </c>
      <c r="E28" s="92">
        <f>AA12</f>
        <v>13184.816666666666</v>
      </c>
      <c r="F28" s="92">
        <f>AJ12</f>
        <v>13184.816666666666</v>
      </c>
      <c r="G28" s="92">
        <f>AS12</f>
        <v>13184.816666666666</v>
      </c>
      <c r="H28" s="90"/>
      <c r="I28" s="91"/>
      <c r="J28" s="91"/>
      <c r="K28" s="91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45" ht="13.5" customHeight="1" thickBot="1" x14ac:dyDescent="0.25">
      <c r="A29" s="49"/>
      <c r="B29" s="93" t="s">
        <v>113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0"/>
      <c r="I29" s="91"/>
      <c r="J29" s="91"/>
      <c r="K29" s="91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45" ht="13.5" customHeight="1" thickBot="1" x14ac:dyDescent="0.25">
      <c r="A30" s="49"/>
      <c r="B30" s="169" t="s">
        <v>16</v>
      </c>
      <c r="C30" s="170">
        <f>SUM(C27:C29)</f>
        <v>71105.273333333331</v>
      </c>
      <c r="D30" s="170">
        <f t="shared" ref="D30:G30" si="21">SUM(D27:D29)</f>
        <v>98806.93</v>
      </c>
      <c r="E30" s="170">
        <f t="shared" si="21"/>
        <v>98808.01999999999</v>
      </c>
      <c r="F30" s="170">
        <f t="shared" si="21"/>
        <v>98809.11</v>
      </c>
      <c r="G30" s="170">
        <f t="shared" si="21"/>
        <v>98810.2</v>
      </c>
      <c r="H30" s="85"/>
      <c r="I30" s="95"/>
      <c r="J30" s="95"/>
      <c r="K30" s="95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45" ht="12.75" customHeight="1" x14ac:dyDescent="0.2">
      <c r="A31" s="49"/>
      <c r="B31" s="82"/>
      <c r="C31" s="96"/>
      <c r="D31" s="84"/>
      <c r="E31" s="84"/>
      <c r="F31" s="84"/>
      <c r="G31" s="84"/>
      <c r="H31" s="84"/>
      <c r="I31" s="84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45" ht="12.75" customHeight="1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2.75" customHeight="1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2.75" customHeight="1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2.75" customHeight="1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2.75" customHeight="1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2.75" customHeight="1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2.75" customHeight="1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2.75" customHeight="1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2.75" customHeight="1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2.75" customHeight="1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2.75" customHeigh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2.75" customHeight="1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2.75" customHeight="1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2.75" customHeight="1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2.75" customHeight="1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.75" customHeight="1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2.75" customHeight="1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2.75" customHeight="1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2.75" customHeight="1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 customHeight="1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2.75" customHeight="1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2.75" customHeight="1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2.75" customHeight="1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2.75" customHeight="1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2.75" customHeight="1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2.75" customHeight="1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2.75" customHeight="1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2.75" customHeight="1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2.75" customHeight="1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2.75" customHeight="1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2.75" customHeight="1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2.75" customHeight="1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2.75" customHeight="1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2.75" customHeight="1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2.75" customHeight="1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2.75" customHeight="1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2.75" customHeight="1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2.75" customHeight="1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2.75" customHeight="1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2.75" customHeight="1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2.75" customHeight="1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2.75" customHeight="1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2.75" customHeight="1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2.75" customHeight="1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2.75" customHeight="1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2.75" customHeight="1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2.75" customHeight="1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2.75" customHeight="1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2.75" customHeight="1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2.75" customHeight="1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2.75" customHeight="1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2.75" customHeight="1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2.75" customHeight="1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2.75" customHeight="1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2.75" customHeight="1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2.75" customHeight="1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2.75" customHeight="1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2.75" customHeight="1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2.75" customHeight="1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2.75" customHeight="1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2.75" customHeight="1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2.75" customHeight="1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2.75" customHeight="1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2.75" customHeight="1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2.75" customHeight="1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2.75" customHeight="1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2.75" customHeight="1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2.75" customHeight="1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2.75" customHeight="1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2.75" customHeight="1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2.75" customHeight="1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2.75" customHeight="1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2.75" customHeight="1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2.75" customHeight="1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2.75" customHeight="1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2.75" customHeight="1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2.75" customHeight="1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2.75" customHeight="1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2.75" customHeight="1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2.75" customHeight="1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2.75" customHeight="1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2.75" customHeight="1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2.75" customHeight="1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2.75" customHeight="1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2.75" customHeight="1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2.75" customHeight="1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2.75" customHeight="1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2.75" customHeight="1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2.75" customHeight="1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2.75" customHeight="1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2.75" customHeight="1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2.75" customHeight="1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2.75" customHeight="1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2.75" customHeight="1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2.75" customHeight="1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2.75" customHeight="1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2.75" customHeight="1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2.75" customHeight="1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2.75" customHeight="1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2.75" customHeight="1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2.75" customHeight="1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2.75" customHeight="1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2.75" customHeight="1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2.75" customHeight="1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2.75" customHeight="1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2.75" customHeight="1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2.75" customHeight="1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2.75" customHeight="1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2.75" customHeight="1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2.75" customHeight="1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2.75" customHeight="1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2.75" customHeight="1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2.75" customHeight="1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2.75" customHeight="1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2.75" customHeight="1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2.75" customHeight="1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2.75" customHeight="1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2.75" customHeight="1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2.75" customHeight="1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2.75" customHeight="1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2.75" customHeight="1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2.75" customHeight="1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2.75" customHeight="1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2.75" customHeight="1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2.75" customHeight="1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2.75" customHeight="1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2.75" customHeight="1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2.75" customHeight="1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2.75" customHeight="1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2.75" customHeight="1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2.75" customHeight="1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2.75" customHeight="1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2.75" customHeight="1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2.75" customHeight="1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2.75" customHeight="1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2.75" customHeight="1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2.75" customHeight="1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2.75" customHeight="1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2.75" customHeight="1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2.75" customHeight="1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2.75" customHeight="1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2.75" customHeight="1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2.75" customHeight="1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2.75" customHeight="1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2.75" customHeight="1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2.75" customHeight="1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2.75" customHeight="1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2.75" customHeight="1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2.75" customHeight="1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2.75" customHeight="1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2.75" customHeight="1" x14ac:dyDescent="0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2.75" customHeight="1" x14ac:dyDescent="0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2.75" customHeight="1" x14ac:dyDescent="0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2.75" customHeight="1" x14ac:dyDescent="0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2.75" customHeight="1" x14ac:dyDescent="0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2.75" customHeight="1" x14ac:dyDescent="0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2.75" customHeight="1" x14ac:dyDescent="0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2.75" customHeight="1" x14ac:dyDescent="0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2.75" customHeight="1" x14ac:dyDescent="0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2.75" customHeight="1" x14ac:dyDescent="0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2.75" customHeight="1" x14ac:dyDescent="0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2.75" customHeight="1" x14ac:dyDescent="0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2.75" customHeight="1" x14ac:dyDescent="0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2.75" customHeight="1" x14ac:dyDescent="0.2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2.75" customHeight="1" x14ac:dyDescent="0.2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2.75" customHeight="1" x14ac:dyDescent="0.2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2.75" customHeight="1" x14ac:dyDescent="0.2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2.75" customHeight="1" x14ac:dyDescent="0.2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2.75" customHeight="1" x14ac:dyDescent="0.2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2.75" customHeight="1" x14ac:dyDescent="0.2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2.75" customHeight="1" x14ac:dyDescent="0.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2.75" customHeight="1" x14ac:dyDescent="0.2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2.75" customHeight="1" x14ac:dyDescent="0.2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2.75" customHeight="1" x14ac:dyDescent="0.2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2.75" customHeight="1" x14ac:dyDescent="0.2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2.75" customHeight="1" x14ac:dyDescent="0.2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2.75" customHeight="1" x14ac:dyDescent="0.2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2.75" customHeight="1" x14ac:dyDescent="0.2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2.75" customHeight="1" x14ac:dyDescent="0.2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2.75" customHeight="1" x14ac:dyDescent="0.2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2.75" customHeight="1" x14ac:dyDescent="0.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2.75" customHeight="1" x14ac:dyDescent="0.2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2.75" customHeight="1" x14ac:dyDescent="0.2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2.75" customHeight="1" x14ac:dyDescent="0.2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2.75" customHeight="1" x14ac:dyDescent="0.2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2.75" customHeight="1" x14ac:dyDescent="0.2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2.75" customHeight="1" x14ac:dyDescent="0.2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2.75" customHeight="1" x14ac:dyDescent="0.2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2.75" customHeight="1" x14ac:dyDescent="0.2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2.75" customHeight="1" x14ac:dyDescent="0.2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2.75" customHeight="1" x14ac:dyDescent="0.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2.75" customHeight="1" x14ac:dyDescent="0.2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2.75" customHeight="1" x14ac:dyDescent="0.2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2.75" customHeight="1" x14ac:dyDescent="0.2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2.75" customHeight="1" x14ac:dyDescent="0.2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2.75" customHeight="1" x14ac:dyDescent="0.2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2.75" customHeight="1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2.75" customHeight="1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2.75" customHeight="1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2.75" customHeight="1" x14ac:dyDescent="0.2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2.75" customHeight="1" x14ac:dyDescent="0.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2.75" customHeight="1" x14ac:dyDescent="0.2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2.75" customHeight="1" x14ac:dyDescent="0.2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2.75" customHeight="1" x14ac:dyDescent="0.2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2.75" customHeight="1" x14ac:dyDescent="0.2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2.75" customHeight="1" x14ac:dyDescent="0.2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2.75" customHeight="1" x14ac:dyDescent="0.2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2.75" customHeight="1" x14ac:dyDescent="0.2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2.75" customHeight="1" x14ac:dyDescent="0.2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2.75" customHeight="1" x14ac:dyDescent="0.2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2.75" customHeight="1" x14ac:dyDescent="0.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2.75" customHeight="1" x14ac:dyDescent="0.2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2.75" customHeight="1" x14ac:dyDescent="0.2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2.75" customHeight="1" x14ac:dyDescent="0.2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2.75" customHeight="1" x14ac:dyDescent="0.2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2.75" customHeight="1" x14ac:dyDescent="0.2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2.75" customHeight="1" x14ac:dyDescent="0.2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2.75" customHeight="1" x14ac:dyDescent="0.2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2.75" customHeight="1" x14ac:dyDescent="0.2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2.75" customHeight="1" x14ac:dyDescent="0.2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2.75" customHeight="1" x14ac:dyDescent="0.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2.75" customHeight="1" x14ac:dyDescent="0.2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2.75" customHeight="1" x14ac:dyDescent="0.2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2.75" customHeight="1" x14ac:dyDescent="0.2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2.75" customHeight="1" x14ac:dyDescent="0.2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2.75" customHeight="1" x14ac:dyDescent="0.2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2.75" customHeight="1" x14ac:dyDescent="0.2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2.75" customHeight="1" x14ac:dyDescent="0.2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2.75" customHeight="1" x14ac:dyDescent="0.2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2.75" customHeight="1" x14ac:dyDescent="0.2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2.75" customHeight="1" x14ac:dyDescent="0.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2.75" customHeight="1" x14ac:dyDescent="0.2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2.75" customHeight="1" x14ac:dyDescent="0.2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2.75" customHeight="1" x14ac:dyDescent="0.2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2.75" customHeight="1" x14ac:dyDescent="0.2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2.75" customHeight="1" x14ac:dyDescent="0.2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2.75" customHeight="1" x14ac:dyDescent="0.2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2.75" customHeight="1" x14ac:dyDescent="0.2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2.75" customHeight="1" x14ac:dyDescent="0.2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2.75" customHeight="1" x14ac:dyDescent="0.2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2.75" customHeight="1" x14ac:dyDescent="0.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2.75" customHeight="1" x14ac:dyDescent="0.2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2.75" customHeight="1" x14ac:dyDescent="0.2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2.75" customHeight="1" x14ac:dyDescent="0.2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2.75" customHeight="1" x14ac:dyDescent="0.2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2.75" customHeight="1" x14ac:dyDescent="0.2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2.75" customHeight="1" x14ac:dyDescent="0.2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2.75" customHeight="1" x14ac:dyDescent="0.2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2.75" customHeight="1" x14ac:dyDescent="0.2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2.75" customHeight="1" x14ac:dyDescent="0.2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2.75" customHeight="1" x14ac:dyDescent="0.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2.75" customHeight="1" x14ac:dyDescent="0.2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2.75" customHeight="1" x14ac:dyDescent="0.2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2.75" customHeight="1" x14ac:dyDescent="0.2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2.75" customHeight="1" x14ac:dyDescent="0.2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2.75" customHeight="1" x14ac:dyDescent="0.2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2.75" customHeight="1" x14ac:dyDescent="0.2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2.75" customHeight="1" x14ac:dyDescent="0.2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2.75" customHeight="1" x14ac:dyDescent="0.2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2.75" customHeight="1" x14ac:dyDescent="0.2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2.75" customHeight="1" x14ac:dyDescent="0.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2.75" customHeight="1" x14ac:dyDescent="0.2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2.75" customHeight="1" x14ac:dyDescent="0.2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2.75" customHeight="1" x14ac:dyDescent="0.2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2.75" customHeight="1" x14ac:dyDescent="0.2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2.75" customHeight="1" x14ac:dyDescent="0.2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2.75" customHeight="1" x14ac:dyDescent="0.2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2.75" customHeight="1" x14ac:dyDescent="0.2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2.75" customHeight="1" x14ac:dyDescent="0.2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2.75" customHeight="1" x14ac:dyDescent="0.2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2.75" customHeight="1" x14ac:dyDescent="0.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2.75" customHeight="1" x14ac:dyDescent="0.2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2.75" customHeight="1" x14ac:dyDescent="0.2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2.75" customHeight="1" x14ac:dyDescent="0.2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2.75" customHeight="1" x14ac:dyDescent="0.2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2.75" customHeight="1" x14ac:dyDescent="0.2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2.75" customHeight="1" x14ac:dyDescent="0.2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2.75" customHeight="1" x14ac:dyDescent="0.2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2.75" customHeight="1" x14ac:dyDescent="0.2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2.75" customHeight="1" x14ac:dyDescent="0.2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2.75" customHeight="1" x14ac:dyDescent="0.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2.75" customHeight="1" x14ac:dyDescent="0.2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2.75" customHeight="1" x14ac:dyDescent="0.2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2.75" customHeight="1" x14ac:dyDescent="0.2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2.75" customHeight="1" x14ac:dyDescent="0.2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2.75" customHeight="1" x14ac:dyDescent="0.2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2.75" customHeight="1" x14ac:dyDescent="0.2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2.75" customHeight="1" x14ac:dyDescent="0.2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2.75" customHeight="1" x14ac:dyDescent="0.2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2.75" customHeight="1" x14ac:dyDescent="0.2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2.75" customHeight="1" x14ac:dyDescent="0.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2.75" customHeight="1" x14ac:dyDescent="0.2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2.75" customHeight="1" x14ac:dyDescent="0.2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2.75" customHeight="1" x14ac:dyDescent="0.2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2.75" customHeight="1" x14ac:dyDescent="0.2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2.75" customHeight="1" x14ac:dyDescent="0.2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2.75" customHeight="1" x14ac:dyDescent="0.2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2.75" customHeight="1" x14ac:dyDescent="0.2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2.75" customHeight="1" x14ac:dyDescent="0.2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2.75" customHeight="1" x14ac:dyDescent="0.2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2.75" customHeight="1" x14ac:dyDescent="0.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2.75" customHeight="1" x14ac:dyDescent="0.2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2.75" customHeight="1" x14ac:dyDescent="0.2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2.75" customHeight="1" x14ac:dyDescent="0.2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2.75" customHeight="1" x14ac:dyDescent="0.2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2.75" customHeight="1" x14ac:dyDescent="0.2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2.75" customHeight="1" x14ac:dyDescent="0.2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2.75" customHeight="1" x14ac:dyDescent="0.2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2.75" customHeight="1" x14ac:dyDescent="0.2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2.75" customHeight="1" x14ac:dyDescent="0.2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2.75" customHeight="1" x14ac:dyDescent="0.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2.75" customHeight="1" x14ac:dyDescent="0.2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2.75" customHeight="1" x14ac:dyDescent="0.2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2.75" customHeight="1" x14ac:dyDescent="0.2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2.75" customHeight="1" x14ac:dyDescent="0.2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2.75" customHeight="1" x14ac:dyDescent="0.2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2.75" customHeight="1" x14ac:dyDescent="0.2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2.75" customHeight="1" x14ac:dyDescent="0.2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2.75" customHeight="1" x14ac:dyDescent="0.2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2.75" customHeight="1" x14ac:dyDescent="0.2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2.75" customHeight="1" x14ac:dyDescent="0.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2.75" customHeight="1" x14ac:dyDescent="0.2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2.75" customHeight="1" x14ac:dyDescent="0.2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2.75" customHeight="1" x14ac:dyDescent="0.2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2.75" customHeight="1" x14ac:dyDescent="0.2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2.75" customHeight="1" x14ac:dyDescent="0.2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2.75" customHeight="1" x14ac:dyDescent="0.2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2.75" customHeight="1" x14ac:dyDescent="0.2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2.75" customHeight="1" x14ac:dyDescent="0.2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2.75" customHeight="1" x14ac:dyDescent="0.2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2.75" customHeight="1" x14ac:dyDescent="0.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2.75" customHeight="1" x14ac:dyDescent="0.2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2.75" customHeight="1" x14ac:dyDescent="0.2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2.75" customHeight="1" x14ac:dyDescent="0.2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2.75" customHeight="1" x14ac:dyDescent="0.2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2.75" customHeight="1" x14ac:dyDescent="0.2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2.75" customHeight="1" x14ac:dyDescent="0.2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2.75" customHeight="1" x14ac:dyDescent="0.2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2.75" customHeight="1" x14ac:dyDescent="0.2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2.75" customHeight="1" x14ac:dyDescent="0.2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2.75" customHeight="1" x14ac:dyDescent="0.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2.75" customHeight="1" x14ac:dyDescent="0.2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2.75" customHeight="1" x14ac:dyDescent="0.2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2.75" customHeight="1" x14ac:dyDescent="0.2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2.75" customHeight="1" x14ac:dyDescent="0.2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2.75" customHeight="1" x14ac:dyDescent="0.2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2.75" customHeight="1" x14ac:dyDescent="0.2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2.75" customHeight="1" x14ac:dyDescent="0.2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2.75" customHeight="1" x14ac:dyDescent="0.2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2.75" customHeight="1" x14ac:dyDescent="0.2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2.75" customHeight="1" x14ac:dyDescent="0.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2.75" customHeight="1" x14ac:dyDescent="0.2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2.75" customHeight="1" x14ac:dyDescent="0.2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2.75" customHeight="1" x14ac:dyDescent="0.2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2.75" customHeight="1" x14ac:dyDescent="0.2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2.75" customHeight="1" x14ac:dyDescent="0.2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2.75" customHeight="1" x14ac:dyDescent="0.2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2.75" customHeight="1" x14ac:dyDescent="0.2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2.75" customHeight="1" x14ac:dyDescent="0.2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2.75" customHeight="1" x14ac:dyDescent="0.2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2.75" customHeight="1" x14ac:dyDescent="0.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2.75" customHeight="1" x14ac:dyDescent="0.2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2.75" customHeight="1" x14ac:dyDescent="0.2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2.75" customHeight="1" x14ac:dyDescent="0.2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2.75" customHeight="1" x14ac:dyDescent="0.2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2.75" customHeight="1" x14ac:dyDescent="0.2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2.75" customHeight="1" x14ac:dyDescent="0.2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2.75" customHeight="1" x14ac:dyDescent="0.2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2.75" customHeight="1" x14ac:dyDescent="0.2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2.75" customHeight="1" x14ac:dyDescent="0.2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2.75" customHeight="1" x14ac:dyDescent="0.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2.75" customHeight="1" x14ac:dyDescent="0.2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2.75" customHeight="1" x14ac:dyDescent="0.2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2.75" customHeight="1" x14ac:dyDescent="0.2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2.75" customHeight="1" x14ac:dyDescent="0.2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2.75" customHeight="1" x14ac:dyDescent="0.2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2.75" customHeight="1" x14ac:dyDescent="0.2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2.75" customHeight="1" x14ac:dyDescent="0.2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2.75" customHeight="1" x14ac:dyDescent="0.2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2.75" customHeight="1" x14ac:dyDescent="0.2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2.75" customHeight="1" x14ac:dyDescent="0.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2.75" customHeight="1" x14ac:dyDescent="0.2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2.75" customHeight="1" x14ac:dyDescent="0.2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2.75" customHeight="1" x14ac:dyDescent="0.2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2.75" customHeight="1" x14ac:dyDescent="0.2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2.75" customHeight="1" x14ac:dyDescent="0.2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2.75" customHeight="1" x14ac:dyDescent="0.2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2.75" customHeight="1" x14ac:dyDescent="0.2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2.75" customHeight="1" x14ac:dyDescent="0.2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2.75" customHeight="1" x14ac:dyDescent="0.2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2.75" customHeight="1" x14ac:dyDescent="0.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2.75" customHeight="1" x14ac:dyDescent="0.2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2.75" customHeight="1" x14ac:dyDescent="0.2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2.75" customHeight="1" x14ac:dyDescent="0.2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2.75" customHeight="1" x14ac:dyDescent="0.2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2.75" customHeight="1" x14ac:dyDescent="0.2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2.75" customHeight="1" x14ac:dyDescent="0.2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2.75" customHeight="1" x14ac:dyDescent="0.2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2.75" customHeight="1" x14ac:dyDescent="0.2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2.75" customHeight="1" x14ac:dyDescent="0.2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2.75" customHeight="1" x14ac:dyDescent="0.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2.75" customHeight="1" x14ac:dyDescent="0.2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2.75" customHeight="1" x14ac:dyDescent="0.2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2.75" customHeight="1" x14ac:dyDescent="0.2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2.75" customHeight="1" x14ac:dyDescent="0.2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2.75" customHeight="1" x14ac:dyDescent="0.2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2.75" customHeight="1" x14ac:dyDescent="0.2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2.75" customHeight="1" x14ac:dyDescent="0.2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2.75" customHeight="1" x14ac:dyDescent="0.2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2.75" customHeight="1" x14ac:dyDescent="0.2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2.75" customHeight="1" x14ac:dyDescent="0.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2.75" customHeight="1" x14ac:dyDescent="0.2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2.75" customHeight="1" x14ac:dyDescent="0.2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2.75" customHeight="1" x14ac:dyDescent="0.2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2.75" customHeight="1" x14ac:dyDescent="0.2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2.75" customHeight="1" x14ac:dyDescent="0.2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2.75" customHeight="1" x14ac:dyDescent="0.2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2.75" customHeight="1" x14ac:dyDescent="0.2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2.75" customHeight="1" x14ac:dyDescent="0.2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2.75" customHeight="1" x14ac:dyDescent="0.2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2.75" customHeight="1" x14ac:dyDescent="0.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2.75" customHeight="1" x14ac:dyDescent="0.2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2.75" customHeight="1" x14ac:dyDescent="0.2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2.75" customHeight="1" x14ac:dyDescent="0.2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2.75" customHeight="1" x14ac:dyDescent="0.2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2.75" customHeight="1" x14ac:dyDescent="0.2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2.75" customHeight="1" x14ac:dyDescent="0.2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2.75" customHeight="1" x14ac:dyDescent="0.2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2.75" customHeight="1" x14ac:dyDescent="0.2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2.75" customHeight="1" x14ac:dyDescent="0.2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2.75" customHeight="1" x14ac:dyDescent="0.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2.75" customHeight="1" x14ac:dyDescent="0.2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2.75" customHeight="1" x14ac:dyDescent="0.2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2.75" customHeight="1" x14ac:dyDescent="0.2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2.75" customHeight="1" x14ac:dyDescent="0.2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2.75" customHeight="1" x14ac:dyDescent="0.2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2.75" customHeight="1" x14ac:dyDescent="0.2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2.75" customHeight="1" x14ac:dyDescent="0.2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2.75" customHeight="1" x14ac:dyDescent="0.2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2.75" customHeight="1" x14ac:dyDescent="0.2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2.75" customHeight="1" x14ac:dyDescent="0.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2.75" customHeight="1" x14ac:dyDescent="0.2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2.75" customHeight="1" x14ac:dyDescent="0.2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2.75" customHeight="1" x14ac:dyDescent="0.2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2.75" customHeight="1" x14ac:dyDescent="0.2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2.75" customHeight="1" x14ac:dyDescent="0.2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2.75" customHeight="1" x14ac:dyDescent="0.2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2.75" customHeight="1" x14ac:dyDescent="0.2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2.75" customHeight="1" x14ac:dyDescent="0.2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2.75" customHeight="1" x14ac:dyDescent="0.2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2.75" customHeight="1" x14ac:dyDescent="0.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2.75" customHeight="1" x14ac:dyDescent="0.2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2.75" customHeight="1" x14ac:dyDescent="0.2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2.75" customHeight="1" x14ac:dyDescent="0.2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2.75" customHeight="1" x14ac:dyDescent="0.2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2.75" customHeight="1" x14ac:dyDescent="0.2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2.75" customHeight="1" x14ac:dyDescent="0.2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2.75" customHeight="1" x14ac:dyDescent="0.2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2.75" customHeight="1" x14ac:dyDescent="0.2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2.75" customHeight="1" x14ac:dyDescent="0.2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2.75" customHeight="1" x14ac:dyDescent="0.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2.75" customHeight="1" x14ac:dyDescent="0.2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2.75" customHeight="1" x14ac:dyDescent="0.2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2.75" customHeight="1" x14ac:dyDescent="0.2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2.75" customHeight="1" x14ac:dyDescent="0.2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2.75" customHeight="1" x14ac:dyDescent="0.2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2.75" customHeight="1" x14ac:dyDescent="0.2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2.75" customHeight="1" x14ac:dyDescent="0.2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2.75" customHeight="1" x14ac:dyDescent="0.2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2.75" customHeight="1" x14ac:dyDescent="0.2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2.75" customHeight="1" x14ac:dyDescent="0.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2.75" customHeight="1" x14ac:dyDescent="0.2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2.75" customHeight="1" x14ac:dyDescent="0.2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2.75" customHeight="1" x14ac:dyDescent="0.2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2.75" customHeight="1" x14ac:dyDescent="0.2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2.75" customHeight="1" x14ac:dyDescent="0.2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2.75" customHeight="1" x14ac:dyDescent="0.2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2.75" customHeight="1" x14ac:dyDescent="0.2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2.75" customHeight="1" x14ac:dyDescent="0.2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2.75" customHeight="1" x14ac:dyDescent="0.2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2.75" customHeight="1" x14ac:dyDescent="0.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2.75" customHeight="1" x14ac:dyDescent="0.2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2.75" customHeight="1" x14ac:dyDescent="0.2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2.75" customHeight="1" x14ac:dyDescent="0.2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2.75" customHeight="1" x14ac:dyDescent="0.2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2.75" customHeight="1" x14ac:dyDescent="0.2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2.75" customHeight="1" x14ac:dyDescent="0.2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2.75" customHeight="1" x14ac:dyDescent="0.2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2.75" customHeight="1" x14ac:dyDescent="0.2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2.75" customHeight="1" x14ac:dyDescent="0.2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2.75" customHeight="1" x14ac:dyDescent="0.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2.75" customHeight="1" x14ac:dyDescent="0.2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2.75" customHeight="1" x14ac:dyDescent="0.2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2.75" customHeight="1" x14ac:dyDescent="0.2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2.75" customHeight="1" x14ac:dyDescent="0.2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2.75" customHeight="1" x14ac:dyDescent="0.2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2.75" customHeight="1" x14ac:dyDescent="0.2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2.75" customHeight="1" x14ac:dyDescent="0.2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2.75" customHeight="1" x14ac:dyDescent="0.2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2.75" customHeight="1" x14ac:dyDescent="0.2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2.75" customHeight="1" x14ac:dyDescent="0.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2.75" customHeight="1" x14ac:dyDescent="0.2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2.75" customHeight="1" x14ac:dyDescent="0.2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2.75" customHeight="1" x14ac:dyDescent="0.2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2.75" customHeight="1" x14ac:dyDescent="0.2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2.75" customHeight="1" x14ac:dyDescent="0.2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2.75" customHeight="1" x14ac:dyDescent="0.2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2.75" customHeight="1" x14ac:dyDescent="0.2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2.75" customHeight="1" x14ac:dyDescent="0.2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2.75" customHeight="1" x14ac:dyDescent="0.2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2.75" customHeight="1" x14ac:dyDescent="0.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2.75" customHeight="1" x14ac:dyDescent="0.2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2.75" customHeight="1" x14ac:dyDescent="0.2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2.75" customHeight="1" x14ac:dyDescent="0.2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2.75" customHeight="1" x14ac:dyDescent="0.2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2.75" customHeight="1" x14ac:dyDescent="0.2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2.75" customHeight="1" x14ac:dyDescent="0.2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2.75" customHeight="1" x14ac:dyDescent="0.2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2.75" customHeight="1" x14ac:dyDescent="0.2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2.75" customHeight="1" x14ac:dyDescent="0.2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2.75" customHeight="1" x14ac:dyDescent="0.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2.75" customHeight="1" x14ac:dyDescent="0.2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2.75" customHeight="1" x14ac:dyDescent="0.2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2.75" customHeight="1" x14ac:dyDescent="0.2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2.75" customHeight="1" x14ac:dyDescent="0.2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2.75" customHeight="1" x14ac:dyDescent="0.2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2.75" customHeight="1" x14ac:dyDescent="0.2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2.75" customHeight="1" x14ac:dyDescent="0.2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2.75" customHeight="1" x14ac:dyDescent="0.2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2.75" customHeight="1" x14ac:dyDescent="0.2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2.75" customHeight="1" x14ac:dyDescent="0.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2.75" customHeight="1" x14ac:dyDescent="0.2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2.75" customHeight="1" x14ac:dyDescent="0.2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2.75" customHeight="1" x14ac:dyDescent="0.2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2.75" customHeight="1" x14ac:dyDescent="0.2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2.75" customHeight="1" x14ac:dyDescent="0.2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2.75" customHeight="1" x14ac:dyDescent="0.2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2.75" customHeight="1" x14ac:dyDescent="0.2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2.75" customHeight="1" x14ac:dyDescent="0.2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2.75" customHeight="1" x14ac:dyDescent="0.2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2.75" customHeight="1" x14ac:dyDescent="0.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2.75" customHeight="1" x14ac:dyDescent="0.2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2.75" customHeight="1" x14ac:dyDescent="0.2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2.75" customHeight="1" x14ac:dyDescent="0.2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2.75" customHeight="1" x14ac:dyDescent="0.2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2.75" customHeight="1" x14ac:dyDescent="0.2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2.75" customHeight="1" x14ac:dyDescent="0.2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2.75" customHeight="1" x14ac:dyDescent="0.2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2.75" customHeight="1" x14ac:dyDescent="0.2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2.75" customHeight="1" x14ac:dyDescent="0.2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2.75" customHeight="1" x14ac:dyDescent="0.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2.75" customHeight="1" x14ac:dyDescent="0.2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2.75" customHeight="1" x14ac:dyDescent="0.2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2.75" customHeight="1" x14ac:dyDescent="0.2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2.75" customHeight="1" x14ac:dyDescent="0.2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2.75" customHeight="1" x14ac:dyDescent="0.2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2.75" customHeight="1" x14ac:dyDescent="0.2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2.75" customHeight="1" x14ac:dyDescent="0.2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2.75" customHeight="1" x14ac:dyDescent="0.2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2.75" customHeight="1" x14ac:dyDescent="0.2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2.75" customHeight="1" x14ac:dyDescent="0.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2.75" customHeight="1" x14ac:dyDescent="0.2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2.75" customHeight="1" x14ac:dyDescent="0.2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2.75" customHeight="1" x14ac:dyDescent="0.2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2.75" customHeight="1" x14ac:dyDescent="0.2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2.75" customHeight="1" x14ac:dyDescent="0.2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2.75" customHeight="1" x14ac:dyDescent="0.2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2.75" customHeight="1" x14ac:dyDescent="0.2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2.75" customHeight="1" x14ac:dyDescent="0.2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2.75" customHeight="1" x14ac:dyDescent="0.2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2.75" customHeight="1" x14ac:dyDescent="0.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2.75" customHeight="1" x14ac:dyDescent="0.2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2.75" customHeight="1" x14ac:dyDescent="0.2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2.75" customHeight="1" x14ac:dyDescent="0.2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2.75" customHeight="1" x14ac:dyDescent="0.2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2.75" customHeight="1" x14ac:dyDescent="0.2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2.75" customHeight="1" x14ac:dyDescent="0.2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2.75" customHeight="1" x14ac:dyDescent="0.2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2.75" customHeight="1" x14ac:dyDescent="0.2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2.75" customHeight="1" x14ac:dyDescent="0.2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2.75" customHeight="1" x14ac:dyDescent="0.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2.75" customHeight="1" x14ac:dyDescent="0.2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2.75" customHeight="1" x14ac:dyDescent="0.2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2.75" customHeight="1" x14ac:dyDescent="0.2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2.75" customHeight="1" x14ac:dyDescent="0.2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2.75" customHeight="1" x14ac:dyDescent="0.2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2.75" customHeight="1" x14ac:dyDescent="0.2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2.75" customHeight="1" x14ac:dyDescent="0.2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2.75" customHeight="1" x14ac:dyDescent="0.2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2.75" customHeight="1" x14ac:dyDescent="0.2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2.75" customHeight="1" x14ac:dyDescent="0.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2.75" customHeight="1" x14ac:dyDescent="0.2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2.75" customHeight="1" x14ac:dyDescent="0.2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2.75" customHeight="1" x14ac:dyDescent="0.2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2.75" customHeight="1" x14ac:dyDescent="0.2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2.75" customHeight="1" x14ac:dyDescent="0.2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2.75" customHeight="1" x14ac:dyDescent="0.2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2.75" customHeight="1" x14ac:dyDescent="0.2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2.75" customHeight="1" x14ac:dyDescent="0.2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2.75" customHeight="1" x14ac:dyDescent="0.2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2.75" customHeight="1" x14ac:dyDescent="0.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2.75" customHeight="1" x14ac:dyDescent="0.2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2.75" customHeight="1" x14ac:dyDescent="0.2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2.75" customHeight="1" x14ac:dyDescent="0.2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2.75" customHeight="1" x14ac:dyDescent="0.2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2.75" customHeight="1" x14ac:dyDescent="0.2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2.75" customHeight="1" x14ac:dyDescent="0.2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2.75" customHeight="1" x14ac:dyDescent="0.2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2.75" customHeight="1" x14ac:dyDescent="0.2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2.75" customHeight="1" x14ac:dyDescent="0.2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2.75" customHeight="1" x14ac:dyDescent="0.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2.75" customHeight="1" x14ac:dyDescent="0.2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2.75" customHeight="1" x14ac:dyDescent="0.2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2.75" customHeight="1" x14ac:dyDescent="0.2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2.75" customHeight="1" x14ac:dyDescent="0.2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2.75" customHeight="1" x14ac:dyDescent="0.2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2.75" customHeight="1" x14ac:dyDescent="0.2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2.75" customHeight="1" x14ac:dyDescent="0.2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2.75" customHeight="1" x14ac:dyDescent="0.2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2.75" customHeight="1" x14ac:dyDescent="0.2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2.75" customHeight="1" x14ac:dyDescent="0.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2.75" customHeight="1" x14ac:dyDescent="0.2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2.75" customHeight="1" x14ac:dyDescent="0.2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2.75" customHeight="1" x14ac:dyDescent="0.2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2.75" customHeight="1" x14ac:dyDescent="0.2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2.75" customHeight="1" x14ac:dyDescent="0.2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2.75" customHeight="1" x14ac:dyDescent="0.2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2.75" customHeight="1" x14ac:dyDescent="0.2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2.75" customHeight="1" x14ac:dyDescent="0.2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2.75" customHeight="1" x14ac:dyDescent="0.2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2.75" customHeight="1" x14ac:dyDescent="0.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2.75" customHeight="1" x14ac:dyDescent="0.2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2.75" customHeight="1" x14ac:dyDescent="0.2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2.75" customHeight="1" x14ac:dyDescent="0.2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2.75" customHeight="1" x14ac:dyDescent="0.2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2.75" customHeight="1" x14ac:dyDescent="0.2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2.75" customHeight="1" x14ac:dyDescent="0.2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2.75" customHeight="1" x14ac:dyDescent="0.2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2.75" customHeight="1" x14ac:dyDescent="0.2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2.75" customHeight="1" x14ac:dyDescent="0.2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2.75" customHeight="1" x14ac:dyDescent="0.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2.75" customHeight="1" x14ac:dyDescent="0.2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2.75" customHeight="1" x14ac:dyDescent="0.2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2.75" customHeight="1" x14ac:dyDescent="0.2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2.75" customHeight="1" x14ac:dyDescent="0.2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2.75" customHeight="1" x14ac:dyDescent="0.2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2.75" customHeight="1" x14ac:dyDescent="0.2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2.75" customHeight="1" x14ac:dyDescent="0.2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2.75" customHeight="1" x14ac:dyDescent="0.2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2.75" customHeight="1" x14ac:dyDescent="0.2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2.75" customHeight="1" x14ac:dyDescent="0.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2.75" customHeight="1" x14ac:dyDescent="0.2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2.75" customHeight="1" x14ac:dyDescent="0.2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2.75" customHeight="1" x14ac:dyDescent="0.2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2.75" customHeight="1" x14ac:dyDescent="0.2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2.75" customHeight="1" x14ac:dyDescent="0.2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2.75" customHeight="1" x14ac:dyDescent="0.2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2.75" customHeight="1" x14ac:dyDescent="0.2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2.75" customHeight="1" x14ac:dyDescent="0.2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2.75" customHeight="1" x14ac:dyDescent="0.2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2.75" customHeight="1" x14ac:dyDescent="0.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2.75" customHeight="1" x14ac:dyDescent="0.2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2.75" customHeight="1" x14ac:dyDescent="0.2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2.75" customHeight="1" x14ac:dyDescent="0.2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2.75" customHeight="1" x14ac:dyDescent="0.2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2.75" customHeight="1" x14ac:dyDescent="0.2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2.75" customHeight="1" x14ac:dyDescent="0.2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2.75" customHeight="1" x14ac:dyDescent="0.2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2.75" customHeight="1" x14ac:dyDescent="0.2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2.75" customHeight="1" x14ac:dyDescent="0.2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2.75" customHeight="1" x14ac:dyDescent="0.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2.75" customHeight="1" x14ac:dyDescent="0.2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2.75" customHeight="1" x14ac:dyDescent="0.2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2.75" customHeight="1" x14ac:dyDescent="0.2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2.75" customHeight="1" x14ac:dyDescent="0.2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2.75" customHeight="1" x14ac:dyDescent="0.2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2.75" customHeight="1" x14ac:dyDescent="0.2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2.75" customHeight="1" x14ac:dyDescent="0.2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2.75" customHeight="1" x14ac:dyDescent="0.2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2.75" customHeight="1" x14ac:dyDescent="0.2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2.75" customHeight="1" x14ac:dyDescent="0.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2.75" customHeight="1" x14ac:dyDescent="0.2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2.75" customHeight="1" x14ac:dyDescent="0.2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2.75" customHeight="1" x14ac:dyDescent="0.2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2.75" customHeight="1" x14ac:dyDescent="0.2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2.75" customHeight="1" x14ac:dyDescent="0.2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2.75" customHeight="1" x14ac:dyDescent="0.2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2.75" customHeight="1" x14ac:dyDescent="0.2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2.75" customHeight="1" x14ac:dyDescent="0.2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2.75" customHeight="1" x14ac:dyDescent="0.2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2.75" customHeight="1" x14ac:dyDescent="0.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2.75" customHeight="1" x14ac:dyDescent="0.2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2.75" customHeight="1" x14ac:dyDescent="0.2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2.75" customHeight="1" x14ac:dyDescent="0.2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2.75" customHeight="1" x14ac:dyDescent="0.2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2.75" customHeight="1" x14ac:dyDescent="0.2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2.75" customHeight="1" x14ac:dyDescent="0.2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2.75" customHeight="1" x14ac:dyDescent="0.2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2.75" customHeight="1" x14ac:dyDescent="0.2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2.75" customHeight="1" x14ac:dyDescent="0.2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2.75" customHeight="1" x14ac:dyDescent="0.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2.75" customHeight="1" x14ac:dyDescent="0.2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2.75" customHeight="1" x14ac:dyDescent="0.2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2.75" customHeight="1" x14ac:dyDescent="0.2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2.75" customHeight="1" x14ac:dyDescent="0.2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2.75" customHeight="1" x14ac:dyDescent="0.2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2.75" customHeight="1" x14ac:dyDescent="0.2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2.75" customHeight="1" x14ac:dyDescent="0.2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2.75" customHeight="1" x14ac:dyDescent="0.2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2.75" customHeight="1" x14ac:dyDescent="0.2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2.75" customHeight="1" x14ac:dyDescent="0.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2.75" customHeight="1" x14ac:dyDescent="0.2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2.75" customHeight="1" x14ac:dyDescent="0.2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2.75" customHeight="1" x14ac:dyDescent="0.2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2.75" customHeight="1" x14ac:dyDescent="0.2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2.75" customHeight="1" x14ac:dyDescent="0.2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2.75" customHeight="1" x14ac:dyDescent="0.2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2.75" customHeight="1" x14ac:dyDescent="0.2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2.75" customHeight="1" x14ac:dyDescent="0.2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2.75" customHeight="1" x14ac:dyDescent="0.2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2.75" customHeight="1" x14ac:dyDescent="0.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2.75" customHeight="1" x14ac:dyDescent="0.2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2.75" customHeight="1" x14ac:dyDescent="0.2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2.75" customHeight="1" x14ac:dyDescent="0.2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2.75" customHeight="1" x14ac:dyDescent="0.2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2.75" customHeight="1" x14ac:dyDescent="0.2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2.75" customHeight="1" x14ac:dyDescent="0.2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2.75" customHeight="1" x14ac:dyDescent="0.2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2.75" customHeight="1" x14ac:dyDescent="0.2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2.75" customHeight="1" x14ac:dyDescent="0.2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2.75" customHeight="1" x14ac:dyDescent="0.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2.75" customHeight="1" x14ac:dyDescent="0.2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2.75" customHeight="1" x14ac:dyDescent="0.2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2.75" customHeight="1" x14ac:dyDescent="0.2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2.75" customHeight="1" x14ac:dyDescent="0.2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2.75" customHeight="1" x14ac:dyDescent="0.2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2.75" customHeight="1" x14ac:dyDescent="0.2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2.75" customHeight="1" x14ac:dyDescent="0.2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2.75" customHeight="1" x14ac:dyDescent="0.2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2.75" customHeight="1" x14ac:dyDescent="0.2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2.75" customHeight="1" x14ac:dyDescent="0.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2.75" customHeight="1" x14ac:dyDescent="0.2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2.75" customHeight="1" x14ac:dyDescent="0.2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2.75" customHeight="1" x14ac:dyDescent="0.2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2.75" customHeight="1" x14ac:dyDescent="0.2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2.75" customHeight="1" x14ac:dyDescent="0.2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2.75" customHeight="1" x14ac:dyDescent="0.2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2.75" customHeight="1" x14ac:dyDescent="0.2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2.75" customHeight="1" x14ac:dyDescent="0.2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2.75" customHeight="1" x14ac:dyDescent="0.2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2.75" customHeight="1" x14ac:dyDescent="0.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2.75" customHeight="1" x14ac:dyDescent="0.2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2.75" customHeight="1" x14ac:dyDescent="0.2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2.75" customHeight="1" x14ac:dyDescent="0.2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2.75" customHeight="1" x14ac:dyDescent="0.2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2.75" customHeight="1" x14ac:dyDescent="0.2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2.75" customHeight="1" x14ac:dyDescent="0.2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2.75" customHeight="1" x14ac:dyDescent="0.2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2.75" customHeight="1" x14ac:dyDescent="0.2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2.75" customHeight="1" x14ac:dyDescent="0.2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2.75" customHeight="1" x14ac:dyDescent="0.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2.75" customHeight="1" x14ac:dyDescent="0.2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2.75" customHeight="1" x14ac:dyDescent="0.2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2.75" customHeight="1" x14ac:dyDescent="0.2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2.75" customHeight="1" x14ac:dyDescent="0.2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2.75" customHeight="1" x14ac:dyDescent="0.2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2.75" customHeight="1" x14ac:dyDescent="0.2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2.75" customHeight="1" x14ac:dyDescent="0.2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2.75" customHeight="1" x14ac:dyDescent="0.2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2.75" customHeight="1" x14ac:dyDescent="0.2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2.75" customHeight="1" x14ac:dyDescent="0.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2.75" customHeight="1" x14ac:dyDescent="0.2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2.75" customHeight="1" x14ac:dyDescent="0.2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2.75" customHeight="1" x14ac:dyDescent="0.2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2.75" customHeight="1" x14ac:dyDescent="0.2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2.75" customHeight="1" x14ac:dyDescent="0.2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2.75" customHeight="1" x14ac:dyDescent="0.2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2.75" customHeight="1" x14ac:dyDescent="0.2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2.75" customHeight="1" x14ac:dyDescent="0.2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2.75" customHeight="1" x14ac:dyDescent="0.2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2.75" customHeight="1" x14ac:dyDescent="0.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2.75" customHeight="1" x14ac:dyDescent="0.2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2.75" customHeight="1" x14ac:dyDescent="0.2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2.75" customHeight="1" x14ac:dyDescent="0.2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2.75" customHeight="1" x14ac:dyDescent="0.2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2.75" customHeight="1" x14ac:dyDescent="0.2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2.75" customHeight="1" x14ac:dyDescent="0.2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2.75" customHeight="1" x14ac:dyDescent="0.2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2.75" customHeight="1" x14ac:dyDescent="0.2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2.75" customHeight="1" x14ac:dyDescent="0.2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2.75" customHeight="1" x14ac:dyDescent="0.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2.75" customHeight="1" x14ac:dyDescent="0.2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2.75" customHeight="1" x14ac:dyDescent="0.2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2.75" customHeight="1" x14ac:dyDescent="0.2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2.75" customHeight="1" x14ac:dyDescent="0.2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2.75" customHeight="1" x14ac:dyDescent="0.2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2.75" customHeight="1" x14ac:dyDescent="0.2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2.75" customHeight="1" x14ac:dyDescent="0.2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2.75" customHeight="1" x14ac:dyDescent="0.2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2.75" customHeight="1" x14ac:dyDescent="0.2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2.75" customHeight="1" x14ac:dyDescent="0.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2.75" customHeight="1" x14ac:dyDescent="0.2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2.75" customHeight="1" x14ac:dyDescent="0.2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2.75" customHeight="1" x14ac:dyDescent="0.2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2.75" customHeight="1" x14ac:dyDescent="0.2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2.75" customHeight="1" x14ac:dyDescent="0.2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2.75" customHeight="1" x14ac:dyDescent="0.2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2.75" customHeight="1" x14ac:dyDescent="0.2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2.75" customHeight="1" x14ac:dyDescent="0.2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2.75" customHeight="1" x14ac:dyDescent="0.2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2.75" customHeight="1" x14ac:dyDescent="0.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2.75" customHeight="1" x14ac:dyDescent="0.2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2.75" customHeight="1" x14ac:dyDescent="0.2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2.75" customHeight="1" x14ac:dyDescent="0.2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2.75" customHeight="1" x14ac:dyDescent="0.2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2.75" customHeight="1" x14ac:dyDescent="0.2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2.75" customHeight="1" x14ac:dyDescent="0.2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2.75" customHeight="1" x14ac:dyDescent="0.2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2.75" customHeight="1" x14ac:dyDescent="0.2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2.75" customHeight="1" x14ac:dyDescent="0.2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2.75" customHeight="1" x14ac:dyDescent="0.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2.75" customHeight="1" x14ac:dyDescent="0.2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2.75" customHeight="1" x14ac:dyDescent="0.2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2.75" customHeight="1" x14ac:dyDescent="0.2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2.75" customHeight="1" x14ac:dyDescent="0.2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2.75" customHeight="1" x14ac:dyDescent="0.2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2.75" customHeight="1" x14ac:dyDescent="0.2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2.75" customHeight="1" x14ac:dyDescent="0.2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2.75" customHeight="1" x14ac:dyDescent="0.2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2.75" customHeight="1" x14ac:dyDescent="0.2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2.75" customHeight="1" x14ac:dyDescent="0.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2.75" customHeight="1" x14ac:dyDescent="0.2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2.75" customHeight="1" x14ac:dyDescent="0.2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2.75" customHeight="1" x14ac:dyDescent="0.2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2.75" customHeight="1" x14ac:dyDescent="0.2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2.75" customHeight="1" x14ac:dyDescent="0.2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2.75" customHeight="1" x14ac:dyDescent="0.2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2.75" customHeight="1" x14ac:dyDescent="0.2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2.75" customHeight="1" x14ac:dyDescent="0.2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2.75" customHeight="1" x14ac:dyDescent="0.2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2.75" customHeight="1" x14ac:dyDescent="0.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2.75" customHeight="1" x14ac:dyDescent="0.2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2.75" customHeight="1" x14ac:dyDescent="0.2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2.75" customHeight="1" x14ac:dyDescent="0.2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2.75" customHeight="1" x14ac:dyDescent="0.2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2.75" customHeight="1" x14ac:dyDescent="0.2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2.75" customHeight="1" x14ac:dyDescent="0.2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2.75" customHeight="1" x14ac:dyDescent="0.2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2.75" customHeight="1" x14ac:dyDescent="0.2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2.75" customHeight="1" x14ac:dyDescent="0.2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2.75" customHeight="1" x14ac:dyDescent="0.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2.75" customHeight="1" x14ac:dyDescent="0.2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2.75" customHeight="1" x14ac:dyDescent="0.2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2.75" customHeight="1" x14ac:dyDescent="0.2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2.75" customHeight="1" x14ac:dyDescent="0.2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2.75" customHeight="1" x14ac:dyDescent="0.2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2.75" customHeight="1" x14ac:dyDescent="0.2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2.75" customHeight="1" x14ac:dyDescent="0.2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2.75" customHeight="1" x14ac:dyDescent="0.2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2.75" customHeight="1" x14ac:dyDescent="0.2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2.75" customHeight="1" x14ac:dyDescent="0.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2.75" customHeight="1" x14ac:dyDescent="0.2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2.75" customHeight="1" x14ac:dyDescent="0.2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2.75" customHeight="1" x14ac:dyDescent="0.2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2.75" customHeight="1" x14ac:dyDescent="0.2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2.75" customHeight="1" x14ac:dyDescent="0.2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2.75" customHeight="1" x14ac:dyDescent="0.2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2.75" customHeight="1" x14ac:dyDescent="0.2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2.75" customHeight="1" x14ac:dyDescent="0.2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2.75" customHeight="1" x14ac:dyDescent="0.2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2.75" customHeight="1" x14ac:dyDescent="0.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2.75" customHeight="1" x14ac:dyDescent="0.2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2.75" customHeight="1" x14ac:dyDescent="0.2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2.75" customHeight="1" x14ac:dyDescent="0.2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2.75" customHeight="1" x14ac:dyDescent="0.2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2.75" customHeight="1" x14ac:dyDescent="0.2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2.75" customHeight="1" x14ac:dyDescent="0.2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2.75" customHeight="1" x14ac:dyDescent="0.2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2.75" customHeight="1" x14ac:dyDescent="0.2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2.75" customHeight="1" x14ac:dyDescent="0.2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2.75" customHeight="1" x14ac:dyDescent="0.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2.75" customHeight="1" x14ac:dyDescent="0.2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2.75" customHeight="1" x14ac:dyDescent="0.2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2.75" customHeight="1" x14ac:dyDescent="0.2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2.75" customHeight="1" x14ac:dyDescent="0.2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2.75" customHeight="1" x14ac:dyDescent="0.2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2.75" customHeight="1" x14ac:dyDescent="0.2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2.75" customHeight="1" x14ac:dyDescent="0.2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2.75" customHeight="1" x14ac:dyDescent="0.2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2.75" customHeight="1" x14ac:dyDescent="0.2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2.75" customHeight="1" x14ac:dyDescent="0.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2.75" customHeight="1" x14ac:dyDescent="0.2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2.75" customHeight="1" x14ac:dyDescent="0.2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2.75" customHeight="1" x14ac:dyDescent="0.2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2.75" customHeight="1" x14ac:dyDescent="0.2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2.75" customHeight="1" x14ac:dyDescent="0.2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2.75" customHeight="1" x14ac:dyDescent="0.2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2.75" customHeight="1" x14ac:dyDescent="0.2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2.75" customHeight="1" x14ac:dyDescent="0.2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2.75" customHeight="1" x14ac:dyDescent="0.2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2.75" customHeight="1" x14ac:dyDescent="0.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2.75" customHeight="1" x14ac:dyDescent="0.2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2.75" customHeight="1" x14ac:dyDescent="0.2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2.75" customHeight="1" x14ac:dyDescent="0.2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2.75" customHeight="1" x14ac:dyDescent="0.2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2.75" customHeight="1" x14ac:dyDescent="0.2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2.75" customHeight="1" x14ac:dyDescent="0.2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2.75" customHeight="1" x14ac:dyDescent="0.2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2.75" customHeight="1" x14ac:dyDescent="0.2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2.75" customHeight="1" x14ac:dyDescent="0.2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2.75" customHeight="1" x14ac:dyDescent="0.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2.75" customHeight="1" x14ac:dyDescent="0.2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2.75" customHeight="1" x14ac:dyDescent="0.2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2.75" customHeight="1" x14ac:dyDescent="0.2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2.75" customHeight="1" x14ac:dyDescent="0.2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2.75" customHeight="1" x14ac:dyDescent="0.2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2.75" customHeight="1" x14ac:dyDescent="0.2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2.75" customHeight="1" x14ac:dyDescent="0.2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2.75" customHeight="1" x14ac:dyDescent="0.2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2.75" customHeight="1" x14ac:dyDescent="0.2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2.75" customHeight="1" x14ac:dyDescent="0.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2.75" customHeight="1" x14ac:dyDescent="0.2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2.75" customHeight="1" x14ac:dyDescent="0.2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2.75" customHeight="1" x14ac:dyDescent="0.2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2.75" customHeight="1" x14ac:dyDescent="0.2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2.75" customHeight="1" x14ac:dyDescent="0.2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2.75" customHeight="1" x14ac:dyDescent="0.2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2.75" customHeight="1" x14ac:dyDescent="0.2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2.75" customHeight="1" x14ac:dyDescent="0.2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2.75" customHeight="1" x14ac:dyDescent="0.2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2.75" customHeight="1" x14ac:dyDescent="0.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2.75" customHeight="1" x14ac:dyDescent="0.2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2.75" customHeight="1" x14ac:dyDescent="0.2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2.75" customHeight="1" x14ac:dyDescent="0.2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2.75" customHeight="1" x14ac:dyDescent="0.2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2.75" customHeight="1" x14ac:dyDescent="0.2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</sheetData>
  <mergeCells count="16">
    <mergeCell ref="T2:AA2"/>
    <mergeCell ref="T5:AA5"/>
    <mergeCell ref="AC2:AJ2"/>
    <mergeCell ref="AC5:AJ5"/>
    <mergeCell ref="AL2:AS2"/>
    <mergeCell ref="AL5:AS5"/>
    <mergeCell ref="B2:I2"/>
    <mergeCell ref="B5:I5"/>
    <mergeCell ref="C22:K22"/>
    <mergeCell ref="B23:G23"/>
    <mergeCell ref="B25:B26"/>
    <mergeCell ref="C25:G25"/>
    <mergeCell ref="K2:R2"/>
    <mergeCell ref="K5:R5"/>
    <mergeCell ref="L23:M23"/>
    <mergeCell ref="L24:M2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Resumen del escenario</vt:lpstr>
      <vt:lpstr>Sensibilidad</vt:lpstr>
      <vt:lpstr>Resumen</vt:lpstr>
      <vt:lpstr>Presupuesto de ventas</vt:lpstr>
      <vt:lpstr>INVERSION INICIAL</vt:lpstr>
      <vt:lpstr>Depreciacion y VR</vt:lpstr>
      <vt:lpstr>Capital de Trabajo (kw)</vt:lpstr>
      <vt:lpstr>SUELDO BASE</vt:lpstr>
      <vt:lpstr>Planilla</vt:lpstr>
      <vt:lpstr>costos por mes</vt:lpstr>
      <vt:lpstr>Costos_Ventas</vt:lpstr>
      <vt:lpstr>Gastos Operativos</vt:lpstr>
      <vt:lpstr>Flujo_Deuda</vt:lpstr>
      <vt:lpstr>Costos_Unitario </vt:lpstr>
      <vt:lpstr>PUNTO DE EQUILIBRIO</vt:lpstr>
      <vt:lpstr>ESTADO RESULTADOS </vt:lpstr>
      <vt:lpstr>IGV</vt:lpstr>
      <vt:lpstr> Ku COK</vt:lpstr>
      <vt:lpstr>Ke y Kwacc WACC</vt:lpstr>
      <vt:lpstr>Flujos de Caja</vt:lpstr>
      <vt:lpstr>Rentabilidad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2021-02-13T22:18:51Z</dcterms:created>
  <dcterms:modified xsi:type="dcterms:W3CDTF">2021-07-08T23:31:55Z</dcterms:modified>
</cp:coreProperties>
</file>