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esktop\EVALUACION PRIVADA - CASOS\"/>
    </mc:Choice>
  </mc:AlternateContent>
  <bookViews>
    <workbookView xWindow="0" yWindow="0" windowWidth="8955" windowHeight="6180" activeTab="1"/>
  </bookViews>
  <sheets>
    <sheet name="FORMATO A" sheetId="2" r:id="rId1"/>
    <sheet name="formato B" sheetId="1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G66" i="1" l="1"/>
  <c r="G60" i="1"/>
  <c r="G59" i="1"/>
  <c r="G84" i="2"/>
  <c r="D82" i="2"/>
  <c r="E82" i="2"/>
  <c r="F82" i="2"/>
  <c r="G82" i="2"/>
  <c r="G83" i="2" s="1"/>
  <c r="D83" i="2"/>
  <c r="E83" i="2"/>
  <c r="F83" i="2"/>
  <c r="C82" i="2"/>
  <c r="D77" i="2"/>
  <c r="E77" i="2"/>
  <c r="F77" i="2"/>
  <c r="G77" i="2"/>
  <c r="C77" i="2"/>
  <c r="O38" i="2"/>
  <c r="L32" i="2"/>
  <c r="M32" i="2"/>
  <c r="M34" i="2" s="1"/>
  <c r="M39" i="2" s="1"/>
  <c r="N32" i="2"/>
  <c r="O32" i="2"/>
  <c r="O34" i="2" s="1"/>
  <c r="O39" i="2" s="1"/>
  <c r="K32" i="2"/>
  <c r="O37" i="2"/>
  <c r="N37" i="2"/>
  <c r="M37" i="2"/>
  <c r="L37" i="2"/>
  <c r="K37" i="2"/>
  <c r="O36" i="2"/>
  <c r="N36" i="2"/>
  <c r="M36" i="2"/>
  <c r="L36" i="2"/>
  <c r="K36" i="2"/>
  <c r="O35" i="2"/>
  <c r="N35" i="2"/>
  <c r="M35" i="2"/>
  <c r="L35" i="2"/>
  <c r="K35" i="2"/>
  <c r="K34" i="2"/>
  <c r="K39" i="2" s="1"/>
  <c r="N34" i="2"/>
  <c r="N39" i="2" s="1"/>
  <c r="L34" i="2"/>
  <c r="L39" i="2" s="1"/>
  <c r="L40" i="2" l="1"/>
  <c r="L41" i="2"/>
  <c r="M40" i="2"/>
  <c r="M41" i="2"/>
  <c r="K40" i="2"/>
  <c r="K41" i="2" s="1"/>
  <c r="N40" i="2"/>
  <c r="N41" i="2" s="1"/>
  <c r="O40" i="2"/>
  <c r="O41" i="2" s="1"/>
  <c r="B84" i="2"/>
  <c r="B79" i="2"/>
  <c r="C71" i="2"/>
  <c r="D71" i="2"/>
  <c r="E71" i="2"/>
  <c r="F71" i="2"/>
  <c r="G71" i="2"/>
  <c r="B71" i="2"/>
  <c r="G69" i="2"/>
  <c r="B78" i="2"/>
  <c r="B58" i="2"/>
  <c r="E51" i="2"/>
  <c r="F51" i="2"/>
  <c r="B48" i="2"/>
  <c r="B47" i="2"/>
  <c r="B51" i="2" s="1"/>
  <c r="B59" i="2" s="1"/>
  <c r="G38" i="2"/>
  <c r="D37" i="2"/>
  <c r="E37" i="2"/>
  <c r="F37" i="2"/>
  <c r="G37" i="2"/>
  <c r="C37" i="2"/>
  <c r="D36" i="2"/>
  <c r="E36" i="2"/>
  <c r="F36" i="2"/>
  <c r="G36" i="2"/>
  <c r="C36" i="2"/>
  <c r="D35" i="2"/>
  <c r="E35" i="2"/>
  <c r="F35" i="2"/>
  <c r="G35" i="2"/>
  <c r="C35" i="2"/>
  <c r="D33" i="2"/>
  <c r="E33" i="2"/>
  <c r="F33" i="2"/>
  <c r="G33" i="2"/>
  <c r="C33" i="2"/>
  <c r="C32" i="2"/>
  <c r="C97" i="2"/>
  <c r="C99" i="2" s="1"/>
  <c r="B68" i="2"/>
  <c r="B81" i="2"/>
  <c r="B83" i="2" s="1"/>
  <c r="B67" i="2"/>
  <c r="C109" i="2"/>
  <c r="G76" i="2"/>
  <c r="F76" i="2"/>
  <c r="E76" i="2"/>
  <c r="D76" i="2"/>
  <c r="C76" i="2"/>
  <c r="G75" i="2"/>
  <c r="F75" i="2"/>
  <c r="E75" i="2"/>
  <c r="D75" i="2"/>
  <c r="C75" i="2"/>
  <c r="D73" i="2"/>
  <c r="G56" i="2"/>
  <c r="F56" i="2"/>
  <c r="E56" i="2"/>
  <c r="D56" i="2"/>
  <c r="C56" i="2"/>
  <c r="G55" i="2"/>
  <c r="F55" i="2"/>
  <c r="E55" i="2"/>
  <c r="D55" i="2"/>
  <c r="C55" i="2"/>
  <c r="G54" i="2"/>
  <c r="F54" i="2"/>
  <c r="E54" i="2"/>
  <c r="D54" i="2"/>
  <c r="C54" i="2"/>
  <c r="D53" i="2"/>
  <c r="E53" i="2" s="1"/>
  <c r="B5" i="2"/>
  <c r="C4" i="2"/>
  <c r="C5" i="2" s="1"/>
  <c r="C22" i="2" s="1"/>
  <c r="C48" i="2" s="1"/>
  <c r="C51" i="2" s="1"/>
  <c r="C34" i="2" l="1"/>
  <c r="C39" i="2" s="1"/>
  <c r="C40" i="2" s="1"/>
  <c r="C78" i="2" s="1"/>
  <c r="C79" i="2" s="1"/>
  <c r="D4" i="2"/>
  <c r="D32" i="2"/>
  <c r="D34" i="2" s="1"/>
  <c r="D39" i="2" s="1"/>
  <c r="C68" i="2"/>
  <c r="D22" i="2"/>
  <c r="D48" i="2" s="1"/>
  <c r="F53" i="2"/>
  <c r="C100" i="2"/>
  <c r="C101" i="2" s="1"/>
  <c r="C103" i="2" s="1"/>
  <c r="E73" i="2"/>
  <c r="C34" i="1"/>
  <c r="C32" i="1"/>
  <c r="B5" i="1"/>
  <c r="G49" i="2" l="1"/>
  <c r="G51" i="2" s="1"/>
  <c r="D51" i="2"/>
  <c r="C41" i="2"/>
  <c r="C83" i="2" s="1"/>
  <c r="C84" i="2" s="1"/>
  <c r="C57" i="2"/>
  <c r="C58" i="2" s="1"/>
  <c r="C59" i="2" s="1"/>
  <c r="D5" i="2"/>
  <c r="E32" i="2"/>
  <c r="E34" i="2" s="1"/>
  <c r="E39" i="2" s="1"/>
  <c r="D40" i="2"/>
  <c r="D78" i="2" s="1"/>
  <c r="D79" i="2" s="1"/>
  <c r="E4" i="2"/>
  <c r="F32" i="2" s="1"/>
  <c r="F34" i="2" s="1"/>
  <c r="F39" i="2" s="1"/>
  <c r="F73" i="2"/>
  <c r="G53" i="2"/>
  <c r="D68" i="2"/>
  <c r="C79" i="1"/>
  <c r="C81" i="1" s="1"/>
  <c r="B62" i="1"/>
  <c r="B63" i="1"/>
  <c r="B61" i="1"/>
  <c r="G55" i="1"/>
  <c r="F55" i="1"/>
  <c r="E55" i="1"/>
  <c r="E60" i="1" s="1"/>
  <c r="D55" i="1"/>
  <c r="D60" i="1" s="1"/>
  <c r="C55" i="1"/>
  <c r="C60" i="1" s="1"/>
  <c r="G54" i="1"/>
  <c r="F54" i="1"/>
  <c r="E54" i="1"/>
  <c r="D54" i="1"/>
  <c r="C54" i="1"/>
  <c r="G53" i="1"/>
  <c r="F53" i="1"/>
  <c r="E53" i="1"/>
  <c r="D53" i="1"/>
  <c r="C53" i="1"/>
  <c r="D51" i="1"/>
  <c r="E51" i="1" s="1"/>
  <c r="B42" i="1"/>
  <c r="B41" i="1"/>
  <c r="D35" i="1"/>
  <c r="D40" i="1" s="1"/>
  <c r="E35" i="1"/>
  <c r="E40" i="1" s="1"/>
  <c r="F35" i="1"/>
  <c r="F40" i="1" s="1"/>
  <c r="G35" i="1"/>
  <c r="G40" i="1" s="1"/>
  <c r="C35" i="1"/>
  <c r="D34" i="1"/>
  <c r="E34" i="1"/>
  <c r="F34" i="1"/>
  <c r="G34" i="1"/>
  <c r="D33" i="1"/>
  <c r="E33" i="1"/>
  <c r="F33" i="1"/>
  <c r="G33" i="1"/>
  <c r="C33" i="1"/>
  <c r="C37" i="1" s="1"/>
  <c r="D32" i="1"/>
  <c r="E32" i="1"/>
  <c r="F32" i="1"/>
  <c r="G32" i="1"/>
  <c r="D31" i="1"/>
  <c r="E31" i="1" s="1"/>
  <c r="C4" i="1"/>
  <c r="C5" i="1" s="1"/>
  <c r="G70" i="2" l="1"/>
  <c r="F4" i="2"/>
  <c r="F5" i="2" s="1"/>
  <c r="C93" i="2"/>
  <c r="E5" i="2"/>
  <c r="D41" i="2"/>
  <c r="D84" i="2" s="1"/>
  <c r="D57" i="2"/>
  <c r="D58" i="2" s="1"/>
  <c r="D59" i="2" s="1"/>
  <c r="E40" i="2"/>
  <c r="E78" i="2" s="1"/>
  <c r="E79" i="2" s="1"/>
  <c r="F40" i="2"/>
  <c r="F78" i="2" s="1"/>
  <c r="F79" i="2" s="1"/>
  <c r="C104" i="2"/>
  <c r="C105" i="2" s="1"/>
  <c r="C94" i="2"/>
  <c r="G73" i="2"/>
  <c r="F60" i="1"/>
  <c r="C91" i="1"/>
  <c r="B66" i="1"/>
  <c r="C40" i="1"/>
  <c r="G36" i="1"/>
  <c r="C82" i="1"/>
  <c r="C83" i="1" s="1"/>
  <c r="C85" i="1" s="1"/>
  <c r="B44" i="1"/>
  <c r="E57" i="1"/>
  <c r="E58" i="1" s="1"/>
  <c r="E59" i="1" s="1"/>
  <c r="E65" i="1" s="1"/>
  <c r="D57" i="1"/>
  <c r="D58" i="1" s="1"/>
  <c r="D59" i="1" s="1"/>
  <c r="D65" i="1" s="1"/>
  <c r="G56" i="1"/>
  <c r="C57" i="1"/>
  <c r="C58" i="1" s="1"/>
  <c r="C59" i="1" s="1"/>
  <c r="C65" i="1" s="1"/>
  <c r="F51" i="1"/>
  <c r="C38" i="1"/>
  <c r="C39" i="1" s="1"/>
  <c r="C22" i="1"/>
  <c r="E37" i="1"/>
  <c r="F31" i="1"/>
  <c r="D37" i="1"/>
  <c r="D4" i="1"/>
  <c r="G32" i="2" l="1"/>
  <c r="G34" i="2" s="1"/>
  <c r="G39" i="2" s="1"/>
  <c r="G40" i="2" s="1"/>
  <c r="G78" i="2" s="1"/>
  <c r="G79" i="2" s="1"/>
  <c r="E41" i="2"/>
  <c r="E84" i="2" s="1"/>
  <c r="E57" i="2"/>
  <c r="E58" i="2" s="1"/>
  <c r="E59" i="2" s="1"/>
  <c r="F41" i="2"/>
  <c r="F84" i="2" s="1"/>
  <c r="F57" i="2"/>
  <c r="F58" i="2" s="1"/>
  <c r="F59" i="2" s="1"/>
  <c r="G57" i="2"/>
  <c r="G58" i="2" s="1"/>
  <c r="G59" i="2" s="1"/>
  <c r="C63" i="1"/>
  <c r="C66" i="1" s="1"/>
  <c r="C42" i="1"/>
  <c r="F57" i="1"/>
  <c r="G51" i="1"/>
  <c r="G57" i="1" s="1"/>
  <c r="D22" i="1"/>
  <c r="E4" i="1"/>
  <c r="D5" i="1"/>
  <c r="D38" i="1"/>
  <c r="D39" i="1" s="1"/>
  <c r="G31" i="1"/>
  <c r="F37" i="1"/>
  <c r="E38" i="1"/>
  <c r="E39" i="1" s="1"/>
  <c r="E44" i="1" s="1"/>
  <c r="C108" i="2" l="1"/>
  <c r="C111" i="2" s="1"/>
  <c r="B61" i="2"/>
  <c r="B62" i="2"/>
  <c r="G41" i="2"/>
  <c r="G37" i="1"/>
  <c r="G38" i="1" s="1"/>
  <c r="G39" i="1" s="1"/>
  <c r="C44" i="1"/>
  <c r="E66" i="1"/>
  <c r="D63" i="1"/>
  <c r="D42" i="1"/>
  <c r="G43" i="1" s="1"/>
  <c r="G58" i="1"/>
  <c r="F58" i="1"/>
  <c r="F59" i="1" s="1"/>
  <c r="F65" i="1" s="1"/>
  <c r="F4" i="1"/>
  <c r="F5" i="1" s="1"/>
  <c r="E5" i="1"/>
  <c r="F38" i="1"/>
  <c r="F39" i="1" s="1"/>
  <c r="F44" i="1" s="1"/>
  <c r="C90" i="1" s="1"/>
  <c r="C93" i="1" s="1"/>
  <c r="G65" i="1" l="1"/>
  <c r="B88" i="2"/>
  <c r="B87" i="2"/>
  <c r="D44" i="1"/>
  <c r="B47" i="1"/>
  <c r="G64" i="1"/>
  <c r="C75" i="1" s="1"/>
  <c r="C76" i="1" s="1"/>
  <c r="C86" i="1" l="1"/>
  <c r="C87" i="1" s="1"/>
  <c r="B46" i="1"/>
  <c r="F66" i="1"/>
  <c r="D66" i="1"/>
  <c r="B70" i="1" l="1"/>
  <c r="B69" i="1"/>
</calcChain>
</file>

<file path=xl/sharedStrings.xml><?xml version="1.0" encoding="utf-8"?>
<sst xmlns="http://schemas.openxmlformats.org/spreadsheetml/2006/main" count="236" uniqueCount="84">
  <si>
    <t>M&amp;T SOLUCIONES</t>
  </si>
  <si>
    <t>DATOS</t>
  </si>
  <si>
    <t>VENTAS</t>
  </si>
  <si>
    <t>MENSUALES</t>
  </si>
  <si>
    <t>ESTRUCTURA ADMINISTRATIVA</t>
  </si>
  <si>
    <t>INVERSIÓN</t>
  </si>
  <si>
    <t>EQUIPOS TECNOLÓGICOS</t>
  </si>
  <si>
    <t>EMPRESA</t>
  </si>
  <si>
    <t>CAPITAL DE TRABAJO</t>
  </si>
  <si>
    <t>KW</t>
  </si>
  <si>
    <t>IMPUESTO</t>
  </si>
  <si>
    <t>DESCRIPCIÓN</t>
  </si>
  <si>
    <t>ARRIENDO</t>
  </si>
  <si>
    <t>COSTO DE SERVICIO (-)</t>
  </si>
  <si>
    <t>ARRIENDO (-)</t>
  </si>
  <si>
    <t>GASTOS DE ADMINISTRACIÓN</t>
  </si>
  <si>
    <t>GASTOS DE ADMINISTRACIÓN (-)</t>
  </si>
  <si>
    <t>DEPRECIACIONES (-)</t>
  </si>
  <si>
    <t>UTILIDAD ANTES DE IMPUESTOS</t>
  </si>
  <si>
    <t>UTILIDAD NETA</t>
  </si>
  <si>
    <t>IMPUESTOS (-)</t>
  </si>
  <si>
    <t>DEPRECIACIONES (+)</t>
  </si>
  <si>
    <t>VALOR DE RECUPERO DE CAPITAL DE TRABAJO</t>
  </si>
  <si>
    <t>FLUJO NETO</t>
  </si>
  <si>
    <t>VAN 14%</t>
  </si>
  <si>
    <t>TIR</t>
  </si>
  <si>
    <t>UTILIDAD POR VENTA DE ACTIVOS</t>
  </si>
  <si>
    <t>RENTABILIDAD DEL PROYECTO</t>
  </si>
  <si>
    <t>RENTABILIDAD DEL INVERSIONISTA</t>
  </si>
  <si>
    <t>APORTE DE M&amp;T SOLUCIONES</t>
  </si>
  <si>
    <t>FLUJO DE CAJA DEL INVERSIONISTA</t>
  </si>
  <si>
    <t>VAN</t>
  </si>
  <si>
    <t>MÉTODO COMERCIAL</t>
  </si>
  <si>
    <t>VENTA DE ACTIVOS</t>
  </si>
  <si>
    <t>VALOR EN LIBRO</t>
  </si>
  <si>
    <t>UTILIDAD ANTES DE IMPUESTO</t>
  </si>
  <si>
    <t>MÉTODO CONTABLE</t>
  </si>
  <si>
    <t>=</t>
  </si>
  <si>
    <t>VD ACTIVOS</t>
  </si>
  <si>
    <t>VR KW</t>
  </si>
  <si>
    <t>VALOR DE RECUPERO DE ACTIVO</t>
  </si>
  <si>
    <t>MÉTODO ECONÓMICO</t>
  </si>
  <si>
    <t>FLUJO DE CAJA REPRESENTATIVO</t>
  </si>
  <si>
    <t>DEPRECIACIÓN ANUAL</t>
  </si>
  <si>
    <t>TASA DE DESCUENTO</t>
  </si>
  <si>
    <t>VENTA AL 5TO AÑO</t>
  </si>
  <si>
    <t>TASA  DE DEPRECIACIÓN</t>
  </si>
  <si>
    <t>FLUJO NETO DEL PROYECTO</t>
  </si>
  <si>
    <t>K</t>
  </si>
  <si>
    <t>VALORES DE RECUPERO</t>
  </si>
  <si>
    <t>VR DEL PROYECTO</t>
  </si>
  <si>
    <t xml:space="preserve"> (ESTABLE A PARTIR DEL TERCER AÑO)</t>
  </si>
  <si>
    <t>VARIACIÓN DE VENTAS</t>
  </si>
  <si>
    <t>PROPUESTA DE NEGOCIACIÓN</t>
  </si>
  <si>
    <t>APORTE DE INVERSIÓN Y DIVIDENDOS</t>
  </si>
  <si>
    <t>VARIACIÓN DE KW</t>
  </si>
  <si>
    <t>FLUJO DE CAJA DEL PROYECTO (FCE)</t>
  </si>
  <si>
    <t>SOLUCIÓN</t>
  </si>
  <si>
    <t>DIVIDENDO DE M&amp;T SOLUCIONES (-)</t>
  </si>
  <si>
    <t>OTRAS EMPRESAS (PROMEDIO)</t>
  </si>
  <si>
    <t>ESTADO DE RESULTADOS</t>
  </si>
  <si>
    <t>RUBRO</t>
  </si>
  <si>
    <t>Ventas</t>
  </si>
  <si>
    <t>costo de ventas</t>
  </si>
  <si>
    <t>Alquiler del local</t>
  </si>
  <si>
    <t>Gastos de Administracion</t>
  </si>
  <si>
    <t>Depreciaciones</t>
  </si>
  <si>
    <t>Utilidad Bruta</t>
  </si>
  <si>
    <t>Utilidad venta equipo</t>
  </si>
  <si>
    <t>Utilidad antes de impuestos</t>
  </si>
  <si>
    <t>Impuesto a la renta</t>
  </si>
  <si>
    <t>Utilidad neta</t>
  </si>
  <si>
    <t>FLUJO DE CAJA DEL PROYECTO</t>
  </si>
  <si>
    <t>FLUJO DE INVERSIÓN Y LIQUIDACION</t>
  </si>
  <si>
    <t>TOTAL FLUJO DE CAJA DE I Y L.</t>
  </si>
  <si>
    <t>VENTA DE ACTIVO FIJO</t>
  </si>
  <si>
    <t>FLUJO DE CAJA OPERATIVO</t>
  </si>
  <si>
    <t>TOTAL FLUJO DE CAJA OPERATIVO</t>
  </si>
  <si>
    <t>TOTAL FLUJO DE INVERSION Y LIQUIDACION</t>
  </si>
  <si>
    <t>FLUJO DE FINANCIAMIENTO</t>
  </si>
  <si>
    <t>TOTAL FLUJO DE FINANCIAMIENTO</t>
  </si>
  <si>
    <t>VALOR DE VENTA ACTIVO FIJO</t>
  </si>
  <si>
    <t>FLUJO DE CAJA ECONOMICO</t>
  </si>
  <si>
    <t>FLUJO DE CAJA FINANCIERO O INVERSIONISTA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</si>
</sst>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S/&quot;#,##0.00;[Red]\-&quot;S/&quot;#,##0.00"/>
    <numFmt numFmtId="164" formatCode="0.000000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8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9" fontId="0" fillId="0" borderId="0" xfId="0" applyNumberForma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4" fillId="0" borderId="0" xfId="0" applyFont="1"/>
    <xf numFmtId="0" fontId="4" fillId="0" borderId="0" xfId="0" applyFont="1" applyFill="1" applyBorder="1"/>
    <xf numFmtId="0" fontId="1" fillId="0" borderId="1" xfId="0" applyFont="1" applyBorder="1" applyAlignment="1">
      <alignment wrapText="1"/>
    </xf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3" borderId="1" xfId="0" applyFont="1" applyFill="1" applyBorder="1"/>
    <xf numFmtId="0" fontId="1" fillId="0" borderId="7" xfId="0" applyFont="1" applyBorder="1"/>
    <xf numFmtId="0" fontId="0" fillId="0" borderId="7" xfId="0" applyBorder="1"/>
    <xf numFmtId="0" fontId="5" fillId="0" borderId="0" xfId="0" applyFont="1"/>
    <xf numFmtId="0" fontId="1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3" fillId="0" borderId="0" xfId="0" applyFont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1" fontId="1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opLeftCell="A77" workbookViewId="0">
      <selection activeCell="G93" sqref="G93"/>
    </sheetView>
  </sheetViews>
  <sheetFormatPr baseColWidth="10" defaultRowHeight="15" x14ac:dyDescent="0.25"/>
  <cols>
    <col min="1" max="1" width="43.42578125" customWidth="1"/>
    <col min="2" max="2" width="12.85546875" customWidth="1"/>
    <col min="9" max="9" width="27" customWidth="1"/>
  </cols>
  <sheetData>
    <row r="1" spans="1:7" ht="28.5" x14ac:dyDescent="0.45">
      <c r="A1" s="33" t="s">
        <v>0</v>
      </c>
      <c r="B1" s="33"/>
      <c r="C1" s="33"/>
      <c r="D1" s="33"/>
      <c r="E1" s="33"/>
      <c r="F1" s="33"/>
      <c r="G1" s="33"/>
    </row>
    <row r="2" spans="1:7" ht="23.25" x14ac:dyDescent="0.35">
      <c r="A2" s="23" t="s">
        <v>1</v>
      </c>
    </row>
    <row r="3" spans="1:7" x14ac:dyDescent="0.25">
      <c r="A3" s="29" t="s">
        <v>11</v>
      </c>
      <c r="B3" s="29">
        <v>1</v>
      </c>
      <c r="C3" s="29">
        <v>2</v>
      </c>
      <c r="D3" s="29">
        <v>3</v>
      </c>
      <c r="E3" s="29">
        <v>4</v>
      </c>
      <c r="F3" s="29">
        <v>5</v>
      </c>
    </row>
    <row r="4" spans="1:7" x14ac:dyDescent="0.25">
      <c r="A4" s="21" t="s">
        <v>2</v>
      </c>
      <c r="B4" s="18">
        <v>200000</v>
      </c>
      <c r="C4" s="5">
        <f>+B4+25000</f>
        <v>225000</v>
      </c>
      <c r="D4" s="5">
        <f>+C4+25000</f>
        <v>250000</v>
      </c>
      <c r="E4" s="5">
        <f>+D4</f>
        <v>250000</v>
      </c>
      <c r="F4" s="5">
        <f>+E4</f>
        <v>250000</v>
      </c>
    </row>
    <row r="5" spans="1:7" x14ac:dyDescent="0.25">
      <c r="A5" s="22" t="s">
        <v>52</v>
      </c>
      <c r="B5" s="5">
        <f>+B4</f>
        <v>200000</v>
      </c>
      <c r="C5" s="5">
        <f>+C4-B4</f>
        <v>25000</v>
      </c>
      <c r="D5" s="5">
        <f>+D4-C4</f>
        <v>25000</v>
      </c>
      <c r="E5" s="5">
        <f>+E4-D4</f>
        <v>0</v>
      </c>
      <c r="F5" s="5">
        <f>+F4-E4</f>
        <v>0</v>
      </c>
    </row>
    <row r="6" spans="1:7" x14ac:dyDescent="0.25">
      <c r="A6" s="19"/>
      <c r="B6" s="19"/>
      <c r="C6" s="19"/>
      <c r="D6" s="19"/>
      <c r="E6" s="19"/>
      <c r="F6" s="19"/>
    </row>
    <row r="7" spans="1:7" x14ac:dyDescent="0.25">
      <c r="A7" s="2" t="s">
        <v>53</v>
      </c>
    </row>
    <row r="8" spans="1:7" x14ac:dyDescent="0.25">
      <c r="A8" t="s">
        <v>0</v>
      </c>
      <c r="B8" s="1">
        <v>0.3</v>
      </c>
      <c r="C8" t="s">
        <v>54</v>
      </c>
    </row>
    <row r="9" spans="1:7" x14ac:dyDescent="0.25">
      <c r="A9" t="s">
        <v>59</v>
      </c>
      <c r="B9">
        <v>8200</v>
      </c>
      <c r="C9" t="s">
        <v>3</v>
      </c>
    </row>
    <row r="11" spans="1:7" x14ac:dyDescent="0.25">
      <c r="A11" s="2" t="s">
        <v>4</v>
      </c>
    </row>
    <row r="12" spans="1:7" x14ac:dyDescent="0.25">
      <c r="A12" t="s">
        <v>15</v>
      </c>
      <c r="B12">
        <v>5000</v>
      </c>
      <c r="C12" t="s">
        <v>3</v>
      </c>
    </row>
    <row r="13" spans="1:7" x14ac:dyDescent="0.25">
      <c r="A13" t="s">
        <v>12</v>
      </c>
      <c r="B13">
        <v>1000</v>
      </c>
      <c r="C13" t="s">
        <v>3</v>
      </c>
    </row>
    <row r="15" spans="1:7" x14ac:dyDescent="0.25">
      <c r="A15" s="2" t="s">
        <v>5</v>
      </c>
    </row>
    <row r="16" spans="1:7" x14ac:dyDescent="0.25">
      <c r="C16" t="s">
        <v>7</v>
      </c>
      <c r="D16" t="s">
        <v>0</v>
      </c>
    </row>
    <row r="17" spans="1:15" x14ac:dyDescent="0.25">
      <c r="A17" t="s">
        <v>6</v>
      </c>
      <c r="B17">
        <v>120000</v>
      </c>
      <c r="C17" s="1">
        <v>0.7</v>
      </c>
      <c r="D17" s="1">
        <v>0.3</v>
      </c>
    </row>
    <row r="18" spans="1:15" x14ac:dyDescent="0.25">
      <c r="A18" t="s">
        <v>45</v>
      </c>
      <c r="B18" s="1">
        <v>0.35</v>
      </c>
    </row>
    <row r="19" spans="1:15" x14ac:dyDescent="0.25">
      <c r="A19" t="s">
        <v>46</v>
      </c>
      <c r="B19" s="1">
        <v>0.2</v>
      </c>
    </row>
    <row r="21" spans="1:15" x14ac:dyDescent="0.25">
      <c r="A21" s="6" t="s">
        <v>9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</row>
    <row r="22" spans="1:15" x14ac:dyDescent="0.25">
      <c r="A22" s="6" t="s">
        <v>55</v>
      </c>
      <c r="B22" s="5">
        <v>20000</v>
      </c>
      <c r="C22" s="5">
        <f>+(C5*B22)/B5</f>
        <v>2500</v>
      </c>
      <c r="D22" s="5">
        <f>+C22</f>
        <v>2500</v>
      </c>
      <c r="E22" s="5">
        <v>0</v>
      </c>
      <c r="F22" s="5">
        <v>0</v>
      </c>
    </row>
    <row r="23" spans="1:15" x14ac:dyDescent="0.25">
      <c r="A23" s="2"/>
    </row>
    <row r="24" spans="1:15" x14ac:dyDescent="0.25">
      <c r="A24" s="2" t="s">
        <v>10</v>
      </c>
      <c r="B24" s="1">
        <v>0.3</v>
      </c>
    </row>
    <row r="25" spans="1:15" x14ac:dyDescent="0.25">
      <c r="A25" s="2" t="s">
        <v>44</v>
      </c>
      <c r="B25" s="1">
        <v>0.14000000000000001</v>
      </c>
    </row>
    <row r="26" spans="1:15" x14ac:dyDescent="0.25">
      <c r="A26" s="2"/>
    </row>
    <row r="27" spans="1:15" ht="23.25" x14ac:dyDescent="0.35">
      <c r="A27" s="23" t="s">
        <v>57</v>
      </c>
    </row>
    <row r="28" spans="1:15" ht="26.25" x14ac:dyDescent="0.4">
      <c r="A28" s="14"/>
    </row>
    <row r="29" spans="1:15" x14ac:dyDescent="0.25">
      <c r="A29" s="2" t="s">
        <v>60</v>
      </c>
      <c r="I29" s="2" t="s">
        <v>60</v>
      </c>
    </row>
    <row r="30" spans="1:15" x14ac:dyDescent="0.25">
      <c r="A30" s="2"/>
      <c r="I30" s="2"/>
    </row>
    <row r="31" spans="1:15" x14ac:dyDescent="0.25">
      <c r="A31" s="24" t="s">
        <v>61</v>
      </c>
      <c r="B31" s="24">
        <v>0</v>
      </c>
      <c r="C31" s="24">
        <v>1</v>
      </c>
      <c r="D31" s="24">
        <v>2</v>
      </c>
      <c r="E31" s="24">
        <v>3</v>
      </c>
      <c r="F31" s="24">
        <v>4</v>
      </c>
      <c r="G31" s="24">
        <v>5</v>
      </c>
      <c r="I31" s="24" t="s">
        <v>61</v>
      </c>
      <c r="J31" s="24">
        <v>0</v>
      </c>
      <c r="K31" s="24">
        <v>1</v>
      </c>
      <c r="L31" s="24">
        <v>2</v>
      </c>
      <c r="M31" s="24">
        <v>3</v>
      </c>
      <c r="N31" s="24">
        <v>4</v>
      </c>
      <c r="O31" s="24">
        <v>5</v>
      </c>
    </row>
    <row r="32" spans="1:15" x14ac:dyDescent="0.25">
      <c r="A32" s="6" t="s">
        <v>62</v>
      </c>
      <c r="B32" s="5"/>
      <c r="C32" s="5">
        <f>B4</f>
        <v>200000</v>
      </c>
      <c r="D32" s="5">
        <f t="shared" ref="D32:G32" si="0">C4</f>
        <v>225000</v>
      </c>
      <c r="E32" s="5">
        <f t="shared" si="0"/>
        <v>250000</v>
      </c>
      <c r="F32" s="5">
        <f t="shared" si="0"/>
        <v>250000</v>
      </c>
      <c r="G32" s="5">
        <f t="shared" si="0"/>
        <v>250000</v>
      </c>
      <c r="I32" s="6" t="s">
        <v>62</v>
      </c>
      <c r="J32" s="5"/>
      <c r="K32" s="5">
        <f>C32</f>
        <v>200000</v>
      </c>
      <c r="L32" s="5">
        <f t="shared" ref="L32:O32" si="1">D32</f>
        <v>225000</v>
      </c>
      <c r="M32" s="5">
        <f t="shared" si="1"/>
        <v>250000</v>
      </c>
      <c r="N32" s="5">
        <f t="shared" si="1"/>
        <v>250000</v>
      </c>
      <c r="O32" s="5">
        <f t="shared" si="1"/>
        <v>250000</v>
      </c>
    </row>
    <row r="33" spans="1:15" x14ac:dyDescent="0.25">
      <c r="A33" s="6" t="s">
        <v>63</v>
      </c>
      <c r="B33" s="5"/>
      <c r="C33" s="5">
        <f>$B$9*12</f>
        <v>98400</v>
      </c>
      <c r="D33" s="5">
        <f t="shared" ref="D33:G33" si="2">$B$9*12</f>
        <v>98400</v>
      </c>
      <c r="E33" s="5">
        <f t="shared" si="2"/>
        <v>98400</v>
      </c>
      <c r="F33" s="5">
        <f t="shared" si="2"/>
        <v>98400</v>
      </c>
      <c r="G33" s="5">
        <f t="shared" si="2"/>
        <v>98400</v>
      </c>
      <c r="I33" s="6" t="s">
        <v>63</v>
      </c>
      <c r="J33" s="5"/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 x14ac:dyDescent="0.25">
      <c r="A34" s="6" t="s">
        <v>67</v>
      </c>
      <c r="B34" s="5"/>
      <c r="C34" s="5">
        <f>C32-C33</f>
        <v>101600</v>
      </c>
      <c r="D34" s="5">
        <f t="shared" ref="D34:G34" si="3">D32-D33</f>
        <v>126600</v>
      </c>
      <c r="E34" s="5">
        <f t="shared" si="3"/>
        <v>151600</v>
      </c>
      <c r="F34" s="5">
        <f t="shared" si="3"/>
        <v>151600</v>
      </c>
      <c r="G34" s="5">
        <f t="shared" si="3"/>
        <v>151600</v>
      </c>
      <c r="I34" s="6" t="s">
        <v>67</v>
      </c>
      <c r="J34" s="5"/>
      <c r="K34" s="5">
        <f>K32-K33</f>
        <v>200000</v>
      </c>
      <c r="L34" s="5">
        <f t="shared" ref="L34:O34" si="4">L32-L33</f>
        <v>225000</v>
      </c>
      <c r="M34" s="5">
        <f t="shared" si="4"/>
        <v>250000</v>
      </c>
      <c r="N34" s="5">
        <f t="shared" si="4"/>
        <v>250000</v>
      </c>
      <c r="O34" s="5">
        <f t="shared" si="4"/>
        <v>250000</v>
      </c>
    </row>
    <row r="35" spans="1:15" x14ac:dyDescent="0.25">
      <c r="A35" s="6" t="s">
        <v>64</v>
      </c>
      <c r="B35" s="5"/>
      <c r="C35" s="5">
        <f>$B$13*12</f>
        <v>12000</v>
      </c>
      <c r="D35" s="5">
        <f t="shared" ref="D35:G35" si="5">$B$13*12</f>
        <v>12000</v>
      </c>
      <c r="E35" s="5">
        <f t="shared" si="5"/>
        <v>12000</v>
      </c>
      <c r="F35" s="5">
        <f t="shared" si="5"/>
        <v>12000</v>
      </c>
      <c r="G35" s="5">
        <f t="shared" si="5"/>
        <v>12000</v>
      </c>
      <c r="I35" s="6" t="s">
        <v>64</v>
      </c>
      <c r="J35" s="5"/>
      <c r="K35" s="5">
        <f>$B$13*12</f>
        <v>12000</v>
      </c>
      <c r="L35" s="5">
        <f t="shared" ref="L35:O35" si="6">$B$13*12</f>
        <v>12000</v>
      </c>
      <c r="M35" s="5">
        <f t="shared" si="6"/>
        <v>12000</v>
      </c>
      <c r="N35" s="5">
        <f t="shared" si="6"/>
        <v>12000</v>
      </c>
      <c r="O35" s="5">
        <f t="shared" si="6"/>
        <v>12000</v>
      </c>
    </row>
    <row r="36" spans="1:15" x14ac:dyDescent="0.25">
      <c r="A36" s="6" t="s">
        <v>65</v>
      </c>
      <c r="B36" s="5"/>
      <c r="C36" s="5">
        <f>$B$12*12</f>
        <v>60000</v>
      </c>
      <c r="D36" s="5">
        <f t="shared" ref="D36:G36" si="7">$B$12*12</f>
        <v>60000</v>
      </c>
      <c r="E36" s="5">
        <f t="shared" si="7"/>
        <v>60000</v>
      </c>
      <c r="F36" s="5">
        <f t="shared" si="7"/>
        <v>60000</v>
      </c>
      <c r="G36" s="5">
        <f t="shared" si="7"/>
        <v>60000</v>
      </c>
      <c r="I36" s="6" t="s">
        <v>65</v>
      </c>
      <c r="J36" s="5"/>
      <c r="K36" s="5">
        <f>$B$12*12</f>
        <v>60000</v>
      </c>
      <c r="L36" s="5">
        <f t="shared" ref="L36:O36" si="8">$B$12*12</f>
        <v>60000</v>
      </c>
      <c r="M36" s="5">
        <f t="shared" si="8"/>
        <v>60000</v>
      </c>
      <c r="N36" s="5">
        <f t="shared" si="8"/>
        <v>60000</v>
      </c>
      <c r="O36" s="5">
        <f t="shared" si="8"/>
        <v>60000</v>
      </c>
    </row>
    <row r="37" spans="1:15" x14ac:dyDescent="0.25">
      <c r="A37" s="6" t="s">
        <v>66</v>
      </c>
      <c r="B37" s="5"/>
      <c r="C37" s="5">
        <f>$B$17*$B$19</f>
        <v>24000</v>
      </c>
      <c r="D37" s="5">
        <f t="shared" ref="D37:G37" si="9">$B$17*$B$19</f>
        <v>24000</v>
      </c>
      <c r="E37" s="5">
        <f t="shared" si="9"/>
        <v>24000</v>
      </c>
      <c r="F37" s="5">
        <f t="shared" si="9"/>
        <v>24000</v>
      </c>
      <c r="G37" s="5">
        <f t="shared" si="9"/>
        <v>24000</v>
      </c>
      <c r="I37" s="6" t="s">
        <v>66</v>
      </c>
      <c r="J37" s="5"/>
      <c r="K37" s="5">
        <f>$B$17*$B$19</f>
        <v>24000</v>
      </c>
      <c r="L37" s="5">
        <f t="shared" ref="L37:O37" si="10">$B$17*$B$19</f>
        <v>24000</v>
      </c>
      <c r="M37" s="5">
        <f t="shared" si="10"/>
        <v>24000</v>
      </c>
      <c r="N37" s="5">
        <f t="shared" si="10"/>
        <v>24000</v>
      </c>
      <c r="O37" s="5">
        <f t="shared" si="10"/>
        <v>24000</v>
      </c>
    </row>
    <row r="38" spans="1:15" x14ac:dyDescent="0.25">
      <c r="A38" s="6" t="s">
        <v>68</v>
      </c>
      <c r="B38" s="5"/>
      <c r="C38" s="5"/>
      <c r="D38" s="5"/>
      <c r="E38" s="5"/>
      <c r="F38" s="5"/>
      <c r="G38" s="5">
        <f>B18*B17</f>
        <v>42000</v>
      </c>
      <c r="I38" s="6" t="s">
        <v>68</v>
      </c>
      <c r="J38" s="5"/>
      <c r="K38" s="5"/>
      <c r="L38" s="5"/>
      <c r="M38" s="5"/>
      <c r="N38" s="5"/>
      <c r="O38" s="5">
        <f>G38</f>
        <v>42000</v>
      </c>
    </row>
    <row r="39" spans="1:15" x14ac:dyDescent="0.25">
      <c r="A39" s="6" t="s">
        <v>69</v>
      </c>
      <c r="B39" s="5"/>
      <c r="C39" s="5">
        <f>C34-C35-C36-C37+C38</f>
        <v>5600</v>
      </c>
      <c r="D39" s="5">
        <f t="shared" ref="D39:G39" si="11">D34-D35-D36-D37+D38</f>
        <v>30600</v>
      </c>
      <c r="E39" s="5">
        <f t="shared" si="11"/>
        <v>55600</v>
      </c>
      <c r="F39" s="5">
        <f t="shared" si="11"/>
        <v>55600</v>
      </c>
      <c r="G39" s="5">
        <f t="shared" si="11"/>
        <v>97600</v>
      </c>
      <c r="I39" s="6" t="s">
        <v>69</v>
      </c>
      <c r="J39" s="5"/>
      <c r="K39" s="5">
        <f>K34-K35-K36-K37+K38</f>
        <v>104000</v>
      </c>
      <c r="L39" s="5">
        <f t="shared" ref="L39:O39" si="12">L34-L35-L36-L37+L38</f>
        <v>129000</v>
      </c>
      <c r="M39" s="5">
        <f t="shared" si="12"/>
        <v>154000</v>
      </c>
      <c r="N39" s="5">
        <f t="shared" si="12"/>
        <v>154000</v>
      </c>
      <c r="O39" s="5">
        <f t="shared" si="12"/>
        <v>196000</v>
      </c>
    </row>
    <row r="40" spans="1:15" x14ac:dyDescent="0.25">
      <c r="A40" s="6" t="s">
        <v>70</v>
      </c>
      <c r="B40" s="5"/>
      <c r="C40" s="5">
        <f>C39*$B$24</f>
        <v>1680</v>
      </c>
      <c r="D40" s="5">
        <f t="shared" ref="D40:F40" si="13">D39*$B$24</f>
        <v>9180</v>
      </c>
      <c r="E40" s="5">
        <f t="shared" si="13"/>
        <v>16680</v>
      </c>
      <c r="F40" s="5">
        <f t="shared" si="13"/>
        <v>16680</v>
      </c>
      <c r="G40" s="5">
        <f>G39*$B$24</f>
        <v>29280</v>
      </c>
      <c r="I40" s="6" t="s">
        <v>70</v>
      </c>
      <c r="J40" s="5"/>
      <c r="K40" s="5">
        <f>K39*$B$24</f>
        <v>31200</v>
      </c>
      <c r="L40" s="5">
        <f t="shared" ref="L40:N40" si="14">L39*$B$24</f>
        <v>38700</v>
      </c>
      <c r="M40" s="5">
        <f t="shared" si="14"/>
        <v>46200</v>
      </c>
      <c r="N40" s="5">
        <f t="shared" si="14"/>
        <v>46200</v>
      </c>
      <c r="O40" s="5">
        <f>O39*$B$24</f>
        <v>58800</v>
      </c>
    </row>
    <row r="41" spans="1:15" x14ac:dyDescent="0.25">
      <c r="A41" s="6" t="s">
        <v>71</v>
      </c>
      <c r="B41" s="5"/>
      <c r="C41" s="5">
        <f>C39-C40</f>
        <v>3920</v>
      </c>
      <c r="D41" s="5">
        <f t="shared" ref="D41:G41" si="15">D39-D40</f>
        <v>21420</v>
      </c>
      <c r="E41" s="5">
        <f t="shared" si="15"/>
        <v>38920</v>
      </c>
      <c r="F41" s="5">
        <f t="shared" si="15"/>
        <v>38920</v>
      </c>
      <c r="G41" s="5">
        <f t="shared" si="15"/>
        <v>68320</v>
      </c>
      <c r="I41" s="6" t="s">
        <v>71</v>
      </c>
      <c r="J41" s="5"/>
      <c r="K41" s="5">
        <f>K39-K40</f>
        <v>72800</v>
      </c>
      <c r="L41" s="5">
        <f t="shared" ref="L41:O41" si="16">L39-L40</f>
        <v>90300</v>
      </c>
      <c r="M41" s="5">
        <f t="shared" si="16"/>
        <v>107800</v>
      </c>
      <c r="N41" s="5">
        <f t="shared" si="16"/>
        <v>107800</v>
      </c>
      <c r="O41" s="5">
        <f t="shared" si="16"/>
        <v>137200</v>
      </c>
    </row>
    <row r="42" spans="1:15" x14ac:dyDescent="0.25">
      <c r="A42" s="2"/>
    </row>
    <row r="43" spans="1:15" x14ac:dyDescent="0.25">
      <c r="A43" s="2" t="s">
        <v>72</v>
      </c>
    </row>
    <row r="44" spans="1:15" x14ac:dyDescent="0.25">
      <c r="A44" s="2"/>
    </row>
    <row r="45" spans="1:15" x14ac:dyDescent="0.25">
      <c r="A45" s="20" t="s">
        <v>11</v>
      </c>
      <c r="B45" s="20">
        <v>0</v>
      </c>
      <c r="C45" s="20">
        <v>1</v>
      </c>
      <c r="D45" s="20">
        <v>2</v>
      </c>
      <c r="E45" s="20">
        <v>3</v>
      </c>
      <c r="F45" s="20">
        <v>4</v>
      </c>
      <c r="G45" s="20">
        <v>5</v>
      </c>
    </row>
    <row r="46" spans="1:15" x14ac:dyDescent="0.25">
      <c r="A46" s="20" t="s">
        <v>73</v>
      </c>
      <c r="B46" s="20"/>
      <c r="C46" s="20"/>
      <c r="D46" s="20"/>
      <c r="E46" s="20"/>
      <c r="F46" s="20"/>
      <c r="G46" s="20"/>
    </row>
    <row r="47" spans="1:15" x14ac:dyDescent="0.25">
      <c r="A47" s="7" t="s">
        <v>6</v>
      </c>
      <c r="B47" s="5">
        <f>-$B$17</f>
        <v>-120000</v>
      </c>
      <c r="C47" s="5"/>
      <c r="D47" s="5"/>
      <c r="E47" s="5"/>
      <c r="F47" s="5"/>
      <c r="G47" s="5"/>
    </row>
    <row r="48" spans="1:15" x14ac:dyDescent="0.25">
      <c r="A48" s="7" t="s">
        <v>8</v>
      </c>
      <c r="B48" s="5">
        <f>-$B$22</f>
        <v>-20000</v>
      </c>
      <c r="C48" s="5">
        <f>-$C$22</f>
        <v>-2500</v>
      </c>
      <c r="D48" s="5">
        <f>-$D$22</f>
        <v>-2500</v>
      </c>
      <c r="E48" s="5"/>
      <c r="F48" s="5"/>
      <c r="G48" s="5"/>
    </row>
    <row r="49" spans="1:9" ht="30" x14ac:dyDescent="0.25">
      <c r="A49" s="7" t="s">
        <v>22</v>
      </c>
      <c r="B49" s="5"/>
      <c r="C49" s="5"/>
      <c r="D49" s="5"/>
      <c r="E49" s="5"/>
      <c r="F49" s="5"/>
      <c r="G49" s="5">
        <f>-(B48+C48+D48)</f>
        <v>25000</v>
      </c>
    </row>
    <row r="50" spans="1:9" x14ac:dyDescent="0.25">
      <c r="A50" s="7" t="s">
        <v>75</v>
      </c>
      <c r="B50" s="5"/>
      <c r="C50" s="5"/>
      <c r="D50" s="5"/>
      <c r="E50" s="5"/>
      <c r="F50" s="5"/>
      <c r="G50" s="5">
        <v>42000</v>
      </c>
    </row>
    <row r="51" spans="1:9" x14ac:dyDescent="0.25">
      <c r="A51" s="20" t="s">
        <v>74</v>
      </c>
      <c r="B51" s="20">
        <f>B47+B48+B49+B50</f>
        <v>-140000</v>
      </c>
      <c r="C51" s="20">
        <f t="shared" ref="C51:G51" si="17">C47+C48+C49+C50</f>
        <v>-2500</v>
      </c>
      <c r="D51" s="20">
        <f t="shared" si="17"/>
        <v>-2500</v>
      </c>
      <c r="E51" s="20">
        <f t="shared" si="17"/>
        <v>0</v>
      </c>
      <c r="F51" s="20">
        <f t="shared" si="17"/>
        <v>0</v>
      </c>
      <c r="G51" s="20">
        <f t="shared" si="17"/>
        <v>67000</v>
      </c>
    </row>
    <row r="52" spans="1:9" x14ac:dyDescent="0.25">
      <c r="A52" s="20" t="s">
        <v>76</v>
      </c>
      <c r="B52" s="20"/>
      <c r="C52" s="20"/>
      <c r="D52" s="20"/>
      <c r="E52" s="20"/>
      <c r="F52" s="20"/>
      <c r="G52" s="20"/>
    </row>
    <row r="53" spans="1:9" x14ac:dyDescent="0.25">
      <c r="A53" s="5" t="s">
        <v>2</v>
      </c>
      <c r="B53" s="5"/>
      <c r="C53" s="5">
        <v>200000</v>
      </c>
      <c r="D53" s="5">
        <f>+C53+25000</f>
        <v>225000</v>
      </c>
      <c r="E53" s="5">
        <f>+D53+25000</f>
        <v>250000</v>
      </c>
      <c r="F53" s="5">
        <f>+E53</f>
        <v>250000</v>
      </c>
      <c r="G53" s="5">
        <f>+F53</f>
        <v>250000</v>
      </c>
    </row>
    <row r="54" spans="1:9" x14ac:dyDescent="0.25">
      <c r="A54" s="5" t="s">
        <v>13</v>
      </c>
      <c r="B54" s="5"/>
      <c r="C54" s="5">
        <f>+$B$9*12</f>
        <v>98400</v>
      </c>
      <c r="D54" s="5">
        <f t="shared" ref="D54:G54" si="18">+$B$9*12</f>
        <v>98400</v>
      </c>
      <c r="E54" s="5">
        <f t="shared" si="18"/>
        <v>98400</v>
      </c>
      <c r="F54" s="5">
        <f t="shared" si="18"/>
        <v>98400</v>
      </c>
      <c r="G54" s="5">
        <f t="shared" si="18"/>
        <v>98400</v>
      </c>
    </row>
    <row r="55" spans="1:9" x14ac:dyDescent="0.25">
      <c r="A55" s="5" t="s">
        <v>14</v>
      </c>
      <c r="B55" s="5"/>
      <c r="C55" s="5">
        <f>+$B$13*12</f>
        <v>12000</v>
      </c>
      <c r="D55" s="5">
        <f t="shared" ref="D55:G55" si="19">+$B$13*12</f>
        <v>12000</v>
      </c>
      <c r="E55" s="5">
        <f t="shared" si="19"/>
        <v>12000</v>
      </c>
      <c r="F55" s="5">
        <f t="shared" si="19"/>
        <v>12000</v>
      </c>
      <c r="G55" s="5">
        <f t="shared" si="19"/>
        <v>12000</v>
      </c>
    </row>
    <row r="56" spans="1:9" x14ac:dyDescent="0.25">
      <c r="A56" s="7" t="s">
        <v>16</v>
      </c>
      <c r="B56" s="5"/>
      <c r="C56" s="5">
        <f>+$B$12*12</f>
        <v>60000</v>
      </c>
      <c r="D56" s="5">
        <f t="shared" ref="D56:G56" si="20">+$B$12*12</f>
        <v>60000</v>
      </c>
      <c r="E56" s="5">
        <f t="shared" si="20"/>
        <v>60000</v>
      </c>
      <c r="F56" s="5">
        <f t="shared" si="20"/>
        <v>60000</v>
      </c>
      <c r="G56" s="5">
        <f t="shared" si="20"/>
        <v>60000</v>
      </c>
    </row>
    <row r="57" spans="1:9" x14ac:dyDescent="0.25">
      <c r="A57" s="7" t="s">
        <v>20</v>
      </c>
      <c r="B57" s="5"/>
      <c r="C57" s="5">
        <f>C40</f>
        <v>1680</v>
      </c>
      <c r="D57" s="5">
        <f t="shared" ref="D57:G57" si="21">D40</f>
        <v>9180</v>
      </c>
      <c r="E57" s="5">
        <f t="shared" si="21"/>
        <v>16680</v>
      </c>
      <c r="F57" s="5">
        <f t="shared" si="21"/>
        <v>16680</v>
      </c>
      <c r="G57" s="5">
        <f t="shared" si="21"/>
        <v>29280</v>
      </c>
    </row>
    <row r="58" spans="1:9" x14ac:dyDescent="0.25">
      <c r="A58" s="30" t="s">
        <v>77</v>
      </c>
      <c r="B58" s="29">
        <f>B53-B54-B55-B56-B57</f>
        <v>0</v>
      </c>
      <c r="C58" s="29">
        <f t="shared" ref="C58:G58" si="22">C53-C54-C55-C56-C57</f>
        <v>27920</v>
      </c>
      <c r="D58" s="29">
        <f t="shared" si="22"/>
        <v>45420</v>
      </c>
      <c r="E58" s="29">
        <f t="shared" si="22"/>
        <v>62920</v>
      </c>
      <c r="F58" s="29">
        <f t="shared" si="22"/>
        <v>62920</v>
      </c>
      <c r="G58" s="29">
        <f t="shared" si="22"/>
        <v>50320</v>
      </c>
    </row>
    <row r="59" spans="1:9" x14ac:dyDescent="0.25">
      <c r="A59" s="6" t="s">
        <v>72</v>
      </c>
      <c r="B59" s="6">
        <f>B51+B58</f>
        <v>-140000</v>
      </c>
      <c r="C59" s="6">
        <f t="shared" ref="C59:F59" si="23">C51+C58</f>
        <v>25420</v>
      </c>
      <c r="D59" s="6">
        <f t="shared" si="23"/>
        <v>42920</v>
      </c>
      <c r="E59" s="6">
        <f t="shared" si="23"/>
        <v>62920</v>
      </c>
      <c r="F59" s="6">
        <f t="shared" si="23"/>
        <v>62920</v>
      </c>
      <c r="G59" s="6">
        <f>G51+G58</f>
        <v>117320</v>
      </c>
    </row>
    <row r="60" spans="1:9" ht="15.75" thickBot="1" x14ac:dyDescent="0.3">
      <c r="A60" s="2" t="s">
        <v>48</v>
      </c>
      <c r="B60" s="1">
        <v>0.14000000000000001</v>
      </c>
      <c r="I60" s="3"/>
    </row>
    <row r="61" spans="1:9" ht="15.75" thickBot="1" x14ac:dyDescent="0.3">
      <c r="A61" s="2" t="s">
        <v>24</v>
      </c>
      <c r="B61" s="34">
        <f>+NPV(B60,C59:G59)+B59</f>
        <v>55979.022490236996</v>
      </c>
      <c r="C61" s="35"/>
      <c r="I61" s="4"/>
    </row>
    <row r="62" spans="1:9" x14ac:dyDescent="0.25">
      <c r="A62" s="2" t="s">
        <v>25</v>
      </c>
      <c r="B62" s="1">
        <f>+IRR(B59:G59)</f>
        <v>0.26158596319530791</v>
      </c>
    </row>
    <row r="63" spans="1:9" ht="26.25" x14ac:dyDescent="0.4">
      <c r="A63" s="15" t="s">
        <v>28</v>
      </c>
    </row>
    <row r="64" spans="1:9" x14ac:dyDescent="0.25">
      <c r="A64" s="2" t="s">
        <v>30</v>
      </c>
    </row>
    <row r="65" spans="1:7" x14ac:dyDescent="0.25">
      <c r="A65" s="20" t="s">
        <v>11</v>
      </c>
      <c r="B65" s="20">
        <v>0</v>
      </c>
      <c r="C65" s="20">
        <v>1</v>
      </c>
      <c r="D65" s="20">
        <v>2</v>
      </c>
      <c r="E65" s="20">
        <v>3</v>
      </c>
      <c r="F65" s="20">
        <v>4</v>
      </c>
      <c r="G65" s="20">
        <v>5</v>
      </c>
    </row>
    <row r="66" spans="1:7" x14ac:dyDescent="0.25">
      <c r="A66" s="20" t="s">
        <v>73</v>
      </c>
      <c r="B66" s="20"/>
      <c r="C66" s="20"/>
      <c r="D66" s="20"/>
      <c r="E66" s="20"/>
      <c r="F66" s="20"/>
      <c r="G66" s="20"/>
    </row>
    <row r="67" spans="1:7" x14ac:dyDescent="0.25">
      <c r="A67" s="7" t="s">
        <v>6</v>
      </c>
      <c r="B67" s="5">
        <f>-$B$17</f>
        <v>-120000</v>
      </c>
      <c r="C67" s="5"/>
      <c r="D67" s="5"/>
      <c r="E67" s="5"/>
      <c r="F67" s="5"/>
      <c r="G67" s="5"/>
    </row>
    <row r="68" spans="1:7" x14ac:dyDescent="0.25">
      <c r="A68" s="7" t="s">
        <v>8</v>
      </c>
      <c r="B68" s="5">
        <f>-$B$22</f>
        <v>-20000</v>
      </c>
      <c r="C68" s="5">
        <f>-$C$22</f>
        <v>-2500</v>
      </c>
      <c r="D68" s="5">
        <f>-$D$22</f>
        <v>-2500</v>
      </c>
      <c r="E68" s="5"/>
      <c r="F68" s="5"/>
      <c r="G68" s="5"/>
    </row>
    <row r="69" spans="1:7" x14ac:dyDescent="0.25">
      <c r="A69" s="7" t="s">
        <v>81</v>
      </c>
      <c r="B69" s="5"/>
      <c r="C69" s="5"/>
      <c r="D69" s="5"/>
      <c r="E69" s="5"/>
      <c r="F69" s="5"/>
      <c r="G69" s="5">
        <f>G50</f>
        <v>42000</v>
      </c>
    </row>
    <row r="70" spans="1:7" x14ac:dyDescent="0.25">
      <c r="A70" s="7" t="s">
        <v>22</v>
      </c>
      <c r="B70" s="5"/>
      <c r="C70" s="5"/>
      <c r="D70" s="5"/>
      <c r="E70" s="5"/>
      <c r="F70" s="5"/>
      <c r="G70" s="5">
        <f>-(B68+C68+D68)</f>
        <v>25000</v>
      </c>
    </row>
    <row r="71" spans="1:7" x14ac:dyDescent="0.25">
      <c r="A71" s="20" t="s">
        <v>78</v>
      </c>
      <c r="B71" s="20">
        <f>B67+B68+B69+B70</f>
        <v>-140000</v>
      </c>
      <c r="C71" s="20">
        <f t="shared" ref="C71:G71" si="24">C67+C68+C69+C70</f>
        <v>-2500</v>
      </c>
      <c r="D71" s="20">
        <f t="shared" si="24"/>
        <v>-2500</v>
      </c>
      <c r="E71" s="20">
        <f t="shared" si="24"/>
        <v>0</v>
      </c>
      <c r="F71" s="20">
        <f t="shared" si="24"/>
        <v>0</v>
      </c>
      <c r="G71" s="20">
        <f t="shared" si="24"/>
        <v>67000</v>
      </c>
    </row>
    <row r="72" spans="1:7" x14ac:dyDescent="0.25">
      <c r="A72" s="20" t="s">
        <v>76</v>
      </c>
      <c r="B72" s="20"/>
      <c r="C72" s="20"/>
      <c r="D72" s="20"/>
      <c r="E72" s="20"/>
      <c r="F72" s="20"/>
      <c r="G72" s="20"/>
    </row>
    <row r="73" spans="1:7" x14ac:dyDescent="0.25">
      <c r="A73" s="5" t="s">
        <v>2</v>
      </c>
      <c r="B73" s="5"/>
      <c r="C73" s="5">
        <v>200000</v>
      </c>
      <c r="D73" s="5">
        <f>+C73+25000</f>
        <v>225000</v>
      </c>
      <c r="E73" s="5">
        <f>+D73+25000</f>
        <v>250000</v>
      </c>
      <c r="F73" s="5">
        <f>+E73</f>
        <v>250000</v>
      </c>
      <c r="G73" s="5">
        <f>+F73</f>
        <v>250000</v>
      </c>
    </row>
    <row r="74" spans="1:7" x14ac:dyDescent="0.25">
      <c r="A74" s="5" t="s">
        <v>13</v>
      </c>
      <c r="B74" s="5"/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x14ac:dyDescent="0.25">
      <c r="A75" s="5" t="s">
        <v>14</v>
      </c>
      <c r="B75" s="5"/>
      <c r="C75" s="5">
        <f>+$B$13*12</f>
        <v>12000</v>
      </c>
      <c r="D75" s="5">
        <f t="shared" ref="D75:G75" si="25">+$B$13*12</f>
        <v>12000</v>
      </c>
      <c r="E75" s="5">
        <f t="shared" si="25"/>
        <v>12000</v>
      </c>
      <c r="F75" s="5">
        <f t="shared" si="25"/>
        <v>12000</v>
      </c>
      <c r="G75" s="5">
        <f t="shared" si="25"/>
        <v>12000</v>
      </c>
    </row>
    <row r="76" spans="1:7" x14ac:dyDescent="0.25">
      <c r="A76" s="7" t="s">
        <v>16</v>
      </c>
      <c r="B76" s="5"/>
      <c r="C76" s="5">
        <f>+$B$12*12</f>
        <v>60000</v>
      </c>
      <c r="D76" s="5">
        <f t="shared" ref="D76:G76" si="26">+$B$12*12</f>
        <v>60000</v>
      </c>
      <c r="E76" s="5">
        <f t="shared" si="26"/>
        <v>60000</v>
      </c>
      <c r="F76" s="5">
        <f t="shared" si="26"/>
        <v>60000</v>
      </c>
      <c r="G76" s="5">
        <f t="shared" si="26"/>
        <v>60000</v>
      </c>
    </row>
    <row r="77" spans="1:7" x14ac:dyDescent="0.25">
      <c r="A77" s="7" t="s">
        <v>20</v>
      </c>
      <c r="B77" s="5"/>
      <c r="C77" s="5">
        <f>K40</f>
        <v>31200</v>
      </c>
      <c r="D77" s="5">
        <f t="shared" ref="D77:G77" si="27">L40</f>
        <v>38700</v>
      </c>
      <c r="E77" s="5">
        <f t="shared" si="27"/>
        <v>46200</v>
      </c>
      <c r="F77" s="5">
        <f t="shared" si="27"/>
        <v>46200</v>
      </c>
      <c r="G77" s="5">
        <f t="shared" si="27"/>
        <v>58800</v>
      </c>
    </row>
    <row r="78" spans="1:7" x14ac:dyDescent="0.25">
      <c r="A78" s="25" t="s">
        <v>77</v>
      </c>
      <c r="B78" s="26">
        <f>B73-B74-B75-B76-B77</f>
        <v>0</v>
      </c>
      <c r="C78" s="26">
        <f t="shared" ref="C78:G78" si="28">C73-C74-C75-C76-C77</f>
        <v>96800</v>
      </c>
      <c r="D78" s="26">
        <f t="shared" si="28"/>
        <v>114300</v>
      </c>
      <c r="E78" s="26">
        <f t="shared" si="28"/>
        <v>131800</v>
      </c>
      <c r="F78" s="26">
        <f t="shared" si="28"/>
        <v>131800</v>
      </c>
      <c r="G78" s="26">
        <f t="shared" si="28"/>
        <v>119200</v>
      </c>
    </row>
    <row r="79" spans="1:7" x14ac:dyDescent="0.25">
      <c r="A79" s="25" t="s">
        <v>82</v>
      </c>
      <c r="B79" s="26">
        <f>B71+B78</f>
        <v>-140000</v>
      </c>
      <c r="C79" s="26">
        <f t="shared" ref="C79:G79" si="29">C71+C78</f>
        <v>94300</v>
      </c>
      <c r="D79" s="26">
        <f t="shared" si="29"/>
        <v>111800</v>
      </c>
      <c r="E79" s="26">
        <f t="shared" si="29"/>
        <v>131800</v>
      </c>
      <c r="F79" s="26">
        <f t="shared" si="29"/>
        <v>131800</v>
      </c>
      <c r="G79" s="26">
        <f t="shared" si="29"/>
        <v>186200</v>
      </c>
    </row>
    <row r="80" spans="1:7" x14ac:dyDescent="0.25">
      <c r="A80" s="16" t="s">
        <v>79</v>
      </c>
      <c r="B80" s="5"/>
      <c r="C80" s="5"/>
      <c r="D80" s="5"/>
      <c r="E80" s="5"/>
      <c r="F80" s="5"/>
      <c r="G80" s="5"/>
    </row>
    <row r="81" spans="1:7" x14ac:dyDescent="0.25">
      <c r="A81" s="7" t="s">
        <v>29</v>
      </c>
      <c r="B81" s="5">
        <f>+$B$17*$D$17</f>
        <v>36000</v>
      </c>
      <c r="C81" s="5"/>
      <c r="D81" s="5"/>
      <c r="E81" s="5"/>
      <c r="F81" s="5"/>
      <c r="G81" s="5"/>
    </row>
    <row r="82" spans="1:7" x14ac:dyDescent="0.25">
      <c r="A82" s="7" t="s">
        <v>58</v>
      </c>
      <c r="B82" s="5"/>
      <c r="C82" s="5">
        <f>-0.3*K41</f>
        <v>-21840</v>
      </c>
      <c r="D82" s="5">
        <f t="shared" ref="D82:G82" si="30">-0.3*L41</f>
        <v>-27090</v>
      </c>
      <c r="E82" s="5">
        <f t="shared" si="30"/>
        <v>-32340</v>
      </c>
      <c r="F82" s="5">
        <f t="shared" si="30"/>
        <v>-32340</v>
      </c>
      <c r="G82" s="5">
        <f t="shared" si="30"/>
        <v>-41160</v>
      </c>
    </row>
    <row r="83" spans="1:7" x14ac:dyDescent="0.25">
      <c r="A83" s="27" t="s">
        <v>80</v>
      </c>
      <c r="B83" s="28">
        <f>B81+B82</f>
        <v>36000</v>
      </c>
      <c r="C83" s="28">
        <f t="shared" ref="C83:G83" si="31">C81+C82</f>
        <v>-21840</v>
      </c>
      <c r="D83" s="28">
        <f t="shared" si="31"/>
        <v>-27090</v>
      </c>
      <c r="E83" s="28">
        <f t="shared" si="31"/>
        <v>-32340</v>
      </c>
      <c r="F83" s="28">
        <f t="shared" si="31"/>
        <v>-32340</v>
      </c>
      <c r="G83" s="28">
        <f t="shared" si="31"/>
        <v>-41160</v>
      </c>
    </row>
    <row r="84" spans="1:7" x14ac:dyDescent="0.25">
      <c r="A84" s="6" t="s">
        <v>83</v>
      </c>
      <c r="B84" s="5">
        <f>B79+B83</f>
        <v>-104000</v>
      </c>
      <c r="C84" s="5">
        <f t="shared" ref="C84:F84" si="32">C79+C83</f>
        <v>72460</v>
      </c>
      <c r="D84" s="5">
        <f t="shared" si="32"/>
        <v>84710</v>
      </c>
      <c r="E84" s="5">
        <f t="shared" si="32"/>
        <v>99460</v>
      </c>
      <c r="F84" s="5">
        <f t="shared" si="32"/>
        <v>99460</v>
      </c>
      <c r="G84" s="5">
        <f>G79+G83</f>
        <v>145040</v>
      </c>
    </row>
    <row r="85" spans="1:7" ht="20.25" customHeight="1" x14ac:dyDescent="0.25">
      <c r="A85" s="31"/>
      <c r="B85" s="32"/>
      <c r="C85" s="32"/>
      <c r="D85" s="32"/>
      <c r="E85" s="32"/>
      <c r="F85" s="32"/>
      <c r="G85" s="32"/>
    </row>
    <row r="86" spans="1:7" ht="20.25" customHeight="1" thickBot="1" x14ac:dyDescent="0.3">
      <c r="A86" s="9" t="s">
        <v>48</v>
      </c>
      <c r="B86" s="10">
        <v>0.14000000000000001</v>
      </c>
      <c r="C86" s="9"/>
      <c r="D86" s="9"/>
      <c r="E86" s="9"/>
      <c r="F86" s="9"/>
      <c r="G86" s="9"/>
    </row>
    <row r="87" spans="1:7" ht="15.75" thickBot="1" x14ac:dyDescent="0.3">
      <c r="A87" t="s">
        <v>31</v>
      </c>
      <c r="B87" s="34">
        <f>+NPV(B86,C84:G84)+B84</f>
        <v>226093.2003129301</v>
      </c>
      <c r="C87" s="35"/>
    </row>
    <row r="88" spans="1:7" x14ac:dyDescent="0.25">
      <c r="A88" t="s">
        <v>25</v>
      </c>
      <c r="B88" s="1">
        <f>+IRR(B84:G84)</f>
        <v>0.77303538913818715</v>
      </c>
    </row>
    <row r="90" spans="1:7" ht="26.25" x14ac:dyDescent="0.4">
      <c r="A90" s="15" t="s">
        <v>49</v>
      </c>
    </row>
    <row r="91" spans="1:7" ht="15.75" customHeight="1" x14ac:dyDescent="0.25">
      <c r="A91" s="8" t="s">
        <v>36</v>
      </c>
    </row>
    <row r="92" spans="1:7" ht="15.75" customHeight="1" x14ac:dyDescent="0.25">
      <c r="A92" s="13" t="s">
        <v>38</v>
      </c>
      <c r="B92" t="s">
        <v>37</v>
      </c>
      <c r="C92">
        <v>0</v>
      </c>
    </row>
    <row r="93" spans="1:7" ht="15.75" customHeight="1" thickBot="1" x14ac:dyDescent="0.3">
      <c r="A93" s="13" t="s">
        <v>39</v>
      </c>
      <c r="B93" t="s">
        <v>37</v>
      </c>
      <c r="C93">
        <f>+G70</f>
        <v>25000</v>
      </c>
    </row>
    <row r="94" spans="1:7" ht="15.75" customHeight="1" thickBot="1" x14ac:dyDescent="0.3">
      <c r="A94" s="8" t="s">
        <v>50</v>
      </c>
      <c r="B94" t="s">
        <v>37</v>
      </c>
      <c r="C94" s="17">
        <f>+C92+C93</f>
        <v>25000</v>
      </c>
    </row>
    <row r="95" spans="1:7" ht="15.75" customHeight="1" x14ac:dyDescent="0.35">
      <c r="A95" s="11"/>
    </row>
    <row r="96" spans="1:7" x14ac:dyDescent="0.25">
      <c r="A96" s="2" t="s">
        <v>32</v>
      </c>
    </row>
    <row r="97" spans="1:4" x14ac:dyDescent="0.25">
      <c r="A97" s="12" t="s">
        <v>33</v>
      </c>
      <c r="B97" t="s">
        <v>37</v>
      </c>
      <c r="C97">
        <f>+$B$17*$B$18</f>
        <v>42000</v>
      </c>
    </row>
    <row r="98" spans="1:4" x14ac:dyDescent="0.25">
      <c r="A98" t="s">
        <v>34</v>
      </c>
      <c r="B98" t="s">
        <v>37</v>
      </c>
      <c r="C98">
        <v>0</v>
      </c>
    </row>
    <row r="99" spans="1:4" x14ac:dyDescent="0.25">
      <c r="A99" t="s">
        <v>35</v>
      </c>
      <c r="B99" t="s">
        <v>37</v>
      </c>
      <c r="C99">
        <f>+C97-C98</f>
        <v>42000</v>
      </c>
    </row>
    <row r="100" spans="1:4" x14ac:dyDescent="0.25">
      <c r="A100" t="s">
        <v>10</v>
      </c>
      <c r="B100" t="s">
        <v>37</v>
      </c>
      <c r="C100">
        <f>+C99*0.3</f>
        <v>12600</v>
      </c>
    </row>
    <row r="101" spans="1:4" x14ac:dyDescent="0.25">
      <c r="A101" t="s">
        <v>19</v>
      </c>
      <c r="B101" t="s">
        <v>37</v>
      </c>
      <c r="C101">
        <f>+C99-C100</f>
        <v>29400</v>
      </c>
    </row>
    <row r="102" spans="1:4" x14ac:dyDescent="0.25">
      <c r="A102" t="s">
        <v>34</v>
      </c>
      <c r="B102" t="s">
        <v>37</v>
      </c>
      <c r="C102">
        <v>0</v>
      </c>
    </row>
    <row r="103" spans="1:4" x14ac:dyDescent="0.25">
      <c r="A103" t="s">
        <v>40</v>
      </c>
      <c r="B103" t="s">
        <v>37</v>
      </c>
      <c r="C103">
        <f>+C101+C102</f>
        <v>29400</v>
      </c>
    </row>
    <row r="104" spans="1:4" ht="15.75" thickBot="1" x14ac:dyDescent="0.3">
      <c r="A104" s="13" t="s">
        <v>39</v>
      </c>
      <c r="B104" t="s">
        <v>37</v>
      </c>
      <c r="C104">
        <f>C93</f>
        <v>25000</v>
      </c>
    </row>
    <row r="105" spans="1:4" ht="15.75" thickBot="1" x14ac:dyDescent="0.3">
      <c r="A105" s="8" t="s">
        <v>50</v>
      </c>
      <c r="B105" t="s">
        <v>37</v>
      </c>
      <c r="C105" s="17">
        <f>+C103+C104</f>
        <v>54400</v>
      </c>
    </row>
    <row r="107" spans="1:4" x14ac:dyDescent="0.25">
      <c r="A107" s="2" t="s">
        <v>41</v>
      </c>
    </row>
    <row r="108" spans="1:4" x14ac:dyDescent="0.25">
      <c r="A108" t="s">
        <v>42</v>
      </c>
      <c r="B108" t="s">
        <v>37</v>
      </c>
      <c r="C108">
        <f>+(E59+F59)/2</f>
        <v>62920</v>
      </c>
      <c r="D108" t="s">
        <v>51</v>
      </c>
    </row>
    <row r="109" spans="1:4" x14ac:dyDescent="0.25">
      <c r="A109" t="s">
        <v>43</v>
      </c>
      <c r="B109" t="s">
        <v>37</v>
      </c>
      <c r="C109" t="e">
        <f>+#REF!</f>
        <v>#REF!</v>
      </c>
    </row>
    <row r="110" spans="1:4" ht="15.75" thickBot="1" x14ac:dyDescent="0.3">
      <c r="A110" t="s">
        <v>44</v>
      </c>
      <c r="B110" t="s">
        <v>37</v>
      </c>
      <c r="C110" s="1">
        <v>0.14000000000000001</v>
      </c>
    </row>
    <row r="111" spans="1:4" ht="15.75" thickBot="1" x14ac:dyDescent="0.3">
      <c r="A111" s="8" t="s">
        <v>50</v>
      </c>
      <c r="B111" t="s">
        <v>37</v>
      </c>
      <c r="C111" s="17" t="e">
        <f>+(C108-C109)/C110</f>
        <v>#REF!</v>
      </c>
    </row>
  </sheetData>
  <mergeCells count="4">
    <mergeCell ref="A1:G1"/>
    <mergeCell ref="B61:C61"/>
    <mergeCell ref="A85:G85"/>
    <mergeCell ref="B87:C8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view="pageBreakPreview" topLeftCell="A70" zoomScale="70" zoomScaleNormal="100" zoomScaleSheetLayoutView="70" workbookViewId="0">
      <selection activeCell="G66" sqref="G66"/>
    </sheetView>
  </sheetViews>
  <sheetFormatPr baseColWidth="10" defaultRowHeight="15" x14ac:dyDescent="0.25"/>
  <cols>
    <col min="1" max="1" width="36.5703125" customWidth="1"/>
    <col min="2" max="2" width="12.85546875" customWidth="1"/>
    <col min="9" max="9" width="20.28515625" bestFit="1" customWidth="1"/>
  </cols>
  <sheetData>
    <row r="1" spans="1:7" ht="28.5" x14ac:dyDescent="0.45">
      <c r="A1" s="33" t="s">
        <v>0</v>
      </c>
      <c r="B1" s="33"/>
      <c r="C1" s="33"/>
      <c r="D1" s="33"/>
      <c r="E1" s="33"/>
      <c r="F1" s="33"/>
      <c r="G1" s="33"/>
    </row>
    <row r="2" spans="1:7" ht="23.25" x14ac:dyDescent="0.35">
      <c r="A2" s="23" t="s">
        <v>1</v>
      </c>
    </row>
    <row r="3" spans="1:7" x14ac:dyDescent="0.25">
      <c r="A3" s="6" t="s">
        <v>11</v>
      </c>
      <c r="B3" s="5">
        <v>1</v>
      </c>
      <c r="C3" s="5">
        <v>2</v>
      </c>
      <c r="D3" s="5">
        <v>3</v>
      </c>
      <c r="E3" s="5">
        <v>4</v>
      </c>
      <c r="F3" s="5">
        <v>5</v>
      </c>
    </row>
    <row r="4" spans="1:7" x14ac:dyDescent="0.25">
      <c r="A4" s="21" t="s">
        <v>2</v>
      </c>
      <c r="B4" s="18">
        <v>200000</v>
      </c>
      <c r="C4" s="5">
        <f>+B4+25000</f>
        <v>225000</v>
      </c>
      <c r="D4" s="5">
        <f>+C4+25000</f>
        <v>250000</v>
      </c>
      <c r="E4" s="5">
        <f>+D4</f>
        <v>250000</v>
      </c>
      <c r="F4" s="5">
        <f>+E4</f>
        <v>250000</v>
      </c>
    </row>
    <row r="5" spans="1:7" x14ac:dyDescent="0.25">
      <c r="A5" s="22" t="s">
        <v>52</v>
      </c>
      <c r="B5" s="5">
        <f>+B4</f>
        <v>200000</v>
      </c>
      <c r="C5" s="5">
        <f>+C4-B4</f>
        <v>25000</v>
      </c>
      <c r="D5" s="5">
        <f>+D4-C4</f>
        <v>25000</v>
      </c>
      <c r="E5" s="5">
        <f>+E4-D4</f>
        <v>0</v>
      </c>
      <c r="F5" s="5">
        <f>+F4-E4</f>
        <v>0</v>
      </c>
    </row>
    <row r="6" spans="1:7" x14ac:dyDescent="0.25">
      <c r="A6" s="19"/>
      <c r="B6" s="19"/>
      <c r="C6" s="19"/>
      <c r="D6" s="19"/>
      <c r="E6" s="19"/>
      <c r="F6" s="19"/>
    </row>
    <row r="7" spans="1:7" x14ac:dyDescent="0.25">
      <c r="A7" s="2" t="s">
        <v>53</v>
      </c>
    </row>
    <row r="8" spans="1:7" x14ac:dyDescent="0.25">
      <c r="A8" t="s">
        <v>0</v>
      </c>
      <c r="B8" s="1">
        <v>0.3</v>
      </c>
      <c r="C8" t="s">
        <v>54</v>
      </c>
    </row>
    <row r="9" spans="1:7" x14ac:dyDescent="0.25">
      <c r="A9" t="s">
        <v>59</v>
      </c>
      <c r="B9">
        <v>8200</v>
      </c>
      <c r="C9" t="s">
        <v>3</v>
      </c>
    </row>
    <row r="11" spans="1:7" x14ac:dyDescent="0.25">
      <c r="A11" s="2" t="s">
        <v>4</v>
      </c>
    </row>
    <row r="12" spans="1:7" x14ac:dyDescent="0.25">
      <c r="A12" t="s">
        <v>15</v>
      </c>
      <c r="B12">
        <v>5000</v>
      </c>
      <c r="C12" t="s">
        <v>3</v>
      </c>
    </row>
    <row r="13" spans="1:7" x14ac:dyDescent="0.25">
      <c r="A13" t="s">
        <v>12</v>
      </c>
      <c r="B13">
        <v>1000</v>
      </c>
      <c r="C13" t="s">
        <v>3</v>
      </c>
    </row>
    <row r="15" spans="1:7" x14ac:dyDescent="0.25">
      <c r="A15" s="2" t="s">
        <v>5</v>
      </c>
    </row>
    <row r="16" spans="1:7" x14ac:dyDescent="0.25">
      <c r="C16" t="s">
        <v>7</v>
      </c>
      <c r="D16" t="s">
        <v>0</v>
      </c>
    </row>
    <row r="17" spans="1:7" x14ac:dyDescent="0.25">
      <c r="A17" t="s">
        <v>6</v>
      </c>
      <c r="B17">
        <v>120000</v>
      </c>
      <c r="C17" s="1">
        <v>0.7</v>
      </c>
      <c r="D17" s="1">
        <v>0.3</v>
      </c>
    </row>
    <row r="18" spans="1:7" x14ac:dyDescent="0.25">
      <c r="A18" t="s">
        <v>45</v>
      </c>
      <c r="B18" s="1">
        <v>0.35</v>
      </c>
    </row>
    <row r="19" spans="1:7" x14ac:dyDescent="0.25">
      <c r="A19" t="s">
        <v>46</v>
      </c>
      <c r="B19" s="1">
        <v>0.2</v>
      </c>
    </row>
    <row r="21" spans="1:7" x14ac:dyDescent="0.25">
      <c r="A21" s="6" t="s">
        <v>9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</row>
    <row r="22" spans="1:7" x14ac:dyDescent="0.25">
      <c r="A22" s="6" t="s">
        <v>55</v>
      </c>
      <c r="B22" s="5">
        <v>20000</v>
      </c>
      <c r="C22" s="5">
        <f>+(C5*B22)/B5</f>
        <v>2500</v>
      </c>
      <c r="D22" s="5">
        <f>+C22</f>
        <v>2500</v>
      </c>
      <c r="E22" s="5">
        <v>0</v>
      </c>
      <c r="F22" s="5">
        <v>0</v>
      </c>
    </row>
    <row r="23" spans="1:7" x14ac:dyDescent="0.25">
      <c r="A23" s="2"/>
    </row>
    <row r="24" spans="1:7" x14ac:dyDescent="0.25">
      <c r="A24" s="2" t="s">
        <v>10</v>
      </c>
      <c r="B24" s="1">
        <v>0.3</v>
      </c>
    </row>
    <row r="25" spans="1:7" x14ac:dyDescent="0.25">
      <c r="A25" s="2" t="s">
        <v>44</v>
      </c>
      <c r="B25" s="1">
        <v>0.14000000000000001</v>
      </c>
    </row>
    <row r="26" spans="1:7" x14ac:dyDescent="0.25">
      <c r="A26" s="2"/>
    </row>
    <row r="27" spans="1:7" ht="23.25" x14ac:dyDescent="0.35">
      <c r="A27" s="23" t="s">
        <v>57</v>
      </c>
    </row>
    <row r="28" spans="1:7" ht="26.25" x14ac:dyDescent="0.4">
      <c r="A28" s="14" t="s">
        <v>27</v>
      </c>
    </row>
    <row r="29" spans="1:7" x14ac:dyDescent="0.25">
      <c r="A29" s="2" t="s">
        <v>56</v>
      </c>
    </row>
    <row r="30" spans="1:7" x14ac:dyDescent="0.25">
      <c r="A30" s="20" t="s">
        <v>11</v>
      </c>
      <c r="B30" s="20">
        <v>0</v>
      </c>
      <c r="C30" s="20">
        <v>1</v>
      </c>
      <c r="D30" s="20">
        <v>2</v>
      </c>
      <c r="E30" s="20">
        <v>3</v>
      </c>
      <c r="F30" s="20">
        <v>4</v>
      </c>
      <c r="G30" s="20">
        <v>5</v>
      </c>
    </row>
    <row r="31" spans="1:7" x14ac:dyDescent="0.25">
      <c r="A31" s="5" t="s">
        <v>2</v>
      </c>
      <c r="B31" s="5"/>
      <c r="C31" s="5">
        <v>200000</v>
      </c>
      <c r="D31" s="5">
        <f>+C31+25000</f>
        <v>225000</v>
      </c>
      <c r="E31" s="5">
        <f>+D31+25000</f>
        <v>250000</v>
      </c>
      <c r="F31" s="5">
        <f>+E31</f>
        <v>250000</v>
      </c>
      <c r="G31" s="5">
        <f>+F31</f>
        <v>250000</v>
      </c>
    </row>
    <row r="32" spans="1:7" x14ac:dyDescent="0.25">
      <c r="A32" s="5" t="s">
        <v>13</v>
      </c>
      <c r="B32" s="5"/>
      <c r="C32" s="5">
        <f>+$B$9*12</f>
        <v>98400</v>
      </c>
      <c r="D32" s="5">
        <f t="shared" ref="D32:G32" si="0">+$B$9*12</f>
        <v>98400</v>
      </c>
      <c r="E32" s="5">
        <f t="shared" si="0"/>
        <v>98400</v>
      </c>
      <c r="F32" s="5">
        <f t="shared" si="0"/>
        <v>98400</v>
      </c>
      <c r="G32" s="5">
        <f t="shared" si="0"/>
        <v>98400</v>
      </c>
    </row>
    <row r="33" spans="1:9" x14ac:dyDescent="0.25">
      <c r="A33" s="5" t="s">
        <v>14</v>
      </c>
      <c r="B33" s="5"/>
      <c r="C33" s="5">
        <f>+$B$13*12</f>
        <v>12000</v>
      </c>
      <c r="D33" s="5">
        <f t="shared" ref="D33:G33" si="1">+$B$13*12</f>
        <v>12000</v>
      </c>
      <c r="E33" s="5">
        <f t="shared" si="1"/>
        <v>12000</v>
      </c>
      <c r="F33" s="5">
        <f t="shared" si="1"/>
        <v>12000</v>
      </c>
      <c r="G33" s="5">
        <f t="shared" si="1"/>
        <v>12000</v>
      </c>
    </row>
    <row r="34" spans="1:9" x14ac:dyDescent="0.25">
      <c r="A34" s="7" t="s">
        <v>16</v>
      </c>
      <c r="B34" s="5"/>
      <c r="C34" s="5">
        <f>+$B$12*12</f>
        <v>60000</v>
      </c>
      <c r="D34" s="5">
        <f t="shared" ref="D34:G34" si="2">+$B$12*12</f>
        <v>60000</v>
      </c>
      <c r="E34" s="5">
        <f t="shared" si="2"/>
        <v>60000</v>
      </c>
      <c r="F34" s="5">
        <f t="shared" si="2"/>
        <v>60000</v>
      </c>
      <c r="G34" s="5">
        <f t="shared" si="2"/>
        <v>60000</v>
      </c>
    </row>
    <row r="35" spans="1:9" x14ac:dyDescent="0.25">
      <c r="A35" s="7" t="s">
        <v>17</v>
      </c>
      <c r="B35" s="5"/>
      <c r="C35" s="5">
        <f>+$B$17*$B$19</f>
        <v>24000</v>
      </c>
      <c r="D35" s="5">
        <f t="shared" ref="D35:G35" si="3">+$B$17*$B$19</f>
        <v>24000</v>
      </c>
      <c r="E35" s="5">
        <f t="shared" si="3"/>
        <v>24000</v>
      </c>
      <c r="F35" s="5">
        <f t="shared" si="3"/>
        <v>24000</v>
      </c>
      <c r="G35" s="5">
        <f t="shared" si="3"/>
        <v>24000</v>
      </c>
    </row>
    <row r="36" spans="1:9" ht="19.5" customHeight="1" x14ac:dyDescent="0.25">
      <c r="A36" s="7" t="s">
        <v>26</v>
      </c>
      <c r="B36" s="5"/>
      <c r="C36" s="5"/>
      <c r="D36" s="5"/>
      <c r="E36" s="5"/>
      <c r="F36" s="5"/>
      <c r="G36" s="5">
        <f>+$B$17*$B$18-($B$17-($C$35*5))</f>
        <v>42000</v>
      </c>
    </row>
    <row r="37" spans="1:9" ht="17.25" customHeight="1" x14ac:dyDescent="0.25">
      <c r="A37" s="7" t="s">
        <v>18</v>
      </c>
      <c r="B37" s="5"/>
      <c r="C37" s="5">
        <f>+C31-C32-C33-C34-C35</f>
        <v>5600</v>
      </c>
      <c r="D37" s="5">
        <f>+D31-D32-D33-D34-D35</f>
        <v>30600</v>
      </c>
      <c r="E37" s="5">
        <f>+E31-E32-E33-E34-E35</f>
        <v>55600</v>
      </c>
      <c r="F37" s="5">
        <f>+F31-F32-F33-F34-F35</f>
        <v>55600</v>
      </c>
      <c r="G37" s="5">
        <f>+G31-G32-G33-G34-G35+G36</f>
        <v>97600</v>
      </c>
    </row>
    <row r="38" spans="1:9" x14ac:dyDescent="0.25">
      <c r="A38" s="7" t="s">
        <v>20</v>
      </c>
      <c r="B38" s="5"/>
      <c r="C38" s="5">
        <f>+C37*0.3</f>
        <v>1680</v>
      </c>
      <c r="D38" s="5">
        <f t="shared" ref="D38:F38" si="4">+D37*0.3</f>
        <v>9180</v>
      </c>
      <c r="E38" s="5">
        <f t="shared" si="4"/>
        <v>16680</v>
      </c>
      <c r="F38" s="5">
        <f t="shared" si="4"/>
        <v>16680</v>
      </c>
      <c r="G38" s="5">
        <f>+G37*0.3</f>
        <v>29280</v>
      </c>
    </row>
    <row r="39" spans="1:9" x14ac:dyDescent="0.25">
      <c r="A39" s="7" t="s">
        <v>19</v>
      </c>
      <c r="B39" s="5"/>
      <c r="C39" s="5">
        <f>+C37-C38</f>
        <v>3920</v>
      </c>
      <c r="D39" s="5">
        <f t="shared" ref="D39:G39" si="5">+D37-D38</f>
        <v>21420</v>
      </c>
      <c r="E39" s="5">
        <f t="shared" si="5"/>
        <v>38920</v>
      </c>
      <c r="F39" s="5">
        <f t="shared" si="5"/>
        <v>38920</v>
      </c>
      <c r="G39" s="5">
        <f t="shared" si="5"/>
        <v>68320</v>
      </c>
    </row>
    <row r="40" spans="1:9" x14ac:dyDescent="0.25">
      <c r="A40" s="7" t="s">
        <v>21</v>
      </c>
      <c r="B40" s="5"/>
      <c r="C40" s="5">
        <f>+C35</f>
        <v>24000</v>
      </c>
      <c r="D40" s="5">
        <f t="shared" ref="D40:G40" si="6">+D35</f>
        <v>24000</v>
      </c>
      <c r="E40" s="5">
        <f t="shared" si="6"/>
        <v>24000</v>
      </c>
      <c r="F40" s="5">
        <f t="shared" si="6"/>
        <v>24000</v>
      </c>
      <c r="G40" s="5">
        <f t="shared" si="6"/>
        <v>24000</v>
      </c>
    </row>
    <row r="41" spans="1:9" x14ac:dyDescent="0.25">
      <c r="A41" s="7" t="s">
        <v>6</v>
      </c>
      <c r="B41" s="5">
        <f>-$B$17</f>
        <v>-120000</v>
      </c>
      <c r="C41" s="5"/>
      <c r="D41" s="5"/>
      <c r="E41" s="5"/>
      <c r="F41" s="5"/>
      <c r="G41" s="5"/>
    </row>
    <row r="42" spans="1:9" x14ac:dyDescent="0.25">
      <c r="A42" s="7" t="s">
        <v>8</v>
      </c>
      <c r="B42" s="5">
        <f>-$B$22</f>
        <v>-20000</v>
      </c>
      <c r="C42" s="5">
        <f>-$C$22</f>
        <v>-2500</v>
      </c>
      <c r="D42" s="5">
        <f>-$D$22</f>
        <v>-2500</v>
      </c>
      <c r="E42" s="5"/>
      <c r="F42" s="5"/>
      <c r="G42" s="5"/>
    </row>
    <row r="43" spans="1:9" ht="30" x14ac:dyDescent="0.25">
      <c r="A43" s="7" t="s">
        <v>22</v>
      </c>
      <c r="B43" s="5"/>
      <c r="C43" s="5"/>
      <c r="D43" s="5"/>
      <c r="E43" s="5"/>
      <c r="F43" s="5"/>
      <c r="G43" s="5">
        <f>-(B42+C42+D42)</f>
        <v>25000</v>
      </c>
    </row>
    <row r="44" spans="1:9" x14ac:dyDescent="0.25">
      <c r="A44" s="6" t="s">
        <v>47</v>
      </c>
      <c r="B44" s="5">
        <f>+B41+B42</f>
        <v>-140000</v>
      </c>
      <c r="C44" s="5">
        <f>+C39+C40+C42</f>
        <v>25420</v>
      </c>
      <c r="D44" s="5">
        <f>+D39+D40+D42</f>
        <v>42920</v>
      </c>
      <c r="E44" s="5">
        <f>+E39+E40</f>
        <v>62920</v>
      </c>
      <c r="F44" s="5">
        <f>+F39+F40</f>
        <v>62920</v>
      </c>
      <c r="G44" s="5">
        <f>+G39+G40+G43</f>
        <v>117320</v>
      </c>
    </row>
    <row r="45" spans="1:9" ht="15.75" thickBot="1" x14ac:dyDescent="0.3">
      <c r="A45" s="2" t="s">
        <v>48</v>
      </c>
      <c r="B45" s="1">
        <v>0.14000000000000001</v>
      </c>
      <c r="I45" s="3"/>
    </row>
    <row r="46" spans="1:9" ht="15.75" thickBot="1" x14ac:dyDescent="0.3">
      <c r="A46" s="2" t="s">
        <v>24</v>
      </c>
      <c r="B46" s="34">
        <f>+NPV(B45,C44:G44)+B44</f>
        <v>55979.022490236996</v>
      </c>
      <c r="C46" s="35"/>
      <c r="I46" s="4"/>
    </row>
    <row r="47" spans="1:9" x14ac:dyDescent="0.25">
      <c r="A47" s="2" t="s">
        <v>25</v>
      </c>
      <c r="B47" s="1">
        <f>+IRR(B44:G44)</f>
        <v>0.26158596319530791</v>
      </c>
    </row>
    <row r="48" spans="1:9" ht="26.25" x14ac:dyDescent="0.4">
      <c r="A48" s="15" t="s">
        <v>28</v>
      </c>
    </row>
    <row r="49" spans="1:7" x14ac:dyDescent="0.25">
      <c r="A49" s="2" t="s">
        <v>30</v>
      </c>
    </row>
    <row r="50" spans="1:7" x14ac:dyDescent="0.25">
      <c r="A50" s="20" t="s">
        <v>11</v>
      </c>
      <c r="B50" s="20">
        <v>0</v>
      </c>
      <c r="C50" s="20">
        <v>1</v>
      </c>
      <c r="D50" s="20">
        <v>2</v>
      </c>
      <c r="E50" s="20">
        <v>3</v>
      </c>
      <c r="F50" s="20">
        <v>4</v>
      </c>
      <c r="G50" s="20">
        <v>5</v>
      </c>
    </row>
    <row r="51" spans="1:7" x14ac:dyDescent="0.25">
      <c r="A51" s="5" t="s">
        <v>2</v>
      </c>
      <c r="B51" s="5"/>
      <c r="C51" s="5">
        <v>200000</v>
      </c>
      <c r="D51" s="5">
        <f>+C51+25000</f>
        <v>225000</v>
      </c>
      <c r="E51" s="5">
        <f>+D51+25000</f>
        <v>250000</v>
      </c>
      <c r="F51" s="5">
        <f>+E51</f>
        <v>250000</v>
      </c>
      <c r="G51" s="5">
        <f>+F51</f>
        <v>250000</v>
      </c>
    </row>
    <row r="52" spans="1:7" x14ac:dyDescent="0.25">
      <c r="A52" s="5" t="s">
        <v>13</v>
      </c>
      <c r="B52" s="5"/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x14ac:dyDescent="0.25">
      <c r="A53" s="5" t="s">
        <v>14</v>
      </c>
      <c r="B53" s="5"/>
      <c r="C53" s="5">
        <f>+$B$13*12</f>
        <v>12000</v>
      </c>
      <c r="D53" s="5">
        <f t="shared" ref="D53:G53" si="7">+$B$13*12</f>
        <v>12000</v>
      </c>
      <c r="E53" s="5">
        <f t="shared" si="7"/>
        <v>12000</v>
      </c>
      <c r="F53" s="5">
        <f t="shared" si="7"/>
        <v>12000</v>
      </c>
      <c r="G53" s="5">
        <f t="shared" si="7"/>
        <v>12000</v>
      </c>
    </row>
    <row r="54" spans="1:7" x14ac:dyDescent="0.25">
      <c r="A54" s="7" t="s">
        <v>16</v>
      </c>
      <c r="B54" s="5"/>
      <c r="C54" s="5">
        <f>+$B$12*12</f>
        <v>60000</v>
      </c>
      <c r="D54" s="5">
        <f t="shared" ref="D54:G54" si="8">+$B$12*12</f>
        <v>60000</v>
      </c>
      <c r="E54" s="5">
        <f t="shared" si="8"/>
        <v>60000</v>
      </c>
      <c r="F54" s="5">
        <f t="shared" si="8"/>
        <v>60000</v>
      </c>
      <c r="G54" s="5">
        <f t="shared" si="8"/>
        <v>60000</v>
      </c>
    </row>
    <row r="55" spans="1:7" x14ac:dyDescent="0.25">
      <c r="A55" s="7" t="s">
        <v>17</v>
      </c>
      <c r="B55" s="5"/>
      <c r="C55" s="5">
        <f>+$B$17*$B$19</f>
        <v>24000</v>
      </c>
      <c r="D55" s="5">
        <f t="shared" ref="D55:G55" si="9">+$B$17*$B$19</f>
        <v>24000</v>
      </c>
      <c r="E55" s="5">
        <f t="shared" si="9"/>
        <v>24000</v>
      </c>
      <c r="F55" s="5">
        <f t="shared" si="9"/>
        <v>24000</v>
      </c>
      <c r="G55" s="5">
        <f t="shared" si="9"/>
        <v>24000</v>
      </c>
    </row>
    <row r="56" spans="1:7" x14ac:dyDescent="0.25">
      <c r="A56" s="7" t="s">
        <v>26</v>
      </c>
      <c r="B56" s="5"/>
      <c r="C56" s="5"/>
      <c r="D56" s="5"/>
      <c r="E56" s="5"/>
      <c r="F56" s="5"/>
      <c r="G56" s="5">
        <f>+$B$17*$B$18-($B$17-($C$35*5))</f>
        <v>42000</v>
      </c>
    </row>
    <row r="57" spans="1:7" x14ac:dyDescent="0.25">
      <c r="A57" s="7" t="s">
        <v>18</v>
      </c>
      <c r="B57" s="5"/>
      <c r="C57" s="5">
        <f>+C51-C52-C53-C54-C55</f>
        <v>104000</v>
      </c>
      <c r="D57" s="5">
        <f>+D51-D52-D53-D54-D55</f>
        <v>129000</v>
      </c>
      <c r="E57" s="5">
        <f>+E51-E52-E53-E54-E55</f>
        <v>154000</v>
      </c>
      <c r="F57" s="5">
        <f>+F51-F52-F53-F54-F55</f>
        <v>154000</v>
      </c>
      <c r="G57" s="5">
        <f>+G51-G52-G53-G54-G55+G56</f>
        <v>196000</v>
      </c>
    </row>
    <row r="58" spans="1:7" x14ac:dyDescent="0.25">
      <c r="A58" s="7" t="s">
        <v>20</v>
      </c>
      <c r="B58" s="5"/>
      <c r="C58" s="5">
        <f>+C57*0.3</f>
        <v>31200</v>
      </c>
      <c r="D58" s="5">
        <f t="shared" ref="D58" si="10">+D57*0.3</f>
        <v>38700</v>
      </c>
      <c r="E58" s="5">
        <f t="shared" ref="E58" si="11">+E57*0.3</f>
        <v>46200</v>
      </c>
      <c r="F58" s="5">
        <f t="shared" ref="F58" si="12">+F57*0.3</f>
        <v>46200</v>
      </c>
      <c r="G58" s="5">
        <f>+G57*0.3</f>
        <v>58800</v>
      </c>
    </row>
    <row r="59" spans="1:7" x14ac:dyDescent="0.25">
      <c r="A59" s="16" t="s">
        <v>19</v>
      </c>
      <c r="B59" s="6"/>
      <c r="C59" s="6">
        <f>+C57-C58</f>
        <v>72800</v>
      </c>
      <c r="D59" s="6">
        <f t="shared" ref="D59" si="13">+D57-D58</f>
        <v>90300</v>
      </c>
      <c r="E59" s="6">
        <f t="shared" ref="E59" si="14">+E57-E58</f>
        <v>107800</v>
      </c>
      <c r="F59" s="6">
        <f t="shared" ref="F59" si="15">+F57-F58</f>
        <v>107800</v>
      </c>
      <c r="G59" s="6">
        <f>+G57-G58</f>
        <v>137200</v>
      </c>
    </row>
    <row r="60" spans="1:7" x14ac:dyDescent="0.25">
      <c r="A60" s="7" t="s">
        <v>21</v>
      </c>
      <c r="B60" s="5"/>
      <c r="C60" s="5">
        <f>+C55</f>
        <v>24000</v>
      </c>
      <c r="D60" s="5">
        <f t="shared" ref="D60:F60" si="16">+D55</f>
        <v>24000</v>
      </c>
      <c r="E60" s="5">
        <f t="shared" si="16"/>
        <v>24000</v>
      </c>
      <c r="F60" s="5">
        <f t="shared" si="16"/>
        <v>24000</v>
      </c>
      <c r="G60" s="5">
        <f>+G55</f>
        <v>24000</v>
      </c>
    </row>
    <row r="61" spans="1:7" x14ac:dyDescent="0.25">
      <c r="A61" s="7" t="s">
        <v>6</v>
      </c>
      <c r="B61" s="5">
        <f>-$B$17</f>
        <v>-120000</v>
      </c>
      <c r="C61" s="5"/>
      <c r="D61" s="5"/>
      <c r="E61" s="5"/>
      <c r="F61" s="5"/>
      <c r="G61" s="5"/>
    </row>
    <row r="62" spans="1:7" x14ac:dyDescent="0.25">
      <c r="A62" s="7" t="s">
        <v>29</v>
      </c>
      <c r="B62" s="5">
        <f>+$B$17*$D$17</f>
        <v>36000</v>
      </c>
      <c r="C62" s="5"/>
      <c r="D62" s="5"/>
      <c r="E62" s="5"/>
      <c r="F62" s="5"/>
      <c r="G62" s="5"/>
    </row>
    <row r="63" spans="1:7" x14ac:dyDescent="0.25">
      <c r="A63" s="7" t="s">
        <v>8</v>
      </c>
      <c r="B63" s="5">
        <f>-$B$22</f>
        <v>-20000</v>
      </c>
      <c r="C63" s="5">
        <f>-$C$22</f>
        <v>-2500</v>
      </c>
      <c r="D63" s="5">
        <f>-$D$22</f>
        <v>-2500</v>
      </c>
      <c r="E63" s="5"/>
      <c r="F63" s="5"/>
      <c r="G63" s="5"/>
    </row>
    <row r="64" spans="1:7" ht="30" x14ac:dyDescent="0.25">
      <c r="A64" s="7" t="s">
        <v>22</v>
      </c>
      <c r="B64" s="5"/>
      <c r="C64" s="5"/>
      <c r="D64" s="5"/>
      <c r="E64" s="5"/>
      <c r="F64" s="5"/>
      <c r="G64" s="5">
        <f>-(B63+C63+D63)</f>
        <v>25000</v>
      </c>
    </row>
    <row r="65" spans="1:7" x14ac:dyDescent="0.25">
      <c r="A65" s="7" t="s">
        <v>58</v>
      </c>
      <c r="B65" s="5"/>
      <c r="C65" s="5">
        <f>C59*0.3</f>
        <v>21840</v>
      </c>
      <c r="D65" s="5">
        <f t="shared" ref="D65:G65" si="17">D59*0.3</f>
        <v>27090</v>
      </c>
      <c r="E65" s="5">
        <f t="shared" si="17"/>
        <v>32340</v>
      </c>
      <c r="F65" s="5">
        <f t="shared" si="17"/>
        <v>32340</v>
      </c>
      <c r="G65" s="5">
        <f t="shared" si="17"/>
        <v>41160</v>
      </c>
    </row>
    <row r="66" spans="1:7" x14ac:dyDescent="0.25">
      <c r="A66" s="6" t="s">
        <v>23</v>
      </c>
      <c r="B66" s="5">
        <f>+B61+B63+B62</f>
        <v>-104000</v>
      </c>
      <c r="C66" s="5">
        <f>+C59+C60+C63-C65</f>
        <v>72460</v>
      </c>
      <c r="D66" s="5">
        <f>+D59+D60+D63-D65</f>
        <v>84710</v>
      </c>
      <c r="E66" s="5">
        <f>+E59+E60+E63-E65</f>
        <v>99460</v>
      </c>
      <c r="F66" s="5">
        <f>+F59+F60-F65</f>
        <v>99460</v>
      </c>
      <c r="G66" s="5">
        <f>+G59+G60-G65+G64</f>
        <v>145040</v>
      </c>
    </row>
    <row r="67" spans="1:7" ht="20.25" customHeight="1" x14ac:dyDescent="0.25">
      <c r="A67" s="31"/>
      <c r="B67" s="32"/>
      <c r="C67" s="32"/>
      <c r="D67" s="32"/>
      <c r="E67" s="32"/>
      <c r="F67" s="32"/>
      <c r="G67" s="32"/>
    </row>
    <row r="68" spans="1:7" ht="20.25" customHeight="1" thickBot="1" x14ac:dyDescent="0.3">
      <c r="A68" s="9" t="s">
        <v>48</v>
      </c>
      <c r="B68" s="10">
        <v>0.14000000000000001</v>
      </c>
      <c r="C68" s="9"/>
      <c r="D68" s="9"/>
      <c r="E68" s="9"/>
      <c r="F68" s="9"/>
      <c r="G68" s="9"/>
    </row>
    <row r="69" spans="1:7" ht="15.75" thickBot="1" x14ac:dyDescent="0.3">
      <c r="A69" t="s">
        <v>31</v>
      </c>
      <c r="B69" s="34">
        <f>+NPV(B68,C66:G66)+B66</f>
        <v>226093.2003129301</v>
      </c>
      <c r="C69" s="35"/>
    </row>
    <row r="70" spans="1:7" x14ac:dyDescent="0.25">
      <c r="A70" t="s">
        <v>25</v>
      </c>
      <c r="B70" s="1">
        <f>+IRR(B66:G66)</f>
        <v>0.77303538913818715</v>
      </c>
    </row>
    <row r="72" spans="1:7" ht="26.25" x14ac:dyDescent="0.4">
      <c r="A72" s="15" t="s">
        <v>49</v>
      </c>
    </row>
    <row r="73" spans="1:7" ht="15.75" customHeight="1" x14ac:dyDescent="0.25">
      <c r="A73" s="8" t="s">
        <v>36</v>
      </c>
    </row>
    <row r="74" spans="1:7" ht="15.75" customHeight="1" x14ac:dyDescent="0.25">
      <c r="A74" s="13" t="s">
        <v>38</v>
      </c>
      <c r="B74" t="s">
        <v>37</v>
      </c>
      <c r="C74">
        <v>0</v>
      </c>
    </row>
    <row r="75" spans="1:7" ht="15.75" customHeight="1" thickBot="1" x14ac:dyDescent="0.3">
      <c r="A75" s="13" t="s">
        <v>39</v>
      </c>
      <c r="B75" t="s">
        <v>37</v>
      </c>
      <c r="C75">
        <f>+G64</f>
        <v>25000</v>
      </c>
    </row>
    <row r="76" spans="1:7" ht="15.75" customHeight="1" thickBot="1" x14ac:dyDescent="0.3">
      <c r="A76" s="8" t="s">
        <v>50</v>
      </c>
      <c r="B76" t="s">
        <v>37</v>
      </c>
      <c r="C76" s="17">
        <f>+C74+C75</f>
        <v>25000</v>
      </c>
    </row>
    <row r="77" spans="1:7" ht="15.75" customHeight="1" x14ac:dyDescent="0.35">
      <c r="A77" s="11"/>
    </row>
    <row r="78" spans="1:7" x14ac:dyDescent="0.25">
      <c r="A78" s="2" t="s">
        <v>32</v>
      </c>
    </row>
    <row r="79" spans="1:7" x14ac:dyDescent="0.25">
      <c r="A79" s="12" t="s">
        <v>33</v>
      </c>
      <c r="B79" t="s">
        <v>37</v>
      </c>
      <c r="C79">
        <f>+$B$17*$B$18</f>
        <v>42000</v>
      </c>
    </row>
    <row r="80" spans="1:7" x14ac:dyDescent="0.25">
      <c r="A80" t="s">
        <v>34</v>
      </c>
      <c r="B80" t="s">
        <v>37</v>
      </c>
      <c r="C80">
        <v>0</v>
      </c>
    </row>
    <row r="81" spans="1:4" x14ac:dyDescent="0.25">
      <c r="A81" t="s">
        <v>35</v>
      </c>
      <c r="B81" t="s">
        <v>37</v>
      </c>
      <c r="C81">
        <f>+C79-C80</f>
        <v>42000</v>
      </c>
    </row>
    <row r="82" spans="1:4" x14ac:dyDescent="0.25">
      <c r="A82" t="s">
        <v>10</v>
      </c>
      <c r="B82" t="s">
        <v>37</v>
      </c>
      <c r="C82">
        <f>+C81*0.3</f>
        <v>12600</v>
      </c>
    </row>
    <row r="83" spans="1:4" x14ac:dyDescent="0.25">
      <c r="A83" t="s">
        <v>19</v>
      </c>
      <c r="B83" t="s">
        <v>37</v>
      </c>
      <c r="C83">
        <f>+C81-C82</f>
        <v>29400</v>
      </c>
    </row>
    <row r="84" spans="1:4" x14ac:dyDescent="0.25">
      <c r="A84" t="s">
        <v>34</v>
      </c>
      <c r="B84" t="s">
        <v>37</v>
      </c>
      <c r="C84">
        <v>0</v>
      </c>
    </row>
    <row r="85" spans="1:4" x14ac:dyDescent="0.25">
      <c r="A85" t="s">
        <v>40</v>
      </c>
      <c r="B85" t="s">
        <v>37</v>
      </c>
      <c r="C85">
        <f>+C83+C84</f>
        <v>29400</v>
      </c>
    </row>
    <row r="86" spans="1:4" ht="15.75" thickBot="1" x14ac:dyDescent="0.3">
      <c r="A86" s="13" t="s">
        <v>39</v>
      </c>
      <c r="B86" t="s">
        <v>37</v>
      </c>
      <c r="C86">
        <f>C75</f>
        <v>25000</v>
      </c>
    </row>
    <row r="87" spans="1:4" ht="15.75" thickBot="1" x14ac:dyDescent="0.3">
      <c r="A87" s="8" t="s">
        <v>50</v>
      </c>
      <c r="B87" t="s">
        <v>37</v>
      </c>
      <c r="C87" s="17">
        <f>+C85+C86</f>
        <v>54400</v>
      </c>
    </row>
    <row r="89" spans="1:4" x14ac:dyDescent="0.25">
      <c r="A89" s="2" t="s">
        <v>41</v>
      </c>
    </row>
    <row r="90" spans="1:4" x14ac:dyDescent="0.25">
      <c r="A90" t="s">
        <v>42</v>
      </c>
      <c r="B90" t="s">
        <v>37</v>
      </c>
      <c r="C90">
        <f>+(E44+F44)/2</f>
        <v>62920</v>
      </c>
      <c r="D90" t="s">
        <v>51</v>
      </c>
    </row>
    <row r="91" spans="1:4" x14ac:dyDescent="0.25">
      <c r="A91" t="s">
        <v>43</v>
      </c>
      <c r="B91" t="s">
        <v>37</v>
      </c>
      <c r="C91">
        <f>+F55</f>
        <v>24000</v>
      </c>
    </row>
    <row r="92" spans="1:4" ht="15.75" thickBot="1" x14ac:dyDescent="0.3">
      <c r="A92" t="s">
        <v>44</v>
      </c>
      <c r="B92" t="s">
        <v>37</v>
      </c>
      <c r="C92" s="1">
        <v>0.14000000000000001</v>
      </c>
    </row>
    <row r="93" spans="1:4" ht="15.75" thickBot="1" x14ac:dyDescent="0.3">
      <c r="A93" s="8" t="s">
        <v>50</v>
      </c>
      <c r="B93" t="s">
        <v>37</v>
      </c>
      <c r="C93" s="17">
        <f>+(C90-C91)/C92</f>
        <v>278000</v>
      </c>
    </row>
  </sheetData>
  <mergeCells count="4">
    <mergeCell ref="A67:G67"/>
    <mergeCell ref="A1:G1"/>
    <mergeCell ref="B69:C69"/>
    <mergeCell ref="B46:C46"/>
  </mergeCells>
  <pageMargins left="0.7" right="0.7" top="0.75" bottom="0.75" header="0.3" footer="0.3"/>
  <pageSetup paperSize="9" scale="82" orientation="portrait" horizontalDpi="0" verticalDpi="0" r:id="rId1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A</vt:lpstr>
      <vt:lpstr>formato B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CLIENTE</cp:lastModifiedBy>
  <dcterms:created xsi:type="dcterms:W3CDTF">2018-12-03T15:21:28Z</dcterms:created>
  <dcterms:modified xsi:type="dcterms:W3CDTF">2018-12-27T02:17:28Z</dcterms:modified>
</cp:coreProperties>
</file>