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C-448 EVALUACION PRIVADA DE PROYECTOS\Unidad 3\FABRICA NEUMATICOS\"/>
    </mc:Choice>
  </mc:AlternateContent>
  <xr:revisionPtr revIDLastSave="0" documentId="8_{5F336EAF-4278-4E52-8C33-E62BE26FAED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val Econ" sheetId="1" r:id="rId1"/>
  </sheets>
  <externalReferences>
    <externalReference r:id="rId2"/>
  </externalReferences>
  <calcPr calcId="191029"/>
</workbook>
</file>

<file path=xl/calcChain.xml><?xml version="1.0" encoding="utf-8"?>
<calcChain xmlns="http://schemas.openxmlformats.org/spreadsheetml/2006/main">
  <c r="D38" i="1" l="1"/>
  <c r="E38" i="1" s="1"/>
  <c r="F38" i="1" s="1"/>
  <c r="G38" i="1" s="1"/>
  <c r="E149" i="1"/>
  <c r="E153" i="1" s="1"/>
  <c r="E62" i="1"/>
  <c r="E61" i="1"/>
  <c r="C82" i="1"/>
  <c r="E53" i="1"/>
  <c r="D55" i="1"/>
  <c r="D54" i="1"/>
  <c r="D53" i="1"/>
  <c r="F53" i="1" l="1"/>
  <c r="C47" i="1"/>
  <c r="E8" i="1"/>
  <c r="C61" i="1" s="1"/>
  <c r="C96" i="1"/>
  <c r="C95" i="1"/>
  <c r="E95" i="1" s="1"/>
  <c r="F102" i="1" s="1"/>
  <c r="G127" i="1" s="1"/>
  <c r="C94" i="1"/>
  <c r="E94" i="1" s="1"/>
  <c r="E102" i="1" s="1"/>
  <c r="F127" i="1" s="1"/>
  <c r="C93" i="1"/>
  <c r="E93" i="1" s="1"/>
  <c r="D102" i="1" s="1"/>
  <c r="E127" i="1" s="1"/>
  <c r="C92" i="1"/>
  <c r="E92" i="1" s="1"/>
  <c r="C102" i="1" s="1"/>
  <c r="D127" i="1" s="1"/>
  <c r="H139" i="1"/>
  <c r="G139" i="1"/>
  <c r="C132" i="1"/>
  <c r="H121" i="1"/>
  <c r="F119" i="1"/>
  <c r="E96" i="1"/>
  <c r="G102" i="1" s="1"/>
  <c r="H127" i="1" s="1"/>
  <c r="H77" i="1"/>
  <c r="G77" i="1"/>
  <c r="F77" i="1"/>
  <c r="E77" i="1"/>
  <c r="D77" i="1"/>
  <c r="C107" i="1" s="1"/>
  <c r="D130" i="1" s="1"/>
  <c r="E70" i="1"/>
  <c r="D105" i="1" s="1"/>
  <c r="E129" i="1" s="1"/>
  <c r="F70" i="1"/>
  <c r="E105" i="1" s="1"/>
  <c r="F129" i="1" s="1"/>
  <c r="G70" i="1"/>
  <c r="F105" i="1" s="1"/>
  <c r="G129" i="1" s="1"/>
  <c r="H70" i="1"/>
  <c r="G105" i="1" s="1"/>
  <c r="H129" i="1" s="1"/>
  <c r="D70" i="1"/>
  <c r="C105" i="1" s="1"/>
  <c r="D129" i="1" s="1"/>
  <c r="F61" i="1" l="1"/>
  <c r="D107" i="1"/>
  <c r="E130" i="1" s="1"/>
  <c r="E107" i="1"/>
  <c r="F130" i="1" s="1"/>
  <c r="F107" i="1"/>
  <c r="G130" i="1" s="1"/>
  <c r="G107" i="1"/>
  <c r="H130" i="1" s="1"/>
  <c r="G61" i="1" l="1"/>
  <c r="H61" i="1" s="1"/>
  <c r="D56" i="1"/>
  <c r="C83" i="1" l="1"/>
  <c r="D83" i="1"/>
  <c r="E82" i="1" s="1"/>
  <c r="C103" i="1"/>
  <c r="E55" i="1"/>
  <c r="E54" i="1"/>
  <c r="E16" i="1" l="1"/>
  <c r="C121" i="1"/>
  <c r="E56" i="1"/>
  <c r="D103" i="1" s="1"/>
  <c r="D128" i="1"/>
  <c r="F55" i="1"/>
  <c r="F54" i="1"/>
  <c r="C84" i="1" l="1"/>
  <c r="D84" i="1"/>
  <c r="E83" i="1" s="1"/>
  <c r="D121" i="1" s="1"/>
  <c r="D125" i="1" s="1"/>
  <c r="F56" i="1"/>
  <c r="C85" i="1" s="1"/>
  <c r="E128" i="1"/>
  <c r="G55" i="1"/>
  <c r="G54" i="1"/>
  <c r="G53" i="1"/>
  <c r="D85" i="1" l="1"/>
  <c r="E84" i="1" s="1"/>
  <c r="E121" i="1" s="1"/>
  <c r="E125" i="1" s="1"/>
  <c r="E103" i="1"/>
  <c r="F128" i="1" s="1"/>
  <c r="G56" i="1"/>
  <c r="H55" i="1"/>
  <c r="H54" i="1"/>
  <c r="H53" i="1"/>
  <c r="F103" i="1" l="1"/>
  <c r="D86" i="1"/>
  <c r="E85" i="1" s="1"/>
  <c r="F121" i="1" s="1"/>
  <c r="C86" i="1"/>
  <c r="H56" i="1"/>
  <c r="F125" i="1" l="1"/>
  <c r="G103" i="1"/>
  <c r="D87" i="1"/>
  <c r="E86" i="1" s="1"/>
  <c r="G121" i="1" s="1"/>
  <c r="G125" i="1" s="1"/>
  <c r="C87" i="1"/>
  <c r="G128" i="1"/>
  <c r="H123" i="1" l="1"/>
  <c r="H128" i="1"/>
  <c r="E15" i="1"/>
  <c r="E9" i="1"/>
  <c r="C62" i="1" s="1"/>
  <c r="E10" i="1"/>
  <c r="H124" i="1" s="1"/>
  <c r="F106" i="1" l="1"/>
  <c r="E106" i="1"/>
  <c r="D106" i="1"/>
  <c r="C106" i="1"/>
  <c r="G106" i="1"/>
  <c r="F62" i="1"/>
  <c r="C63" i="1"/>
  <c r="C120" i="1"/>
  <c r="E11" i="1"/>
  <c r="C119" i="1" s="1"/>
  <c r="C125" i="1" l="1"/>
  <c r="C133" i="1" s="1"/>
  <c r="G62" i="1"/>
  <c r="H62" i="1" s="1"/>
  <c r="H63" i="1" s="1"/>
  <c r="H122" i="1" s="1"/>
  <c r="H125" i="1" s="1"/>
  <c r="F63" i="1"/>
  <c r="E17" i="1"/>
  <c r="F22" i="1" s="1"/>
  <c r="F104" i="1" l="1"/>
  <c r="F108" i="1" s="1"/>
  <c r="F110" i="1" s="1"/>
  <c r="D104" i="1"/>
  <c r="D108" i="1" s="1"/>
  <c r="C104" i="1"/>
  <c r="C108" i="1" s="1"/>
  <c r="G104" i="1"/>
  <c r="G108" i="1" s="1"/>
  <c r="G110" i="1" s="1"/>
  <c r="E104" i="1"/>
  <c r="E108" i="1" s="1"/>
  <c r="F23" i="1"/>
  <c r="F24" i="1"/>
  <c r="C135" i="1" l="1"/>
  <c r="C139" i="1" s="1"/>
  <c r="C140" i="1" s="1"/>
  <c r="C31" i="1"/>
  <c r="G31" i="1" s="1"/>
  <c r="C32" i="1" s="1"/>
  <c r="D32" i="1" s="1"/>
  <c r="F32" i="1"/>
  <c r="F33" i="1" s="1"/>
  <c r="F111" i="1"/>
  <c r="G131" i="1" s="1"/>
  <c r="G132" i="1" s="1"/>
  <c r="G133" i="1" s="1"/>
  <c r="G140" i="1" s="1"/>
  <c r="G111" i="1"/>
  <c r="H131" i="1" s="1"/>
  <c r="H132" i="1" s="1"/>
  <c r="H133" i="1" s="1"/>
  <c r="H140" i="1" s="1"/>
  <c r="C109" i="1" l="1"/>
  <c r="D137" i="1"/>
  <c r="F112" i="1"/>
  <c r="G112" i="1"/>
  <c r="C110" i="1"/>
  <c r="D138" i="1"/>
  <c r="F34" i="1"/>
  <c r="E32" i="1"/>
  <c r="D136" i="1" s="1"/>
  <c r="G32" i="1" l="1"/>
  <c r="C33" i="1" s="1"/>
  <c r="D139" i="1"/>
  <c r="C111" i="1"/>
  <c r="D131" i="1" l="1"/>
  <c r="D132" i="1" s="1"/>
  <c r="D133" i="1" s="1"/>
  <c r="C112" i="1"/>
  <c r="D33" i="1"/>
  <c r="E137" i="1" s="1"/>
  <c r="E138" i="1" s="1"/>
  <c r="D140" i="1" l="1"/>
  <c r="E33" i="1"/>
  <c r="D109" i="1"/>
  <c r="D110" i="1" l="1"/>
  <c r="E136" i="1"/>
  <c r="G33" i="1"/>
  <c r="C34" i="1" s="1"/>
  <c r="D34" i="1" s="1"/>
  <c r="F137" i="1" s="1"/>
  <c r="F138" i="1" s="1"/>
  <c r="C159" i="1" s="1"/>
  <c r="D111" i="1" l="1"/>
  <c r="E131" i="1" s="1"/>
  <c r="E132" i="1" s="1"/>
  <c r="E133" i="1" s="1"/>
  <c r="E139" i="1"/>
  <c r="E34" i="1"/>
  <c r="E109" i="1"/>
  <c r="E140" i="1" l="1"/>
  <c r="D112" i="1"/>
  <c r="E110" i="1"/>
  <c r="G34" i="1"/>
  <c r="F136" i="1"/>
  <c r="F139" i="1" l="1"/>
  <c r="E111" i="1"/>
  <c r="F131" i="1" s="1"/>
  <c r="F132" i="1" s="1"/>
  <c r="F133" i="1" s="1"/>
  <c r="C156" i="1" s="1"/>
  <c r="C157" i="1" l="1"/>
  <c r="C160" i="1"/>
  <c r="F140" i="1"/>
  <c r="C161" i="1" s="1"/>
  <c r="E11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Toshiba</author>
  </authors>
  <commentList>
    <comment ref="D149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Calcular desde el 30/01/2012 hasta el 29/01/2013, periodo de 01 año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5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Obtenido de DAMODARAM: procesamiento de alimentos. Es la beta desapalancado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<sst xmlns="http://schemas.openxmlformats.org/spreadsheetml/2006/main" count="136" uniqueCount="119">
  <si>
    <t>Activo</t>
  </si>
  <si>
    <t>Valor Unitario</t>
  </si>
  <si>
    <t xml:space="preserve">Cantidad </t>
  </si>
  <si>
    <t>Líneas de producción</t>
  </si>
  <si>
    <t xml:space="preserve">Obras físicas </t>
  </si>
  <si>
    <t>Terreno</t>
  </si>
  <si>
    <t>Inversión fija tangible</t>
  </si>
  <si>
    <t>Total</t>
  </si>
  <si>
    <t>Saneamiento lega de la empresa</t>
  </si>
  <si>
    <t xml:space="preserve">Puesta en marcha de la empresa </t>
  </si>
  <si>
    <t>Inversión total</t>
  </si>
  <si>
    <t>Capital de trabajo</t>
  </si>
  <si>
    <t>Costos de Producción</t>
  </si>
  <si>
    <t>Detalles</t>
  </si>
  <si>
    <t>Años</t>
  </si>
  <si>
    <t>Total (S/.)</t>
  </si>
  <si>
    <t>Gastos administrativos</t>
  </si>
  <si>
    <t>Gastos de Ventas</t>
  </si>
  <si>
    <t>Gastos de ventas</t>
  </si>
  <si>
    <t>Insumo</t>
  </si>
  <si>
    <t>Costo Unitario</t>
  </si>
  <si>
    <t>Goma</t>
  </si>
  <si>
    <t>Fibra de acero</t>
  </si>
  <si>
    <t>Mano de obra directa</t>
  </si>
  <si>
    <t>Año</t>
  </si>
  <si>
    <t>Volumen de produccion (kg/año)</t>
  </si>
  <si>
    <t>Precio unitario (S/.)</t>
  </si>
  <si>
    <t>Ingreso por ventas (S/.)</t>
  </si>
  <si>
    <t>Volumen de producción</t>
  </si>
  <si>
    <t xml:space="preserve">(+) Ventas netas en s/. </t>
  </si>
  <si>
    <t xml:space="preserve">(-) costos de produccion </t>
  </si>
  <si>
    <t xml:space="preserve">(-) Gastos administrativos </t>
  </si>
  <si>
    <t xml:space="preserve">(-) Gastos de Ventas </t>
  </si>
  <si>
    <t>(-) Impuestos (30%)</t>
  </si>
  <si>
    <t>Utilidad Neta</t>
  </si>
  <si>
    <t>Financiamiento</t>
  </si>
  <si>
    <t>%</t>
  </si>
  <si>
    <t>Inversión Total</t>
  </si>
  <si>
    <t>Monto a financiar</t>
  </si>
  <si>
    <t>Aporte propio</t>
  </si>
  <si>
    <t>Interes efectivo anual</t>
  </si>
  <si>
    <t>Plazo de amortizacion</t>
  </si>
  <si>
    <t>años</t>
  </si>
  <si>
    <t>utilidades antes del impuesto</t>
  </si>
  <si>
    <t>RUBROS</t>
  </si>
  <si>
    <t>AÑOS</t>
  </si>
  <si>
    <t>Inversiones y Liquidación</t>
  </si>
  <si>
    <t>Activo Fijo Tangible (-)</t>
  </si>
  <si>
    <t>Activo Fijo Intangible(-)</t>
  </si>
  <si>
    <t>Capital de Trabajo (-)</t>
  </si>
  <si>
    <t>Valor recupero Capital Trabajo (+)</t>
  </si>
  <si>
    <t>Valor recupero de Terreno (+)</t>
  </si>
  <si>
    <t>Flujo de Inversiones</t>
  </si>
  <si>
    <t>Costos y Gastos Operativos</t>
  </si>
  <si>
    <t>Ingresos en efectivo (+)</t>
  </si>
  <si>
    <t>Gastos de Administración(**)(-)</t>
  </si>
  <si>
    <t>Gastos de Ventas (-)</t>
  </si>
  <si>
    <t>Impuestos y Tributos (-)</t>
  </si>
  <si>
    <t>Flujo de Caja Operativo</t>
  </si>
  <si>
    <t>Flujo de Caja Económico (FCE)</t>
  </si>
  <si>
    <t>Financiamiento Neto</t>
  </si>
  <si>
    <t xml:space="preserve"> + Préstamos</t>
  </si>
  <si>
    <t xml:space="preserve"> - Amortizaciones</t>
  </si>
  <si>
    <t xml:space="preserve"> - Intereses</t>
  </si>
  <si>
    <t xml:space="preserve"> + Escudo Fiscal o tributario</t>
  </si>
  <si>
    <t>Flujo Financiamiento Neto</t>
  </si>
  <si>
    <t>Flujo de Caja Financiero (FCF)</t>
  </si>
  <si>
    <t>(*) sin depreciaciones</t>
  </si>
  <si>
    <t>(**) sin amortizacion de intangibles</t>
  </si>
  <si>
    <t>Producción anual (unidades)</t>
  </si>
  <si>
    <t>Costos de insumos</t>
  </si>
  <si>
    <t>RUBRO</t>
  </si>
  <si>
    <t>PERIODO (AÑOS)</t>
  </si>
  <si>
    <t>TOTAL</t>
  </si>
  <si>
    <t>TOTAL  inversión tangible</t>
  </si>
  <si>
    <t>TOTAL invesion intangible</t>
  </si>
  <si>
    <t>Utilidad antes de los gastos financieros</t>
  </si>
  <si>
    <t>incremento de capital de trabajo</t>
  </si>
  <si>
    <t>Costo anual de producción</t>
  </si>
  <si>
    <t>Requerim. capital de trabajo</t>
  </si>
  <si>
    <t>Inversión Inicial</t>
  </si>
  <si>
    <t>Inversión fija intangible</t>
  </si>
  <si>
    <t>AMORTIZACIONES DEL FINANCIAMIENTO</t>
  </si>
  <si>
    <t>Capital Inicial</t>
  </si>
  <si>
    <t>Amortizacion anual prestamo</t>
  </si>
  <si>
    <t>Devolución del capital</t>
  </si>
  <si>
    <t>Intereses  anual</t>
  </si>
  <si>
    <t>Capital final</t>
  </si>
  <si>
    <t>Variación capital de trabajo (S/.)</t>
  </si>
  <si>
    <t>AMORTIZACION DE LAS DEPRECIACIONES</t>
  </si>
  <si>
    <t>Linea de producción</t>
  </si>
  <si>
    <t>Obras fisicas</t>
  </si>
  <si>
    <t>Valor de compra</t>
  </si>
  <si>
    <t>Vida util</t>
  </si>
  <si>
    <t>Tasa Deprec.</t>
  </si>
  <si>
    <t>Deprec. Anual</t>
  </si>
  <si>
    <t>Deprec.Acum.</t>
  </si>
  <si>
    <t>Valor Residual</t>
  </si>
  <si>
    <t>Activo fijo</t>
  </si>
  <si>
    <t>(-) Depreciaciones</t>
  </si>
  <si>
    <t>(-) Amortizacion intangibles</t>
  </si>
  <si>
    <t>interese o gastos finanancieros</t>
  </si>
  <si>
    <t>Valor de recupero de Activo Fijo (+)</t>
  </si>
  <si>
    <t>Costos de Producción (*) (-)</t>
  </si>
  <si>
    <t>FLUJO DE CAJA ECONOMICO Y FINANCIERO</t>
  </si>
  <si>
    <t>RENTABILIDAD FINANCIERA</t>
  </si>
  <si>
    <t>RENTABILIDAD ECONÓMICA</t>
  </si>
  <si>
    <t>OBTENCION DEL COK desapalancado = Ru</t>
  </si>
  <si>
    <t>Interpretación  de resultados</t>
  </si>
  <si>
    <t>Se recupera la inversión total y se obtiene la rentabilidad minima exigida de 16%, ademas de ello incorpora valor a la empresa en S/.  770,055 al ejecutar este proyecto, lo cual significa que se esta obteniendo una rentabilidad de 37% promedio anual</t>
  </si>
  <si>
    <t>Se recupera la inversión de los accionistas y se obtiene con  el co financiamiento de terceros un incremento en el valor de la empresa en S/. 824,020,  lo cual significa que se esta obteniendo una rentabilidad financiera de 50%, esto gracias al valor que incorpora el escudo fiscal  por un monto de  S/. 53,965.</t>
  </si>
  <si>
    <t>VANE =</t>
  </si>
  <si>
    <t>TIRE =</t>
  </si>
  <si>
    <t>VAEFI =</t>
  </si>
  <si>
    <t>VANF =</t>
  </si>
  <si>
    <t>TIRF =</t>
  </si>
  <si>
    <t>ESTADO DE RESULTADOS EN ESTADO ACTUAL</t>
  </si>
  <si>
    <t>Ku =</t>
  </si>
  <si>
    <t>SOLUCIÓN CASO DE NEUMÁTICOS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</si>
</sst>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&quot;S/.&quot;\ #,##0;[Red]&quot;S/.&quot;\ \-#,##0"/>
    <numFmt numFmtId="165" formatCode="&quot;S/.&quot;\ #,##0.00;[Red]&quot;S/.&quot;\ \-#,##0.00"/>
    <numFmt numFmtId="166" formatCode="_ * #,##0.00_ ;_ * \-#,##0.00_ ;_ * &quot;-&quot;??_ ;_ @_ "/>
    <numFmt numFmtId="167" formatCode="#,##0.0"/>
    <numFmt numFmtId="168" formatCode="_ * #,##0_ ;_ * \-#,##0_ ;_ * &quot;-&quot;??_ ;_ @_ "/>
    <numFmt numFmtId="169" formatCode="0.0%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gradientFill degree="270">
        <stop position="0">
          <color theme="0" tint="0.80001220740379042"/>
        </stop>
        <stop position="1">
          <color theme="6" tint="0.40000610370189521"/>
        </stop>
      </gradientFill>
    </fill>
    <fill>
      <gradientFill degree="90">
        <stop position="0">
          <color theme="0" tint="0.80001220740379042"/>
        </stop>
        <stop position="1">
          <color theme="6" tint="0.40000610370189521"/>
        </stop>
      </gradient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166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</cellStyleXfs>
  <cellXfs count="242">
    <xf numFmtId="0" fontId="0" fillId="0" borderId="0" xfId="0"/>
    <xf numFmtId="0" fontId="2" fillId="0" borderId="0" xfId="0" applyFont="1"/>
    <xf numFmtId="0" fontId="0" fillId="0" borderId="0" xfId="0" applyFont="1"/>
    <xf numFmtId="166" fontId="0" fillId="0" borderId="1" xfId="1" applyFont="1" applyBorder="1"/>
    <xf numFmtId="0" fontId="4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justify" vertical="top" wrapText="1"/>
    </xf>
    <xf numFmtId="0" fontId="4" fillId="0" borderId="0" xfId="0" applyFont="1" applyBorder="1" applyAlignment="1">
      <alignment horizontal="justify" vertical="top" wrapText="1"/>
    </xf>
    <xf numFmtId="0" fontId="2" fillId="8" borderId="1" xfId="0" applyFont="1" applyFill="1" applyBorder="1" applyAlignment="1">
      <alignment horizontal="center" vertical="center"/>
    </xf>
    <xf numFmtId="2" fontId="0" fillId="0" borderId="1" xfId="0" applyNumberFormat="1" applyFont="1" applyBorder="1" applyAlignment="1">
      <alignment horizontal="right"/>
    </xf>
    <xf numFmtId="0" fontId="0" fillId="0" borderId="1" xfId="0" applyFont="1" applyBorder="1" applyAlignment="1">
      <alignment horizontal="right"/>
    </xf>
    <xf numFmtId="9" fontId="0" fillId="0" borderId="1" xfId="0" applyNumberFormat="1" applyFont="1" applyBorder="1" applyAlignment="1">
      <alignment horizontal="right"/>
    </xf>
    <xf numFmtId="166" fontId="8" fillId="0" borderId="1" xfId="1" applyFont="1" applyFill="1" applyBorder="1"/>
    <xf numFmtId="3" fontId="8" fillId="0" borderId="1" xfId="0" applyNumberFormat="1" applyFont="1" applyFill="1" applyBorder="1"/>
    <xf numFmtId="4" fontId="8" fillId="0" borderId="1" xfId="0" applyNumberFormat="1" applyFont="1" applyFill="1" applyBorder="1"/>
    <xf numFmtId="0" fontId="8" fillId="12" borderId="0" xfId="0" applyFont="1" applyFill="1"/>
    <xf numFmtId="0" fontId="0" fillId="0" borderId="0" xfId="0" applyAlignment="1">
      <alignment horizontal="right"/>
    </xf>
    <xf numFmtId="165" fontId="0" fillId="0" borderId="0" xfId="0" applyNumberFormat="1"/>
    <xf numFmtId="0" fontId="6" fillId="0" borderId="0" xfId="0" applyFont="1" applyFill="1" applyBorder="1" applyAlignment="1"/>
    <xf numFmtId="0" fontId="6" fillId="0" borderId="0" xfId="0" applyFont="1" applyFill="1" applyBorder="1" applyAlignment="1">
      <alignment horizontal="center" vertical="center"/>
    </xf>
    <xf numFmtId="166" fontId="2" fillId="0" borderId="0" xfId="1" applyFont="1" applyFill="1" applyBorder="1"/>
    <xf numFmtId="166" fontId="7" fillId="0" borderId="0" xfId="1" applyFont="1" applyFill="1" applyBorder="1"/>
    <xf numFmtId="166" fontId="0" fillId="0" borderId="0" xfId="1" applyFont="1" applyFill="1" applyBorder="1"/>
    <xf numFmtId="166" fontId="6" fillId="0" borderId="0" xfId="1" applyFont="1" applyFill="1" applyBorder="1"/>
    <xf numFmtId="0" fontId="2" fillId="0" borderId="0" xfId="0" applyFont="1" applyFill="1" applyBorder="1" applyAlignment="1"/>
    <xf numFmtId="0" fontId="2" fillId="0" borderId="0" xfId="0" applyFont="1" applyFill="1" applyBorder="1" applyAlignment="1">
      <alignment vertical="center"/>
    </xf>
    <xf numFmtId="0" fontId="0" fillId="0" borderId="0" xfId="0" applyFill="1" applyBorder="1"/>
    <xf numFmtId="0" fontId="2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/>
    <xf numFmtId="166" fontId="8" fillId="0" borderId="0" xfId="1" applyFont="1" applyFill="1" applyBorder="1"/>
    <xf numFmtId="166" fontId="9" fillId="0" borderId="0" xfId="1" applyFont="1" applyFill="1" applyBorder="1" applyAlignment="1">
      <alignment horizontal="right" vertical="center" shrinkToFit="1"/>
    </xf>
    <xf numFmtId="3" fontId="8" fillId="0" borderId="0" xfId="0" applyNumberFormat="1" applyFont="1" applyFill="1" applyBorder="1"/>
    <xf numFmtId="3" fontId="0" fillId="0" borderId="0" xfId="0" applyNumberFormat="1" applyFill="1" applyBorder="1"/>
    <xf numFmtId="167" fontId="8" fillId="0" borderId="0" xfId="0" applyNumberFormat="1" applyFont="1" applyFill="1" applyBorder="1"/>
    <xf numFmtId="4" fontId="8" fillId="0" borderId="0" xfId="0" applyNumberFormat="1" applyFont="1" applyFill="1" applyBorder="1"/>
    <xf numFmtId="2" fontId="8" fillId="0" borderId="0" xfId="0" applyNumberFormat="1" applyFont="1" applyFill="1" applyBorder="1"/>
    <xf numFmtId="0" fontId="8" fillId="0" borderId="1" xfId="0" applyFont="1" applyFill="1" applyBorder="1"/>
    <xf numFmtId="0" fontId="8" fillId="0" borderId="11" xfId="0" applyFont="1" applyFill="1" applyBorder="1"/>
    <xf numFmtId="166" fontId="8" fillId="0" borderId="12" xfId="1" applyFont="1" applyFill="1" applyBorder="1"/>
    <xf numFmtId="0" fontId="9" fillId="0" borderId="11" xfId="0" applyFont="1" applyFill="1" applyBorder="1" applyAlignment="1">
      <alignment horizontal="left" vertical="center" shrinkToFit="1"/>
    </xf>
    <xf numFmtId="3" fontId="8" fillId="0" borderId="12" xfId="0" applyNumberFormat="1" applyFont="1" applyFill="1" applyBorder="1"/>
    <xf numFmtId="0" fontId="9" fillId="0" borderId="11" xfId="0" applyFont="1" applyFill="1" applyBorder="1"/>
    <xf numFmtId="0" fontId="9" fillId="11" borderId="11" xfId="0" applyFont="1" applyFill="1" applyBorder="1"/>
    <xf numFmtId="4" fontId="8" fillId="0" borderId="12" xfId="0" applyNumberFormat="1" applyFont="1" applyFill="1" applyBorder="1"/>
    <xf numFmtId="0" fontId="0" fillId="0" borderId="0" xfId="0" applyBorder="1"/>
    <xf numFmtId="0" fontId="12" fillId="0" borderId="3" xfId="0" applyFont="1" applyFill="1" applyBorder="1" applyAlignment="1">
      <alignment horizontal="center"/>
    </xf>
    <xf numFmtId="168" fontId="0" fillId="0" borderId="1" xfId="1" applyNumberFormat="1" applyFont="1" applyBorder="1"/>
    <xf numFmtId="9" fontId="0" fillId="0" borderId="1" xfId="3" applyFont="1" applyBorder="1"/>
    <xf numFmtId="4" fontId="5" fillId="0" borderId="22" xfId="0" applyNumberFormat="1" applyFont="1" applyFill="1" applyBorder="1" applyAlignment="1">
      <alignment horizontal="right"/>
    </xf>
    <xf numFmtId="0" fontId="15" fillId="0" borderId="1" xfId="0" applyFont="1" applyBorder="1" applyAlignment="1">
      <alignment horizontal="justify" vertical="top" wrapText="1"/>
    </xf>
    <xf numFmtId="0" fontId="15" fillId="0" borderId="1" xfId="0" applyFont="1" applyBorder="1" applyAlignment="1">
      <alignment horizontal="right" vertical="top" wrapText="1"/>
    </xf>
    <xf numFmtId="0" fontId="16" fillId="0" borderId="1" xfId="0" applyFont="1" applyBorder="1" applyAlignment="1">
      <alignment horizontal="justify" vertical="top" wrapText="1"/>
    </xf>
    <xf numFmtId="168" fontId="16" fillId="0" borderId="1" xfId="1" applyNumberFormat="1" applyFont="1" applyBorder="1"/>
    <xf numFmtId="166" fontId="16" fillId="0" borderId="1" xfId="1" applyFont="1" applyBorder="1" applyAlignment="1">
      <alignment horizontal="center"/>
    </xf>
    <xf numFmtId="168" fontId="16" fillId="0" borderId="1" xfId="1" applyNumberFormat="1" applyFont="1" applyBorder="1" applyAlignment="1">
      <alignment horizontal="center" vertical="center"/>
    </xf>
    <xf numFmtId="166" fontId="16" fillId="0" borderId="1" xfId="1" applyFont="1" applyBorder="1"/>
    <xf numFmtId="166" fontId="15" fillId="0" borderId="1" xfId="1" applyFont="1" applyBorder="1"/>
    <xf numFmtId="165" fontId="0" fillId="0" borderId="1" xfId="1" applyNumberFormat="1" applyFont="1" applyBorder="1"/>
    <xf numFmtId="0" fontId="0" fillId="0" borderId="11" xfId="0" applyFont="1" applyBorder="1" applyAlignment="1">
      <alignment horizontal="center" vertical="center"/>
    </xf>
    <xf numFmtId="166" fontId="0" fillId="0" borderId="12" xfId="1" applyFont="1" applyBorder="1"/>
    <xf numFmtId="0" fontId="0" fillId="0" borderId="15" xfId="0" applyFont="1" applyBorder="1" applyAlignment="1">
      <alignment horizontal="center" vertical="center"/>
    </xf>
    <xf numFmtId="166" fontId="0" fillId="0" borderId="18" xfId="1" applyFont="1" applyBorder="1"/>
    <xf numFmtId="168" fontId="0" fillId="0" borderId="18" xfId="1" applyNumberFormat="1" applyFont="1" applyBorder="1"/>
    <xf numFmtId="165" fontId="0" fillId="0" borderId="18" xfId="1" applyNumberFormat="1" applyFont="1" applyBorder="1"/>
    <xf numFmtId="166" fontId="0" fillId="0" borderId="19" xfId="1" applyFont="1" applyBorder="1"/>
    <xf numFmtId="0" fontId="0" fillId="0" borderId="25" xfId="0" applyFont="1" applyBorder="1" applyAlignment="1">
      <alignment horizontal="center" vertical="center"/>
    </xf>
    <xf numFmtId="166" fontId="0" fillId="0" borderId="6" xfId="1" applyFont="1" applyBorder="1"/>
    <xf numFmtId="166" fontId="0" fillId="0" borderId="26" xfId="1" applyFont="1" applyBorder="1"/>
    <xf numFmtId="0" fontId="2" fillId="8" borderId="16" xfId="0" applyFont="1" applyFill="1" applyBorder="1" applyAlignment="1">
      <alignment horizontal="center" vertical="center" wrapText="1"/>
    </xf>
    <xf numFmtId="0" fontId="2" fillId="8" borderId="17" xfId="0" applyFont="1" applyFill="1" applyBorder="1" applyAlignment="1">
      <alignment horizontal="center" vertical="center" wrapText="1"/>
    </xf>
    <xf numFmtId="0" fontId="2" fillId="8" borderId="20" xfId="0" applyFont="1" applyFill="1" applyBorder="1" applyAlignment="1">
      <alignment horizontal="center" vertical="center" wrapText="1"/>
    </xf>
    <xf numFmtId="168" fontId="8" fillId="0" borderId="1" xfId="1" applyNumberFormat="1" applyFont="1" applyFill="1" applyBorder="1"/>
    <xf numFmtId="168" fontId="9" fillId="0" borderId="1" xfId="1" applyNumberFormat="1" applyFont="1" applyFill="1" applyBorder="1" applyAlignment="1">
      <alignment horizontal="right" vertical="center" shrinkToFit="1"/>
    </xf>
    <xf numFmtId="168" fontId="8" fillId="0" borderId="12" xfId="1" applyNumberFormat="1" applyFont="1" applyFill="1" applyBorder="1"/>
    <xf numFmtId="3" fontId="9" fillId="0" borderId="1" xfId="0" applyNumberFormat="1" applyFont="1" applyFill="1" applyBorder="1"/>
    <xf numFmtId="3" fontId="9" fillId="0" borderId="12" xfId="0" applyNumberFormat="1" applyFont="1" applyFill="1" applyBorder="1"/>
    <xf numFmtId="3" fontId="9" fillId="11" borderId="1" xfId="0" applyNumberFormat="1" applyFont="1" applyFill="1" applyBorder="1"/>
    <xf numFmtId="3" fontId="9" fillId="11" borderId="12" xfId="0" applyNumberFormat="1" applyFont="1" applyFill="1" applyBorder="1"/>
    <xf numFmtId="0" fontId="9" fillId="0" borderId="23" xfId="0" applyFont="1" applyFill="1" applyBorder="1"/>
    <xf numFmtId="3" fontId="8" fillId="0" borderId="5" xfId="0" applyNumberFormat="1" applyFont="1" applyFill="1" applyBorder="1"/>
    <xf numFmtId="3" fontId="8" fillId="0" borderId="24" xfId="0" applyNumberFormat="1" applyFont="1" applyFill="1" applyBorder="1"/>
    <xf numFmtId="0" fontId="9" fillId="11" borderId="16" xfId="0" applyFont="1" applyFill="1" applyBorder="1"/>
    <xf numFmtId="3" fontId="9" fillId="11" borderId="17" xfId="0" applyNumberFormat="1" applyFont="1" applyFill="1" applyBorder="1"/>
    <xf numFmtId="3" fontId="9" fillId="11" borderId="20" xfId="0" applyNumberFormat="1" applyFont="1" applyFill="1" applyBorder="1"/>
    <xf numFmtId="164" fontId="15" fillId="0" borderId="0" xfId="0" applyNumberFormat="1" applyFont="1" applyAlignment="1">
      <alignment horizontal="left"/>
    </xf>
    <xf numFmtId="9" fontId="15" fillId="0" borderId="0" xfId="0" applyNumberFormat="1" applyFont="1" applyAlignment="1">
      <alignment horizontal="left"/>
    </xf>
    <xf numFmtId="0" fontId="13" fillId="0" borderId="0" xfId="0" applyFont="1" applyBorder="1" applyAlignment="1">
      <alignment horizontal="left" wrapText="1"/>
    </xf>
    <xf numFmtId="9" fontId="0" fillId="0" borderId="0" xfId="3" applyFont="1" applyAlignment="1">
      <alignment horizontal="right"/>
    </xf>
    <xf numFmtId="169" fontId="0" fillId="0" borderId="0" xfId="3" applyNumberFormat="1" applyFont="1" applyAlignment="1">
      <alignment horizontal="right"/>
    </xf>
    <xf numFmtId="169" fontId="0" fillId="0" borderId="0" xfId="3" applyNumberFormat="1" applyFont="1" applyAlignment="1">
      <alignment horizontal="right" vertical="center"/>
    </xf>
    <xf numFmtId="0" fontId="13" fillId="0" borderId="0" xfId="0" applyFont="1" applyBorder="1" applyAlignment="1">
      <alignment horizontal="justify" vertical="center"/>
    </xf>
    <xf numFmtId="0" fontId="15" fillId="9" borderId="16" xfId="0" applyFont="1" applyFill="1" applyBorder="1" applyAlignment="1">
      <alignment horizontal="justify" vertical="top" wrapText="1"/>
    </xf>
    <xf numFmtId="0" fontId="15" fillId="9" borderId="17" xfId="0" applyFont="1" applyFill="1" applyBorder="1" applyAlignment="1">
      <alignment horizontal="center" vertical="top" wrapText="1"/>
    </xf>
    <xf numFmtId="0" fontId="15" fillId="9" borderId="20" xfId="0" applyFont="1" applyFill="1" applyBorder="1" applyAlignment="1">
      <alignment horizontal="center" vertical="top" wrapText="1"/>
    </xf>
    <xf numFmtId="0" fontId="15" fillId="0" borderId="16" xfId="0" applyFont="1" applyBorder="1" applyAlignment="1">
      <alignment horizontal="justify" vertical="top" wrapText="1"/>
    </xf>
    <xf numFmtId="168" fontId="17" fillId="0" borderId="17" xfId="1" applyNumberFormat="1" applyFont="1" applyBorder="1" applyAlignment="1">
      <alignment horizontal="left" vertical="center"/>
    </xf>
    <xf numFmtId="168" fontId="17" fillId="0" borderId="20" xfId="1" applyNumberFormat="1" applyFont="1" applyBorder="1" applyAlignment="1">
      <alignment horizontal="left" vertical="center"/>
    </xf>
    <xf numFmtId="0" fontId="4" fillId="0" borderId="0" xfId="0" applyFont="1"/>
    <xf numFmtId="0" fontId="15" fillId="0" borderId="0" xfId="0" applyFont="1"/>
    <xf numFmtId="0" fontId="16" fillId="0" borderId="0" xfId="0" applyFont="1"/>
    <xf numFmtId="0" fontId="15" fillId="9" borderId="16" xfId="0" applyFont="1" applyFill="1" applyBorder="1" applyAlignment="1">
      <alignment horizontal="center" vertical="top" wrapText="1"/>
    </xf>
    <xf numFmtId="0" fontId="18" fillId="0" borderId="8" xfId="0" applyFont="1" applyBorder="1" applyAlignment="1"/>
    <xf numFmtId="4" fontId="18" fillId="0" borderId="10" xfId="0" applyNumberFormat="1" applyFont="1" applyBorder="1" applyAlignment="1">
      <alignment horizontal="center"/>
    </xf>
    <xf numFmtId="0" fontId="18" fillId="0" borderId="11" xfId="0" applyFont="1" applyBorder="1" applyAlignment="1"/>
    <xf numFmtId="4" fontId="18" fillId="0" borderId="12" xfId="0" applyNumberFormat="1" applyFont="1" applyBorder="1" applyAlignment="1">
      <alignment horizontal="center"/>
    </xf>
    <xf numFmtId="0" fontId="18" fillId="0" borderId="23" xfId="0" applyFont="1" applyBorder="1" applyAlignment="1"/>
    <xf numFmtId="4" fontId="18" fillId="0" borderId="24" xfId="0" applyNumberFormat="1" applyFont="1" applyBorder="1" applyAlignment="1">
      <alignment horizontal="center"/>
    </xf>
    <xf numFmtId="0" fontId="19" fillId="0" borderId="16" xfId="0" applyFont="1" applyFill="1" applyBorder="1" applyAlignment="1"/>
    <xf numFmtId="4" fontId="19" fillId="0" borderId="20" xfId="0" applyNumberFormat="1" applyFont="1" applyBorder="1" applyAlignment="1">
      <alignment horizontal="center"/>
    </xf>
    <xf numFmtId="0" fontId="19" fillId="3" borderId="18" xfId="0" applyFont="1" applyFill="1" applyBorder="1" applyAlignment="1">
      <alignment horizontal="center"/>
    </xf>
    <xf numFmtId="0" fontId="19" fillId="3" borderId="19" xfId="0" applyFont="1" applyFill="1" applyBorder="1" applyAlignment="1">
      <alignment horizontal="center"/>
    </xf>
    <xf numFmtId="0" fontId="18" fillId="0" borderId="28" xfId="0" applyFont="1" applyBorder="1" applyAlignment="1"/>
    <xf numFmtId="0" fontId="18" fillId="0" borderId="21" xfId="0" applyFont="1" applyBorder="1" applyAlignment="1"/>
    <xf numFmtId="4" fontId="18" fillId="0" borderId="6" xfId="0" applyNumberFormat="1" applyFont="1" applyBorder="1" applyAlignment="1">
      <alignment horizontal="right"/>
    </xf>
    <xf numFmtId="4" fontId="18" fillId="0" borderId="26" xfId="0" applyNumberFormat="1" applyFont="1" applyBorder="1" applyAlignment="1">
      <alignment horizontal="right"/>
    </xf>
    <xf numFmtId="0" fontId="18" fillId="0" borderId="27" xfId="0" applyFont="1" applyBorder="1" applyAlignment="1"/>
    <xf numFmtId="0" fontId="18" fillId="0" borderId="4" xfId="0" applyFont="1" applyBorder="1" applyAlignment="1"/>
    <xf numFmtId="4" fontId="18" fillId="0" borderId="1" xfId="0" applyNumberFormat="1" applyFont="1" applyBorder="1" applyAlignment="1">
      <alignment horizontal="right"/>
    </xf>
    <xf numFmtId="4" fontId="18" fillId="0" borderId="12" xfId="0" applyNumberFormat="1" applyFont="1" applyBorder="1" applyAlignment="1">
      <alignment horizontal="right"/>
    </xf>
    <xf numFmtId="4" fontId="19" fillId="0" borderId="18" xfId="0" applyNumberFormat="1" applyFont="1" applyBorder="1" applyAlignment="1">
      <alignment horizontal="right"/>
    </xf>
    <xf numFmtId="4" fontId="19" fillId="0" borderId="19" xfId="0" applyNumberFormat="1" applyFont="1" applyBorder="1" applyAlignment="1">
      <alignment horizontal="right"/>
    </xf>
    <xf numFmtId="0" fontId="18" fillId="0" borderId="0" xfId="0" applyFont="1" applyFill="1" applyBorder="1" applyAlignment="1"/>
    <xf numFmtId="0" fontId="19" fillId="4" borderId="1" xfId="0" applyFont="1" applyFill="1" applyBorder="1" applyAlignment="1"/>
    <xf numFmtId="0" fontId="15" fillId="4" borderId="1" xfId="0" applyFont="1" applyFill="1" applyBorder="1"/>
    <xf numFmtId="0" fontId="16" fillId="0" borderId="1" xfId="0" applyFont="1" applyBorder="1"/>
    <xf numFmtId="168" fontId="16" fillId="0" borderId="1" xfId="0" applyNumberFormat="1" applyFont="1" applyBorder="1"/>
    <xf numFmtId="168" fontId="15" fillId="4" borderId="1" xfId="0" applyNumberFormat="1" applyFont="1" applyFill="1" applyBorder="1"/>
    <xf numFmtId="4" fontId="18" fillId="0" borderId="9" xfId="0" applyNumberFormat="1" applyFont="1" applyBorder="1" applyAlignment="1">
      <alignment horizontal="right"/>
    </xf>
    <xf numFmtId="4" fontId="18" fillId="0" borderId="10" xfId="0" applyNumberFormat="1" applyFont="1" applyBorder="1" applyAlignment="1">
      <alignment horizontal="right"/>
    </xf>
    <xf numFmtId="0" fontId="15" fillId="4" borderId="16" xfId="0" applyFont="1" applyFill="1" applyBorder="1" applyAlignment="1">
      <alignment horizontal="center" vertical="center" wrapText="1"/>
    </xf>
    <xf numFmtId="0" fontId="15" fillId="4" borderId="17" xfId="0" applyFont="1" applyFill="1" applyBorder="1" applyAlignment="1">
      <alignment horizontal="center" vertical="center" wrapText="1"/>
    </xf>
    <xf numFmtId="0" fontId="15" fillId="4" borderId="20" xfId="0" applyFont="1" applyFill="1" applyBorder="1" applyAlignment="1">
      <alignment horizontal="center" vertical="center" wrapText="1"/>
    </xf>
    <xf numFmtId="0" fontId="16" fillId="0" borderId="25" xfId="0" applyFont="1" applyBorder="1" applyAlignment="1">
      <alignment horizontal="center" vertical="center"/>
    </xf>
    <xf numFmtId="168" fontId="16" fillId="0" borderId="6" xfId="1" applyNumberFormat="1" applyFont="1" applyBorder="1"/>
    <xf numFmtId="168" fontId="16" fillId="0" borderId="26" xfId="1" applyNumberFormat="1" applyFont="1" applyBorder="1"/>
    <xf numFmtId="0" fontId="16" fillId="0" borderId="11" xfId="0" applyFont="1" applyBorder="1" applyAlignment="1">
      <alignment horizontal="center" vertical="center"/>
    </xf>
    <xf numFmtId="168" fontId="16" fillId="0" borderId="12" xfId="1" applyNumberFormat="1" applyFont="1" applyBorder="1"/>
    <xf numFmtId="0" fontId="16" fillId="0" borderId="11" xfId="0" quotePrefix="1" applyFont="1" applyBorder="1" applyAlignment="1">
      <alignment horizontal="center" vertical="center"/>
    </xf>
    <xf numFmtId="0" fontId="16" fillId="0" borderId="15" xfId="0" applyFont="1" applyFill="1" applyBorder="1" applyAlignment="1">
      <alignment horizontal="center" vertical="center"/>
    </xf>
    <xf numFmtId="4" fontId="16" fillId="0" borderId="18" xfId="0" applyNumberFormat="1" applyFont="1" applyBorder="1"/>
    <xf numFmtId="168" fontId="16" fillId="0" borderId="18" xfId="1" applyNumberFormat="1" applyFont="1" applyBorder="1"/>
    <xf numFmtId="168" fontId="16" fillId="0" borderId="19" xfId="1" applyNumberFormat="1" applyFont="1" applyBorder="1"/>
    <xf numFmtId="9" fontId="16" fillId="0" borderId="0" xfId="3" applyFont="1"/>
    <xf numFmtId="0" fontId="16" fillId="0" borderId="15" xfId="0" quotePrefix="1" applyFont="1" applyBorder="1" applyAlignment="1">
      <alignment horizontal="center" vertical="center"/>
    </xf>
    <xf numFmtId="0" fontId="15" fillId="0" borderId="0" xfId="0" applyFont="1" applyFill="1" applyBorder="1" applyAlignment="1"/>
    <xf numFmtId="0" fontId="9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9" fillId="0" borderId="1" xfId="2" applyFont="1" applyBorder="1"/>
    <xf numFmtId="168" fontId="9" fillId="0" borderId="1" xfId="1" applyNumberFormat="1" applyFont="1" applyBorder="1"/>
    <xf numFmtId="168" fontId="15" fillId="0" borderId="1" xfId="1" applyNumberFormat="1" applyFont="1" applyBorder="1"/>
    <xf numFmtId="166" fontId="15" fillId="0" borderId="0" xfId="1" applyFont="1" applyFill="1" applyBorder="1"/>
    <xf numFmtId="0" fontId="8" fillId="0" borderId="1" xfId="2" applyFont="1" applyBorder="1"/>
    <xf numFmtId="168" fontId="8" fillId="0" borderId="1" xfId="1" applyNumberFormat="1" applyFont="1" applyBorder="1"/>
    <xf numFmtId="166" fontId="16" fillId="0" borderId="0" xfId="1" applyFont="1" applyFill="1" applyBorder="1"/>
    <xf numFmtId="166" fontId="9" fillId="0" borderId="0" xfId="1" applyFont="1" applyFill="1" applyBorder="1"/>
    <xf numFmtId="0" fontId="9" fillId="5" borderId="1" xfId="0" applyFont="1" applyFill="1" applyBorder="1" applyAlignment="1">
      <alignment horizontal="center"/>
    </xf>
    <xf numFmtId="168" fontId="9" fillId="6" borderId="1" xfId="1" applyNumberFormat="1" applyFont="1" applyFill="1" applyBorder="1"/>
    <xf numFmtId="0" fontId="16" fillId="0" borderId="0" xfId="0" applyFont="1" applyBorder="1"/>
    <xf numFmtId="0" fontId="15" fillId="10" borderId="18" xfId="0" applyFont="1" applyFill="1" applyBorder="1" applyAlignment="1">
      <alignment horizontal="center"/>
    </xf>
    <xf numFmtId="0" fontId="15" fillId="10" borderId="18" xfId="0" applyFont="1" applyFill="1" applyBorder="1" applyAlignment="1">
      <alignment horizontal="center" vertical="center"/>
    </xf>
    <xf numFmtId="0" fontId="15" fillId="10" borderId="19" xfId="0" applyFont="1" applyFill="1" applyBorder="1" applyAlignment="1">
      <alignment horizontal="center" vertical="center"/>
    </xf>
    <xf numFmtId="0" fontId="3" fillId="15" borderId="30" xfId="0" applyFont="1" applyFill="1" applyBorder="1"/>
    <xf numFmtId="0" fontId="2" fillId="9" borderId="7" xfId="0" applyFont="1" applyFill="1" applyBorder="1"/>
    <xf numFmtId="0" fontId="2" fillId="9" borderId="13" xfId="0" applyFont="1" applyFill="1" applyBorder="1"/>
    <xf numFmtId="0" fontId="2" fillId="9" borderId="14" xfId="0" applyFont="1" applyFill="1" applyBorder="1"/>
    <xf numFmtId="168" fontId="9" fillId="0" borderId="12" xfId="1" applyNumberFormat="1" applyFont="1" applyFill="1" applyBorder="1" applyAlignment="1">
      <alignment horizontal="right" vertical="center" shrinkToFit="1"/>
    </xf>
    <xf numFmtId="0" fontId="3" fillId="0" borderId="0" xfId="0" applyFont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9" fillId="2" borderId="13" xfId="0" applyFont="1" applyFill="1" applyBorder="1" applyAlignment="1">
      <alignment horizontal="center"/>
    </xf>
    <xf numFmtId="0" fontId="9" fillId="2" borderId="14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15" fillId="2" borderId="16" xfId="0" applyFont="1" applyFill="1" applyBorder="1" applyAlignment="1">
      <alignment horizontal="center"/>
    </xf>
    <xf numFmtId="0" fontId="15" fillId="2" borderId="17" xfId="0" applyFont="1" applyFill="1" applyBorder="1" applyAlignment="1">
      <alignment horizontal="center"/>
    </xf>
    <xf numFmtId="0" fontId="15" fillId="2" borderId="20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 vertical="center"/>
    </xf>
    <xf numFmtId="0" fontId="19" fillId="0" borderId="33" xfId="0" applyFont="1" applyFill="1" applyBorder="1" applyAlignment="1">
      <alignment horizontal="left"/>
    </xf>
    <xf numFmtId="0" fontId="19" fillId="0" borderId="34" xfId="0" applyFont="1" applyFill="1" applyBorder="1" applyAlignment="1">
      <alignment horizontal="left"/>
    </xf>
    <xf numFmtId="0" fontId="19" fillId="0" borderId="31" xfId="0" applyFont="1" applyFill="1" applyBorder="1" applyAlignment="1">
      <alignment horizontal="left"/>
    </xf>
    <xf numFmtId="0" fontId="19" fillId="0" borderId="32" xfId="0" applyFont="1" applyFill="1" applyBorder="1" applyAlignment="1">
      <alignment horizontal="left"/>
    </xf>
    <xf numFmtId="0" fontId="16" fillId="0" borderId="32" xfId="0" applyFont="1" applyBorder="1" applyAlignment="1">
      <alignment horizontal="left"/>
    </xf>
    <xf numFmtId="0" fontId="15" fillId="2" borderId="1" xfId="0" applyFont="1" applyFill="1" applyBorder="1" applyAlignment="1">
      <alignment horizontal="center"/>
    </xf>
    <xf numFmtId="0" fontId="19" fillId="3" borderId="8" xfId="0" applyFont="1" applyFill="1" applyBorder="1" applyAlignment="1">
      <alignment horizontal="center"/>
    </xf>
    <xf numFmtId="0" fontId="19" fillId="3" borderId="9" xfId="0" applyFont="1" applyFill="1" applyBorder="1" applyAlignment="1">
      <alignment horizontal="center"/>
    </xf>
    <xf numFmtId="0" fontId="19" fillId="3" borderId="15" xfId="0" applyFont="1" applyFill="1" applyBorder="1" applyAlignment="1">
      <alignment horizontal="center"/>
    </xf>
    <xf numFmtId="0" fontId="19" fillId="3" borderId="18" xfId="0" applyFont="1" applyFill="1" applyBorder="1" applyAlignment="1">
      <alignment horizontal="center"/>
    </xf>
    <xf numFmtId="0" fontId="19" fillId="3" borderId="10" xfId="0" applyFont="1" applyFill="1" applyBorder="1" applyAlignment="1">
      <alignment horizontal="center"/>
    </xf>
    <xf numFmtId="0" fontId="9" fillId="4" borderId="5" xfId="0" applyFont="1" applyFill="1" applyBorder="1" applyAlignment="1">
      <alignment horizontal="center" vertical="center" wrapText="1"/>
    </xf>
    <xf numFmtId="0" fontId="9" fillId="4" borderId="6" xfId="0" applyFont="1" applyFill="1" applyBorder="1" applyAlignment="1">
      <alignment horizontal="center" vertical="center" wrapText="1"/>
    </xf>
    <xf numFmtId="0" fontId="15" fillId="2" borderId="7" xfId="0" applyFont="1" applyFill="1" applyBorder="1" applyAlignment="1">
      <alignment horizontal="center"/>
    </xf>
    <xf numFmtId="0" fontId="15" fillId="2" borderId="13" xfId="0" applyFont="1" applyFill="1" applyBorder="1" applyAlignment="1">
      <alignment horizontal="center"/>
    </xf>
    <xf numFmtId="0" fontId="15" fillId="2" borderId="14" xfId="0" applyFont="1" applyFill="1" applyBorder="1" applyAlignment="1">
      <alignment horizontal="center"/>
    </xf>
    <xf numFmtId="0" fontId="19" fillId="0" borderId="15" xfId="0" applyFont="1" applyBorder="1" applyAlignment="1">
      <alignment horizontal="center"/>
    </xf>
    <xf numFmtId="0" fontId="19" fillId="0" borderId="18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0" fontId="16" fillId="0" borderId="3" xfId="0" applyFont="1" applyBorder="1" applyAlignment="1">
      <alignment horizontal="left"/>
    </xf>
    <xf numFmtId="0" fontId="16" fillId="0" borderId="4" xfId="0" applyFont="1" applyBorder="1" applyAlignment="1">
      <alignment horizontal="left"/>
    </xf>
    <xf numFmtId="0" fontId="15" fillId="0" borderId="2" xfId="0" applyFont="1" applyBorder="1" applyAlignment="1">
      <alignment horizontal="left"/>
    </xf>
    <xf numFmtId="0" fontId="15" fillId="0" borderId="3" xfId="0" applyFont="1" applyBorder="1" applyAlignment="1">
      <alignment horizontal="left"/>
    </xf>
    <xf numFmtId="0" fontId="15" fillId="0" borderId="4" xfId="0" applyFont="1" applyBorder="1" applyAlignment="1">
      <alignment horizontal="left"/>
    </xf>
    <xf numFmtId="0" fontId="19" fillId="14" borderId="7" xfId="0" applyFont="1" applyFill="1" applyBorder="1" applyAlignment="1">
      <alignment horizontal="center"/>
    </xf>
    <xf numFmtId="0" fontId="19" fillId="14" borderId="13" xfId="0" applyFont="1" applyFill="1" applyBorder="1" applyAlignment="1">
      <alignment horizontal="center"/>
    </xf>
    <xf numFmtId="0" fontId="19" fillId="14" borderId="14" xfId="0" applyFont="1" applyFill="1" applyBorder="1" applyAlignment="1">
      <alignment horizontal="center"/>
    </xf>
    <xf numFmtId="0" fontId="12" fillId="16" borderId="1" xfId="0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/>
    </xf>
    <xf numFmtId="0" fontId="15" fillId="13" borderId="2" xfId="0" applyFont="1" applyFill="1" applyBorder="1" applyAlignment="1">
      <alignment horizontal="center"/>
    </xf>
    <xf numFmtId="0" fontId="15" fillId="13" borderId="4" xfId="0" applyFont="1" applyFill="1" applyBorder="1" applyAlignment="1">
      <alignment horizontal="center"/>
    </xf>
    <xf numFmtId="0" fontId="0" fillId="0" borderId="1" xfId="0" applyFont="1" applyBorder="1" applyAlignment="1">
      <alignment horizontal="left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left" vertical="top" wrapText="1"/>
    </xf>
    <xf numFmtId="0" fontId="2" fillId="8" borderId="1" xfId="0" applyFont="1" applyFill="1" applyBorder="1" applyAlignment="1">
      <alignment horizontal="center" vertical="center"/>
    </xf>
    <xf numFmtId="0" fontId="13" fillId="0" borderId="35" xfId="0" applyFont="1" applyBorder="1" applyAlignment="1">
      <alignment horizontal="justify" vertical="center" wrapText="1"/>
    </xf>
    <xf numFmtId="0" fontId="13" fillId="0" borderId="36" xfId="0" applyFont="1" applyBorder="1" applyAlignment="1">
      <alignment horizontal="justify" vertical="center" wrapText="1"/>
    </xf>
    <xf numFmtId="0" fontId="13" fillId="0" borderId="37" xfId="0" applyFont="1" applyBorder="1" applyAlignment="1">
      <alignment horizontal="justify" vertical="center" wrapText="1"/>
    </xf>
    <xf numFmtId="0" fontId="13" fillId="0" borderId="38" xfId="0" applyFont="1" applyBorder="1" applyAlignment="1">
      <alignment horizontal="justify" vertical="center" wrapText="1"/>
    </xf>
    <xf numFmtId="0" fontId="13" fillId="0" borderId="0" xfId="0" applyFont="1" applyBorder="1" applyAlignment="1">
      <alignment horizontal="justify" vertical="center" wrapText="1"/>
    </xf>
    <xf numFmtId="0" fontId="13" fillId="0" borderId="39" xfId="0" applyFont="1" applyBorder="1" applyAlignment="1">
      <alignment horizontal="justify" vertical="center" wrapText="1"/>
    </xf>
    <xf numFmtId="0" fontId="13" fillId="0" borderId="40" xfId="0" applyFont="1" applyBorder="1" applyAlignment="1">
      <alignment horizontal="justify" vertical="center" wrapText="1"/>
    </xf>
    <xf numFmtId="0" fontId="13" fillId="0" borderId="41" xfId="0" applyFont="1" applyBorder="1" applyAlignment="1">
      <alignment horizontal="justify" vertical="center" wrapText="1"/>
    </xf>
    <xf numFmtId="0" fontId="13" fillId="0" borderId="42" xfId="0" applyFont="1" applyBorder="1" applyAlignment="1">
      <alignment horizontal="justify" vertical="center" wrapText="1"/>
    </xf>
    <xf numFmtId="0" fontId="14" fillId="0" borderId="0" xfId="0" applyFont="1" applyAlignment="1">
      <alignment horizontal="center"/>
    </xf>
    <xf numFmtId="0" fontId="3" fillId="9" borderId="7" xfId="0" applyFont="1" applyFill="1" applyBorder="1" applyAlignment="1">
      <alignment horizontal="center"/>
    </xf>
    <xf numFmtId="0" fontId="3" fillId="9" borderId="13" xfId="0" applyFont="1" applyFill="1" applyBorder="1" applyAlignment="1">
      <alignment horizontal="center"/>
    </xf>
    <xf numFmtId="0" fontId="3" fillId="9" borderId="14" xfId="0" applyFont="1" applyFill="1" applyBorder="1" applyAlignment="1">
      <alignment horizontal="center"/>
    </xf>
    <xf numFmtId="0" fontId="15" fillId="9" borderId="16" xfId="0" applyFont="1" applyFill="1" applyBorder="1" applyAlignment="1">
      <alignment horizontal="center" vertical="center"/>
    </xf>
    <xf numFmtId="0" fontId="15" fillId="9" borderId="17" xfId="0" applyFont="1" applyFill="1" applyBorder="1" applyAlignment="1">
      <alignment horizontal="center" vertical="center"/>
    </xf>
    <xf numFmtId="0" fontId="15" fillId="9" borderId="20" xfId="0" applyFont="1" applyFill="1" applyBorder="1" applyAlignment="1">
      <alignment horizontal="center" vertical="center"/>
    </xf>
    <xf numFmtId="0" fontId="15" fillId="10" borderId="9" xfId="0" applyFont="1" applyFill="1" applyBorder="1" applyAlignment="1">
      <alignment horizontal="center"/>
    </xf>
    <xf numFmtId="0" fontId="15" fillId="10" borderId="10" xfId="0" applyFont="1" applyFill="1" applyBorder="1" applyAlignment="1">
      <alignment horizontal="center"/>
    </xf>
    <xf numFmtId="0" fontId="9" fillId="0" borderId="31" xfId="0" applyFont="1" applyFill="1" applyBorder="1" applyAlignment="1">
      <alignment horizontal="left"/>
    </xf>
    <xf numFmtId="0" fontId="9" fillId="0" borderId="43" xfId="0" applyFont="1" applyFill="1" applyBorder="1" applyAlignment="1">
      <alignment horizontal="left"/>
    </xf>
    <xf numFmtId="0" fontId="9" fillId="0" borderId="44" xfId="0" applyFont="1" applyFill="1" applyBorder="1" applyAlignment="1">
      <alignment horizontal="left"/>
    </xf>
    <xf numFmtId="0" fontId="9" fillId="0" borderId="27" xfId="0" applyFont="1" applyFill="1" applyBorder="1" applyAlignment="1">
      <alignment horizontal="left"/>
    </xf>
    <xf numFmtId="0" fontId="9" fillId="0" borderId="3" xfId="0" applyFont="1" applyFill="1" applyBorder="1" applyAlignment="1">
      <alignment horizontal="left"/>
    </xf>
    <xf numFmtId="0" fontId="9" fillId="0" borderId="29" xfId="0" applyFont="1" applyFill="1" applyBorder="1" applyAlignment="1">
      <alignment horizontal="left"/>
    </xf>
    <xf numFmtId="0" fontId="15" fillId="10" borderId="8" xfId="0" applyFont="1" applyFill="1" applyBorder="1" applyAlignment="1">
      <alignment horizontal="center" vertical="center"/>
    </xf>
    <xf numFmtId="0" fontId="15" fillId="10" borderId="15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left" vertical="top" wrapText="1"/>
    </xf>
    <xf numFmtId="0" fontId="15" fillId="0" borderId="2" xfId="0" applyFont="1" applyFill="1" applyBorder="1" applyAlignment="1">
      <alignment horizontal="left" vertical="top" wrapText="1"/>
    </xf>
    <xf numFmtId="0" fontId="15" fillId="0" borderId="3" xfId="0" applyFont="1" applyFill="1" applyBorder="1" applyAlignment="1">
      <alignment horizontal="left" vertical="top" wrapText="1"/>
    </xf>
    <xf numFmtId="0" fontId="15" fillId="0" borderId="4" xfId="0" applyFont="1" applyFill="1" applyBorder="1" applyAlignment="1">
      <alignment horizontal="left" vertical="top" wrapText="1"/>
    </xf>
  </cellXfs>
  <cellStyles count="4">
    <cellStyle name="Millares" xfId="1" builtinId="3"/>
    <cellStyle name="Normal" xfId="0" builtinId="0"/>
    <cellStyle name="Normal 2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13153</xdr:colOff>
      <xdr:row>143</xdr:row>
      <xdr:rowOff>180975</xdr:rowOff>
    </xdr:from>
    <xdr:to>
      <xdr:col>3</xdr:col>
      <xdr:colOff>95250</xdr:colOff>
      <xdr:row>145</xdr:row>
      <xdr:rowOff>38100</xdr:rowOff>
    </xdr:to>
    <xdr:pic>
      <xdr:nvPicPr>
        <xdr:cNvPr id="7" name="7 Imagen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51653" y="28832175"/>
          <a:ext cx="1148897" cy="238125"/>
        </a:xfrm>
        <a:prstGeom prst="rect">
          <a:avLst/>
        </a:prstGeom>
        <a:noFill/>
        <a:ln w="9525">
          <a:solidFill>
            <a:sysClr val="windowText" lastClr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9525</xdr:colOff>
      <xdr:row>146</xdr:row>
      <xdr:rowOff>9525</xdr:rowOff>
    </xdr:from>
    <xdr:to>
      <xdr:col>2</xdr:col>
      <xdr:colOff>666750</xdr:colOff>
      <xdr:row>147</xdr:row>
      <xdr:rowOff>0</xdr:rowOff>
    </xdr:to>
    <xdr:pic>
      <xdr:nvPicPr>
        <xdr:cNvPr id="8" name="8 Imagen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71525" y="962025"/>
          <a:ext cx="657225" cy="180975"/>
        </a:xfrm>
        <a:prstGeom prst="rect">
          <a:avLst/>
        </a:prstGeom>
        <a:noFill/>
        <a:ln w="9525">
          <a:solidFill>
            <a:sysClr val="windowText" lastClr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9524</xdr:colOff>
      <xdr:row>148</xdr:row>
      <xdr:rowOff>9524</xdr:rowOff>
    </xdr:from>
    <xdr:to>
      <xdr:col>2</xdr:col>
      <xdr:colOff>665241</xdr:colOff>
      <xdr:row>148</xdr:row>
      <xdr:rowOff>190499</xdr:rowOff>
    </xdr:to>
    <xdr:pic>
      <xdr:nvPicPr>
        <xdr:cNvPr id="9" name="9 Imagen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248024" y="29613224"/>
          <a:ext cx="655717" cy="180975"/>
        </a:xfrm>
        <a:prstGeom prst="rect">
          <a:avLst/>
        </a:prstGeom>
        <a:noFill/>
        <a:ln w="9525">
          <a:solidFill>
            <a:sysClr val="windowText" lastClr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9525</xdr:colOff>
      <xdr:row>149</xdr:row>
      <xdr:rowOff>161925</xdr:rowOff>
    </xdr:from>
    <xdr:to>
      <xdr:col>2</xdr:col>
      <xdr:colOff>666750</xdr:colOff>
      <xdr:row>151</xdr:row>
      <xdr:rowOff>19050</xdr:rowOff>
    </xdr:to>
    <xdr:pic>
      <xdr:nvPicPr>
        <xdr:cNvPr id="10" name="10 Imagen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71525" y="1685925"/>
          <a:ext cx="657225" cy="238125"/>
        </a:xfrm>
        <a:prstGeom prst="rect">
          <a:avLst/>
        </a:prstGeom>
        <a:noFill/>
        <a:ln w="9525">
          <a:solidFill>
            <a:sysClr val="windowText" lastClr="000000"/>
          </a:solidFill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valuaci&#243;n%20de%20Proyectos/Formulacion%20de%20Proyectos%20GP/Desarroll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n Proyecto"/>
      <sheetName val="Cook"/>
      <sheetName val="Costos incurridos Con py"/>
      <sheetName val="Financiamiento con Py"/>
      <sheetName val="Ingresos con Py"/>
      <sheetName val="Total Costos de Prod con Py"/>
      <sheetName val="Estado de Gan y Perd con Py"/>
      <sheetName val="Flujo de caja con py"/>
      <sheetName val="Flujo de Caja increment con p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B2:M162"/>
  <sheetViews>
    <sheetView tabSelected="1" view="pageBreakPreview" zoomScaleSheetLayoutView="100" workbookViewId="0">
      <selection activeCell="G9" sqref="G9"/>
    </sheetView>
  </sheetViews>
  <sheetFormatPr baseColWidth="10" defaultRowHeight="15" x14ac:dyDescent="0.25"/>
  <cols>
    <col min="2" max="2" width="37.140625" customWidth="1"/>
    <col min="3" max="3" width="16" customWidth="1"/>
    <col min="4" max="4" width="13.85546875" customWidth="1"/>
    <col min="5" max="5" width="17.28515625" customWidth="1"/>
    <col min="6" max="6" width="13.7109375" bestFit="1" customWidth="1"/>
    <col min="7" max="7" width="12.5703125" bestFit="1" customWidth="1"/>
    <col min="8" max="8" width="14.42578125" customWidth="1"/>
  </cols>
  <sheetData>
    <row r="2" spans="2:6" ht="21" customHeight="1" x14ac:dyDescent="0.3">
      <c r="B2" s="221" t="s">
        <v>118</v>
      </c>
      <c r="C2" s="221"/>
      <c r="D2" s="221"/>
      <c r="E2" s="221"/>
      <c r="F2" s="221"/>
    </row>
    <row r="3" spans="2:6" ht="6.75" customHeight="1" x14ac:dyDescent="0.25"/>
    <row r="4" spans="2:6" ht="18.75" x14ac:dyDescent="0.3">
      <c r="B4" s="202" t="s">
        <v>80</v>
      </c>
      <c r="C4" s="202"/>
      <c r="D4" s="202"/>
      <c r="E4" s="202"/>
    </row>
    <row r="5" spans="2:6" ht="6" customHeight="1" x14ac:dyDescent="0.3">
      <c r="B5" s="44"/>
      <c r="C5" s="44"/>
      <c r="D5" s="44"/>
      <c r="E5" s="44"/>
    </row>
    <row r="6" spans="2:6" x14ac:dyDescent="0.25">
      <c r="B6" s="238" t="s">
        <v>6</v>
      </c>
      <c r="C6" s="238"/>
      <c r="D6" s="238"/>
      <c r="E6" s="238"/>
    </row>
    <row r="7" spans="2:6" x14ac:dyDescent="0.25">
      <c r="B7" s="48" t="s">
        <v>0</v>
      </c>
      <c r="C7" s="48" t="s">
        <v>1</v>
      </c>
      <c r="D7" s="48" t="s">
        <v>2</v>
      </c>
      <c r="E7" s="49" t="s">
        <v>73</v>
      </c>
    </row>
    <row r="8" spans="2:6" ht="15" customHeight="1" x14ac:dyDescent="0.25">
      <c r="B8" s="50" t="s">
        <v>3</v>
      </c>
      <c r="C8" s="51">
        <v>70000</v>
      </c>
      <c r="D8" s="52">
        <v>3</v>
      </c>
      <c r="E8" s="53">
        <f>(C8*D8)</f>
        <v>210000</v>
      </c>
    </row>
    <row r="9" spans="2:6" x14ac:dyDescent="0.25">
      <c r="B9" s="50" t="s">
        <v>4</v>
      </c>
      <c r="C9" s="51">
        <v>253000</v>
      </c>
      <c r="D9" s="52">
        <v>1</v>
      </c>
      <c r="E9" s="53">
        <f t="shared" ref="E9:E10" si="0">(C9*D9)</f>
        <v>253000</v>
      </c>
    </row>
    <row r="10" spans="2:6" x14ac:dyDescent="0.25">
      <c r="B10" s="50" t="s">
        <v>5</v>
      </c>
      <c r="C10" s="51">
        <v>109000</v>
      </c>
      <c r="D10" s="52">
        <v>1</v>
      </c>
      <c r="E10" s="53">
        <f t="shared" si="0"/>
        <v>109000</v>
      </c>
    </row>
    <row r="11" spans="2:6" ht="15" customHeight="1" x14ac:dyDescent="0.25">
      <c r="B11" s="239" t="s">
        <v>74</v>
      </c>
      <c r="C11" s="240"/>
      <c r="D11" s="241"/>
      <c r="E11" s="53">
        <f>SUM(E8:E10)</f>
        <v>572000</v>
      </c>
    </row>
    <row r="12" spans="2:6" x14ac:dyDescent="0.25">
      <c r="B12" s="238" t="s">
        <v>81</v>
      </c>
      <c r="C12" s="238"/>
      <c r="D12" s="238"/>
      <c r="E12" s="238"/>
    </row>
    <row r="13" spans="2:6" ht="15" customHeight="1" x14ac:dyDescent="0.25">
      <c r="B13" s="210" t="s">
        <v>8</v>
      </c>
      <c r="C13" s="210"/>
      <c r="D13" s="210"/>
      <c r="E13" s="54">
        <v>7000</v>
      </c>
    </row>
    <row r="14" spans="2:6" ht="14.25" customHeight="1" x14ac:dyDescent="0.25">
      <c r="B14" s="210" t="s">
        <v>9</v>
      </c>
      <c r="C14" s="210"/>
      <c r="D14" s="210"/>
      <c r="E14" s="54">
        <v>11000</v>
      </c>
    </row>
    <row r="15" spans="2:6" x14ac:dyDescent="0.25">
      <c r="B15" s="239" t="s">
        <v>75</v>
      </c>
      <c r="C15" s="240"/>
      <c r="D15" s="241"/>
      <c r="E15" s="54">
        <f>SUM(E13:E14)</f>
        <v>18000</v>
      </c>
    </row>
    <row r="16" spans="2:6" x14ac:dyDescent="0.25">
      <c r="B16" s="193" t="s">
        <v>11</v>
      </c>
      <c r="C16" s="194"/>
      <c r="D16" s="195"/>
      <c r="E16" s="54">
        <f>E82</f>
        <v>449800</v>
      </c>
    </row>
    <row r="17" spans="2:8" x14ac:dyDescent="0.25">
      <c r="B17" s="196" t="s">
        <v>10</v>
      </c>
      <c r="C17" s="197"/>
      <c r="D17" s="198"/>
      <c r="E17" s="55">
        <f>(E15+E11+E16)</f>
        <v>1039800</v>
      </c>
    </row>
    <row r="18" spans="2:8" ht="9" customHeight="1" x14ac:dyDescent="0.25">
      <c r="B18" s="1"/>
      <c r="E18" s="4"/>
    </row>
    <row r="19" spans="2:8" x14ac:dyDescent="0.25">
      <c r="B19" s="207" t="s">
        <v>35</v>
      </c>
      <c r="C19" s="208"/>
      <c r="D19" s="208"/>
      <c r="E19" s="208"/>
      <c r="F19" s="209"/>
      <c r="G19" s="2"/>
    </row>
    <row r="20" spans="2:8" ht="7.5" customHeight="1" x14ac:dyDescent="0.25">
      <c r="B20" s="2"/>
      <c r="C20" s="2"/>
      <c r="D20" s="2"/>
      <c r="E20" s="2"/>
      <c r="F20" s="2"/>
      <c r="G20" s="2"/>
    </row>
    <row r="21" spans="2:8" x14ac:dyDescent="0.25">
      <c r="B21" s="211" t="s">
        <v>13</v>
      </c>
      <c r="C21" s="211"/>
      <c r="D21" s="211"/>
      <c r="E21" s="7" t="s">
        <v>36</v>
      </c>
      <c r="F21" s="7" t="s">
        <v>15</v>
      </c>
      <c r="G21" s="2"/>
    </row>
    <row r="22" spans="2:8" x14ac:dyDescent="0.25">
      <c r="B22" s="206" t="s">
        <v>37</v>
      </c>
      <c r="C22" s="206"/>
      <c r="D22" s="206"/>
      <c r="E22" s="46">
        <v>1</v>
      </c>
      <c r="F22" s="45">
        <f>+E17</f>
        <v>1039800</v>
      </c>
      <c r="G22" s="2"/>
    </row>
    <row r="23" spans="2:8" x14ac:dyDescent="0.25">
      <c r="B23" s="206" t="s">
        <v>38</v>
      </c>
      <c r="C23" s="206"/>
      <c r="D23" s="206"/>
      <c r="E23" s="46">
        <v>0.6</v>
      </c>
      <c r="F23" s="45">
        <f>(F22*0.6)</f>
        <v>623880</v>
      </c>
      <c r="G23" s="2"/>
    </row>
    <row r="24" spans="2:8" x14ac:dyDescent="0.25">
      <c r="B24" s="206" t="s">
        <v>39</v>
      </c>
      <c r="C24" s="206"/>
      <c r="D24" s="206"/>
      <c r="E24" s="46">
        <v>0.4</v>
      </c>
      <c r="F24" s="45">
        <f>(F22*0.4)</f>
        <v>415920</v>
      </c>
      <c r="G24" s="2"/>
    </row>
    <row r="25" spans="2:8" x14ac:dyDescent="0.25">
      <c r="B25" s="206" t="s">
        <v>40</v>
      </c>
      <c r="C25" s="206"/>
      <c r="D25" s="206"/>
      <c r="E25" s="9"/>
      <c r="F25" s="10">
        <v>0.18</v>
      </c>
      <c r="G25" s="2"/>
    </row>
    <row r="26" spans="2:8" x14ac:dyDescent="0.25">
      <c r="B26" s="206" t="s">
        <v>41</v>
      </c>
      <c r="C26" s="206"/>
      <c r="D26" s="206"/>
      <c r="E26" s="9" t="s">
        <v>42</v>
      </c>
      <c r="F26" s="8">
        <v>3</v>
      </c>
      <c r="G26" s="2"/>
    </row>
    <row r="27" spans="2:8" ht="10.5" customHeight="1" x14ac:dyDescent="0.25">
      <c r="B27" s="2"/>
      <c r="C27" s="2"/>
      <c r="D27" s="2"/>
      <c r="E27" s="2"/>
      <c r="F27" s="2"/>
      <c r="G27" s="2"/>
    </row>
    <row r="28" spans="2:8" x14ac:dyDescent="0.25">
      <c r="B28" s="174" t="s">
        <v>82</v>
      </c>
      <c r="C28" s="174"/>
      <c r="D28" s="174"/>
      <c r="E28" s="174"/>
      <c r="F28" s="174"/>
      <c r="G28" s="174"/>
    </row>
    <row r="29" spans="2:8" ht="7.5" customHeight="1" thickBot="1" x14ac:dyDescent="0.3">
      <c r="B29" s="2"/>
      <c r="C29" s="2"/>
      <c r="D29" s="2"/>
      <c r="E29" s="2"/>
      <c r="F29" s="2"/>
      <c r="G29" s="2"/>
    </row>
    <row r="30" spans="2:8" ht="45.75" thickBot="1" x14ac:dyDescent="0.3">
      <c r="B30" s="67" t="s">
        <v>24</v>
      </c>
      <c r="C30" s="68" t="s">
        <v>83</v>
      </c>
      <c r="D30" s="68" t="s">
        <v>86</v>
      </c>
      <c r="E30" s="68" t="s">
        <v>85</v>
      </c>
      <c r="F30" s="68" t="s">
        <v>84</v>
      </c>
      <c r="G30" s="69" t="s">
        <v>87</v>
      </c>
    </row>
    <row r="31" spans="2:8" x14ac:dyDescent="0.25">
      <c r="B31" s="64">
        <v>0</v>
      </c>
      <c r="C31" s="65">
        <f>F23</f>
        <v>623880</v>
      </c>
      <c r="D31" s="65"/>
      <c r="E31" s="65"/>
      <c r="F31" s="65"/>
      <c r="G31" s="66">
        <f>C31</f>
        <v>623880</v>
      </c>
    </row>
    <row r="32" spans="2:8" x14ac:dyDescent="0.25">
      <c r="B32" s="57">
        <v>1</v>
      </c>
      <c r="C32" s="3">
        <f>G31</f>
        <v>623880</v>
      </c>
      <c r="D32" s="45">
        <f>C32*$F$25</f>
        <v>112298.4</v>
      </c>
      <c r="E32" s="56">
        <f>F32-D32</f>
        <v>174638.89821968423</v>
      </c>
      <c r="F32" s="56">
        <f>-PMT(F25,F26,F23)</f>
        <v>286937.29821968422</v>
      </c>
      <c r="G32" s="58">
        <f>C32-E32</f>
        <v>449241.10178031574</v>
      </c>
      <c r="H32" s="16"/>
    </row>
    <row r="33" spans="2:10" x14ac:dyDescent="0.25">
      <c r="B33" s="57">
        <v>2</v>
      </c>
      <c r="C33" s="3">
        <f t="shared" ref="C33:C34" si="1">G32</f>
        <v>449241.10178031574</v>
      </c>
      <c r="D33" s="45">
        <f t="shared" ref="D33:D34" si="2">C33*$F$25</f>
        <v>80863.398320456836</v>
      </c>
      <c r="E33" s="56">
        <f t="shared" ref="E33:E34" si="3">F33-D33</f>
        <v>206073.89989922737</v>
      </c>
      <c r="F33" s="56">
        <f>F32</f>
        <v>286937.29821968422</v>
      </c>
      <c r="G33" s="58">
        <f t="shared" ref="G33" si="4">C33-E33</f>
        <v>243167.20188108837</v>
      </c>
    </row>
    <row r="34" spans="2:10" ht="15.75" thickBot="1" x14ac:dyDescent="0.3">
      <c r="B34" s="59">
        <v>3</v>
      </c>
      <c r="C34" s="60">
        <f t="shared" si="1"/>
        <v>243167.20188108837</v>
      </c>
      <c r="D34" s="61">
        <f t="shared" si="2"/>
        <v>43770.096338595904</v>
      </c>
      <c r="E34" s="62">
        <f t="shared" si="3"/>
        <v>243167.20188108832</v>
      </c>
      <c r="F34" s="62">
        <f>F33</f>
        <v>286937.29821968422</v>
      </c>
      <c r="G34" s="63">
        <f>C34-E34</f>
        <v>0</v>
      </c>
    </row>
    <row r="35" spans="2:10" x14ac:dyDescent="0.25">
      <c r="B35" s="1"/>
      <c r="E35" s="4"/>
    </row>
    <row r="36" spans="2:10" x14ac:dyDescent="0.25">
      <c r="B36" s="203" t="s">
        <v>28</v>
      </c>
      <c r="C36" s="203"/>
      <c r="D36" s="203"/>
      <c r="E36" s="203"/>
      <c r="F36" s="203"/>
      <c r="G36" s="203"/>
    </row>
    <row r="37" spans="2:10" ht="15.75" thickBot="1" x14ac:dyDescent="0.3">
      <c r="B37" s="1"/>
      <c r="E37" s="4"/>
    </row>
    <row r="38" spans="2:10" ht="15.75" thickBot="1" x14ac:dyDescent="0.3">
      <c r="B38" s="90" t="s">
        <v>24</v>
      </c>
      <c r="C38" s="91">
        <v>2014</v>
      </c>
      <c r="D38" s="91">
        <f>C38+1</f>
        <v>2015</v>
      </c>
      <c r="E38" s="91">
        <f t="shared" ref="E38:F38" si="5">D38+1</f>
        <v>2016</v>
      </c>
      <c r="F38" s="91">
        <f t="shared" si="5"/>
        <v>2017</v>
      </c>
      <c r="G38" s="91">
        <f>F38+1</f>
        <v>2018</v>
      </c>
    </row>
    <row r="39" spans="2:10" ht="15.75" thickBot="1" x14ac:dyDescent="0.3">
      <c r="B39" s="93" t="s">
        <v>69</v>
      </c>
      <c r="C39" s="94">
        <v>2600</v>
      </c>
      <c r="D39" s="94">
        <v>3000</v>
      </c>
      <c r="E39" s="94">
        <v>3400</v>
      </c>
      <c r="F39" s="94">
        <v>3800</v>
      </c>
      <c r="G39" s="95">
        <v>4100</v>
      </c>
      <c r="H39" s="6"/>
      <c r="I39" s="6"/>
      <c r="J39" s="6"/>
    </row>
    <row r="40" spans="2:10" x14ac:dyDescent="0.25">
      <c r="B40" s="5"/>
      <c r="C40" s="6"/>
      <c r="D40" s="6"/>
      <c r="E40" s="6"/>
      <c r="F40" s="6"/>
      <c r="G40" s="6"/>
    </row>
    <row r="41" spans="2:10" x14ac:dyDescent="0.25">
      <c r="B41" s="204" t="s">
        <v>70</v>
      </c>
      <c r="C41" s="205"/>
      <c r="E41" s="4"/>
    </row>
    <row r="42" spans="2:10" ht="15.75" thickBot="1" x14ac:dyDescent="0.3">
      <c r="B42" s="97"/>
      <c r="C42" s="98"/>
      <c r="E42" s="4"/>
    </row>
    <row r="43" spans="2:10" ht="15.75" thickBot="1" x14ac:dyDescent="0.3">
      <c r="B43" s="99" t="s">
        <v>19</v>
      </c>
      <c r="C43" s="92" t="s">
        <v>20</v>
      </c>
      <c r="E43" s="4"/>
    </row>
    <row r="44" spans="2:10" x14ac:dyDescent="0.25">
      <c r="B44" s="100" t="s">
        <v>21</v>
      </c>
      <c r="C44" s="101">
        <v>62.8</v>
      </c>
      <c r="E44" s="4"/>
    </row>
    <row r="45" spans="2:10" x14ac:dyDescent="0.25">
      <c r="B45" s="102" t="s">
        <v>22</v>
      </c>
      <c r="C45" s="103">
        <v>85.2</v>
      </c>
      <c r="E45" s="4"/>
    </row>
    <row r="46" spans="2:10" ht="15.75" thickBot="1" x14ac:dyDescent="0.3">
      <c r="B46" s="104" t="s">
        <v>23</v>
      </c>
      <c r="C46" s="105">
        <v>25</v>
      </c>
      <c r="E46" s="4"/>
    </row>
    <row r="47" spans="2:10" ht="15.75" thickBot="1" x14ac:dyDescent="0.3">
      <c r="B47" s="106" t="s">
        <v>15</v>
      </c>
      <c r="C47" s="107">
        <f>SUM(C44:C46)</f>
        <v>173</v>
      </c>
    </row>
    <row r="49" spans="2:10" x14ac:dyDescent="0.25">
      <c r="B49" s="180" t="s">
        <v>12</v>
      </c>
      <c r="C49" s="180"/>
      <c r="D49" s="180"/>
      <c r="E49" s="180"/>
      <c r="F49" s="180"/>
      <c r="G49" s="180"/>
      <c r="H49" s="180"/>
    </row>
    <row r="50" spans="2:10" ht="15.75" thickBot="1" x14ac:dyDescent="0.3">
      <c r="B50" s="98"/>
      <c r="C50" s="98"/>
      <c r="D50" s="98"/>
      <c r="E50" s="98"/>
      <c r="F50" s="98"/>
      <c r="G50" s="98"/>
      <c r="H50" s="98"/>
    </row>
    <row r="51" spans="2:10" x14ac:dyDescent="0.25">
      <c r="B51" s="181" t="s">
        <v>13</v>
      </c>
      <c r="C51" s="182"/>
      <c r="D51" s="182" t="s">
        <v>14</v>
      </c>
      <c r="E51" s="182"/>
      <c r="F51" s="182"/>
      <c r="G51" s="182"/>
      <c r="H51" s="185"/>
    </row>
    <row r="52" spans="2:10" ht="15.75" thickBot="1" x14ac:dyDescent="0.3">
      <c r="B52" s="183"/>
      <c r="C52" s="184"/>
      <c r="D52" s="108">
        <v>1</v>
      </c>
      <c r="E52" s="108">
        <v>2</v>
      </c>
      <c r="F52" s="108">
        <v>3</v>
      </c>
      <c r="G52" s="108">
        <v>4</v>
      </c>
      <c r="H52" s="109">
        <v>5</v>
      </c>
    </row>
    <row r="53" spans="2:10" x14ac:dyDescent="0.25">
      <c r="B53" s="110" t="s">
        <v>21</v>
      </c>
      <c r="C53" s="111"/>
      <c r="D53" s="112">
        <f>($C$44*C39)</f>
        <v>163280</v>
      </c>
      <c r="E53" s="112">
        <f>($C$44*D39)</f>
        <v>188400</v>
      </c>
      <c r="F53" s="112">
        <f>($C$44*E39)</f>
        <v>213520</v>
      </c>
      <c r="G53" s="112">
        <f>($C$44*F39)</f>
        <v>238640</v>
      </c>
      <c r="H53" s="113">
        <f>($C$44*G39)</f>
        <v>257480</v>
      </c>
    </row>
    <row r="54" spans="2:10" x14ac:dyDescent="0.25">
      <c r="B54" s="114" t="s">
        <v>22</v>
      </c>
      <c r="C54" s="115"/>
      <c r="D54" s="116">
        <f>($C$45*C39)</f>
        <v>221520</v>
      </c>
      <c r="E54" s="116">
        <f>($C$45*D39)</f>
        <v>255600</v>
      </c>
      <c r="F54" s="116">
        <f>($C$45*E39)</f>
        <v>289680</v>
      </c>
      <c r="G54" s="116">
        <f>($C$45*F39)</f>
        <v>323760</v>
      </c>
      <c r="H54" s="117">
        <f>($C$45*G39)</f>
        <v>349320</v>
      </c>
    </row>
    <row r="55" spans="2:10" x14ac:dyDescent="0.25">
      <c r="B55" s="114" t="s">
        <v>23</v>
      </c>
      <c r="C55" s="115"/>
      <c r="D55" s="116">
        <f>($C$46*C39)</f>
        <v>65000</v>
      </c>
      <c r="E55" s="116">
        <f>($C$46*D39)</f>
        <v>75000</v>
      </c>
      <c r="F55" s="116">
        <f>($C$46*E39)</f>
        <v>85000</v>
      </c>
      <c r="G55" s="116">
        <f>($C$46*F39)</f>
        <v>95000</v>
      </c>
      <c r="H55" s="117">
        <f>($C$46*G39)</f>
        <v>102500</v>
      </c>
    </row>
    <row r="56" spans="2:10" ht="15.75" thickBot="1" x14ac:dyDescent="0.3">
      <c r="B56" s="191" t="s">
        <v>15</v>
      </c>
      <c r="C56" s="192"/>
      <c r="D56" s="118">
        <f>SUM(D53:D55)</f>
        <v>449800</v>
      </c>
      <c r="E56" s="118">
        <f t="shared" ref="E56:H56" si="6">SUM(E53:E55)</f>
        <v>519000</v>
      </c>
      <c r="F56" s="118">
        <f t="shared" si="6"/>
        <v>588200</v>
      </c>
      <c r="G56" s="118">
        <f t="shared" si="6"/>
        <v>657400</v>
      </c>
      <c r="H56" s="119">
        <f t="shared" si="6"/>
        <v>709300</v>
      </c>
      <c r="J56" s="47"/>
    </row>
    <row r="57" spans="2:10" ht="15.75" thickBot="1" x14ac:dyDescent="0.3">
      <c r="B57" s="98"/>
      <c r="C57" s="98"/>
      <c r="D57" s="98"/>
      <c r="E57" s="98"/>
      <c r="F57" s="98"/>
      <c r="G57" s="98"/>
      <c r="H57" s="98"/>
    </row>
    <row r="58" spans="2:10" ht="15.75" thickBot="1" x14ac:dyDescent="0.3">
      <c r="B58" s="199" t="s">
        <v>89</v>
      </c>
      <c r="C58" s="200"/>
      <c r="D58" s="200"/>
      <c r="E58" s="200"/>
      <c r="F58" s="200"/>
      <c r="G58" s="200"/>
      <c r="H58" s="201"/>
    </row>
    <row r="59" spans="2:10" x14ac:dyDescent="0.25">
      <c r="B59" s="120"/>
      <c r="C59" s="98"/>
      <c r="D59" s="98"/>
      <c r="E59" s="98"/>
      <c r="F59" s="98"/>
      <c r="G59" s="98"/>
      <c r="H59" s="98"/>
    </row>
    <row r="60" spans="2:10" x14ac:dyDescent="0.25">
      <c r="B60" s="121" t="s">
        <v>98</v>
      </c>
      <c r="C60" s="122" t="s">
        <v>92</v>
      </c>
      <c r="D60" s="122" t="s">
        <v>93</v>
      </c>
      <c r="E60" s="122" t="s">
        <v>94</v>
      </c>
      <c r="F60" s="122" t="s">
        <v>95</v>
      </c>
      <c r="G60" s="122" t="s">
        <v>96</v>
      </c>
      <c r="H60" s="122" t="s">
        <v>97</v>
      </c>
    </row>
    <row r="61" spans="2:10" x14ac:dyDescent="0.25">
      <c r="B61" s="123" t="s">
        <v>90</v>
      </c>
      <c r="C61" s="124">
        <f>E8</f>
        <v>210000</v>
      </c>
      <c r="D61" s="123">
        <v>10</v>
      </c>
      <c r="E61" s="123">
        <f>1/10</f>
        <v>0.1</v>
      </c>
      <c r="F61" s="124">
        <f>E61*C61</f>
        <v>21000</v>
      </c>
      <c r="G61" s="124">
        <f>F61*5</f>
        <v>105000</v>
      </c>
      <c r="H61" s="124">
        <f>C61-G61</f>
        <v>105000</v>
      </c>
    </row>
    <row r="62" spans="2:10" x14ac:dyDescent="0.25">
      <c r="B62" s="123" t="s">
        <v>91</v>
      </c>
      <c r="C62" s="124">
        <f>E9</f>
        <v>253000</v>
      </c>
      <c r="D62" s="123">
        <v>25</v>
      </c>
      <c r="E62" s="123">
        <f>1/D62</f>
        <v>0.04</v>
      </c>
      <c r="F62" s="124">
        <f>E62*C62</f>
        <v>10120</v>
      </c>
      <c r="G62" s="124">
        <f>F62*5</f>
        <v>50600</v>
      </c>
      <c r="H62" s="124">
        <f>C62-G62</f>
        <v>202400</v>
      </c>
    </row>
    <row r="63" spans="2:10" x14ac:dyDescent="0.25">
      <c r="B63" s="122" t="s">
        <v>73</v>
      </c>
      <c r="C63" s="125">
        <f>C61+C62</f>
        <v>463000</v>
      </c>
      <c r="D63" s="125"/>
      <c r="E63" s="125"/>
      <c r="F63" s="125">
        <f t="shared" ref="F63:H63" si="7">F61+F62</f>
        <v>31120</v>
      </c>
      <c r="G63" s="125"/>
      <c r="H63" s="125">
        <f t="shared" si="7"/>
        <v>307400</v>
      </c>
    </row>
    <row r="64" spans="2:10" x14ac:dyDescent="0.25">
      <c r="B64" s="2"/>
      <c r="C64" s="2"/>
      <c r="D64" s="2"/>
      <c r="E64" s="2"/>
      <c r="F64" s="2"/>
      <c r="G64" s="2"/>
      <c r="H64" s="2"/>
    </row>
    <row r="65" spans="2:8" x14ac:dyDescent="0.25">
      <c r="B65" s="180" t="s">
        <v>16</v>
      </c>
      <c r="C65" s="180"/>
      <c r="D65" s="180"/>
      <c r="E65" s="180"/>
      <c r="F65" s="180"/>
      <c r="G65" s="180"/>
      <c r="H65" s="180"/>
    </row>
    <row r="66" spans="2:8" ht="15.75" thickBot="1" x14ac:dyDescent="0.3">
      <c r="B66" s="98"/>
      <c r="C66" s="98"/>
      <c r="D66" s="98"/>
      <c r="E66" s="98"/>
      <c r="F66" s="98"/>
      <c r="G66" s="98"/>
      <c r="H66" s="98"/>
    </row>
    <row r="67" spans="2:8" x14ac:dyDescent="0.25">
      <c r="B67" s="181" t="s">
        <v>13</v>
      </c>
      <c r="C67" s="182"/>
      <c r="D67" s="182" t="s">
        <v>14</v>
      </c>
      <c r="E67" s="182"/>
      <c r="F67" s="182"/>
      <c r="G67" s="182"/>
      <c r="H67" s="185"/>
    </row>
    <row r="68" spans="2:8" ht="15.75" thickBot="1" x14ac:dyDescent="0.3">
      <c r="B68" s="183"/>
      <c r="C68" s="184"/>
      <c r="D68" s="108">
        <v>1</v>
      </c>
      <c r="E68" s="108">
        <v>2</v>
      </c>
      <c r="F68" s="108">
        <v>3</v>
      </c>
      <c r="G68" s="108">
        <v>4</v>
      </c>
      <c r="H68" s="109">
        <v>5</v>
      </c>
    </row>
    <row r="69" spans="2:8" x14ac:dyDescent="0.25">
      <c r="B69" s="177" t="s">
        <v>16</v>
      </c>
      <c r="C69" s="179"/>
      <c r="D69" s="126">
        <v>8000</v>
      </c>
      <c r="E69" s="126">
        <v>8000</v>
      </c>
      <c r="F69" s="126">
        <v>8000</v>
      </c>
      <c r="G69" s="126">
        <v>8000</v>
      </c>
      <c r="H69" s="127">
        <v>8000</v>
      </c>
    </row>
    <row r="70" spans="2:8" ht="15.75" thickBot="1" x14ac:dyDescent="0.3">
      <c r="B70" s="175" t="s">
        <v>7</v>
      </c>
      <c r="C70" s="176"/>
      <c r="D70" s="118">
        <f>(D69)</f>
        <v>8000</v>
      </c>
      <c r="E70" s="118">
        <f t="shared" ref="E70:H70" si="8">(E69)</f>
        <v>8000</v>
      </c>
      <c r="F70" s="118">
        <f t="shared" si="8"/>
        <v>8000</v>
      </c>
      <c r="G70" s="118">
        <f t="shared" si="8"/>
        <v>8000</v>
      </c>
      <c r="H70" s="119">
        <f t="shared" si="8"/>
        <v>8000</v>
      </c>
    </row>
    <row r="71" spans="2:8" ht="15.75" thickBot="1" x14ac:dyDescent="0.3">
      <c r="B71" s="98"/>
      <c r="C71" s="98"/>
      <c r="D71" s="98"/>
      <c r="E71" s="98"/>
      <c r="F71" s="98"/>
      <c r="G71" s="98"/>
      <c r="H71" s="98"/>
    </row>
    <row r="72" spans="2:8" ht="15.75" thickBot="1" x14ac:dyDescent="0.3">
      <c r="B72" s="188" t="s">
        <v>17</v>
      </c>
      <c r="C72" s="189"/>
      <c r="D72" s="189"/>
      <c r="E72" s="189"/>
      <c r="F72" s="189"/>
      <c r="G72" s="189"/>
      <c r="H72" s="190"/>
    </row>
    <row r="73" spans="2:8" ht="15.75" thickBot="1" x14ac:dyDescent="0.3">
      <c r="B73" s="98"/>
      <c r="C73" s="98"/>
      <c r="D73" s="98"/>
      <c r="E73" s="98"/>
      <c r="F73" s="98"/>
      <c r="G73" s="98"/>
      <c r="H73" s="98"/>
    </row>
    <row r="74" spans="2:8" x14ac:dyDescent="0.25">
      <c r="B74" s="181" t="s">
        <v>13</v>
      </c>
      <c r="C74" s="182"/>
      <c r="D74" s="182" t="s">
        <v>14</v>
      </c>
      <c r="E74" s="182"/>
      <c r="F74" s="182"/>
      <c r="G74" s="182"/>
      <c r="H74" s="185"/>
    </row>
    <row r="75" spans="2:8" ht="15.75" thickBot="1" x14ac:dyDescent="0.3">
      <c r="B75" s="183"/>
      <c r="C75" s="184"/>
      <c r="D75" s="108">
        <v>1</v>
      </c>
      <c r="E75" s="108">
        <v>2</v>
      </c>
      <c r="F75" s="108">
        <v>3</v>
      </c>
      <c r="G75" s="108">
        <v>4</v>
      </c>
      <c r="H75" s="109">
        <v>5</v>
      </c>
    </row>
    <row r="76" spans="2:8" x14ac:dyDescent="0.25">
      <c r="B76" s="177" t="s">
        <v>18</v>
      </c>
      <c r="C76" s="178"/>
      <c r="D76" s="126">
        <v>3000</v>
      </c>
      <c r="E76" s="126">
        <v>3000</v>
      </c>
      <c r="F76" s="126">
        <v>3000</v>
      </c>
      <c r="G76" s="126">
        <v>3000</v>
      </c>
      <c r="H76" s="127">
        <v>3000</v>
      </c>
    </row>
    <row r="77" spans="2:8" ht="15.75" thickBot="1" x14ac:dyDescent="0.3">
      <c r="B77" s="175" t="s">
        <v>7</v>
      </c>
      <c r="C77" s="176"/>
      <c r="D77" s="118">
        <f>(D76)</f>
        <v>3000</v>
      </c>
      <c r="E77" s="118">
        <f t="shared" ref="E77" si="9">(E76)</f>
        <v>3000</v>
      </c>
      <c r="F77" s="118">
        <f t="shared" ref="F77" si="10">(F76)</f>
        <v>3000</v>
      </c>
      <c r="G77" s="118">
        <f t="shared" ref="G77" si="11">(G76)</f>
        <v>3000</v>
      </c>
      <c r="H77" s="119">
        <f t="shared" ref="H77" si="12">(H76)</f>
        <v>3000</v>
      </c>
    </row>
    <row r="78" spans="2:8" ht="15.75" thickBot="1" x14ac:dyDescent="0.3">
      <c r="B78" s="98"/>
      <c r="C78" s="98"/>
      <c r="D78" s="98"/>
      <c r="E78" s="98"/>
      <c r="F78" s="98"/>
      <c r="G78" s="98"/>
      <c r="H78" s="98"/>
    </row>
    <row r="79" spans="2:8" ht="15.75" thickBot="1" x14ac:dyDescent="0.3">
      <c r="B79" s="167" t="s">
        <v>88</v>
      </c>
      <c r="C79" s="168"/>
      <c r="D79" s="168"/>
      <c r="E79" s="169"/>
      <c r="F79" s="98"/>
      <c r="G79" s="98"/>
      <c r="H79" s="98"/>
    </row>
    <row r="80" spans="2:8" ht="15.75" thickBot="1" x14ac:dyDescent="0.3">
      <c r="B80" s="98"/>
      <c r="C80" s="98"/>
      <c r="D80" s="98"/>
      <c r="E80" s="98"/>
      <c r="F80" s="98"/>
      <c r="G80" s="98"/>
      <c r="H80" s="98"/>
    </row>
    <row r="81" spans="2:8" ht="39" thickBot="1" x14ac:dyDescent="0.3">
      <c r="B81" s="128" t="s">
        <v>24</v>
      </c>
      <c r="C81" s="129" t="s">
        <v>78</v>
      </c>
      <c r="D81" s="129" t="s">
        <v>79</v>
      </c>
      <c r="E81" s="130" t="s">
        <v>77</v>
      </c>
      <c r="F81" s="98"/>
      <c r="G81" s="98"/>
      <c r="H81" s="98"/>
    </row>
    <row r="82" spans="2:8" x14ac:dyDescent="0.25">
      <c r="B82" s="131">
        <v>0</v>
      </c>
      <c r="C82" s="132">
        <f>+C24</f>
        <v>0</v>
      </c>
      <c r="D82" s="132"/>
      <c r="E82" s="133">
        <f>D83</f>
        <v>449800</v>
      </c>
      <c r="F82" s="98"/>
      <c r="G82" s="98"/>
      <c r="H82" s="98"/>
    </row>
    <row r="83" spans="2:8" x14ac:dyDescent="0.25">
      <c r="B83" s="134">
        <v>1</v>
      </c>
      <c r="C83" s="51">
        <f>D56</f>
        <v>449800</v>
      </c>
      <c r="D83" s="51">
        <f>D56</f>
        <v>449800</v>
      </c>
      <c r="E83" s="135">
        <f>D84-D83</f>
        <v>69200</v>
      </c>
      <c r="F83" s="98"/>
      <c r="G83" s="98"/>
      <c r="H83" s="98"/>
    </row>
    <row r="84" spans="2:8" x14ac:dyDescent="0.25">
      <c r="B84" s="134">
        <v>2</v>
      </c>
      <c r="C84" s="51">
        <f>E56</f>
        <v>519000</v>
      </c>
      <c r="D84" s="51">
        <f>E56</f>
        <v>519000</v>
      </c>
      <c r="E84" s="135">
        <f>D85-E83-E82</f>
        <v>69200</v>
      </c>
      <c r="F84" s="98"/>
      <c r="G84" s="98"/>
      <c r="H84" s="98"/>
    </row>
    <row r="85" spans="2:8" x14ac:dyDescent="0.25">
      <c r="B85" s="134">
        <v>3</v>
      </c>
      <c r="C85" s="51">
        <f>F56</f>
        <v>588200</v>
      </c>
      <c r="D85" s="51">
        <f>F56</f>
        <v>588200</v>
      </c>
      <c r="E85" s="135">
        <f>D86-E84-E83-E82</f>
        <v>69200</v>
      </c>
      <c r="F85" s="98"/>
      <c r="G85" s="98"/>
      <c r="H85" s="98"/>
    </row>
    <row r="86" spans="2:8" x14ac:dyDescent="0.25">
      <c r="B86" s="136">
        <v>4</v>
      </c>
      <c r="C86" s="51">
        <f>G56</f>
        <v>657400</v>
      </c>
      <c r="D86" s="51">
        <f>G56</f>
        <v>657400</v>
      </c>
      <c r="E86" s="135">
        <f>D87-E85-E84-E83-E82</f>
        <v>51900</v>
      </c>
      <c r="F86" s="98"/>
      <c r="G86" s="98"/>
      <c r="H86" s="98"/>
    </row>
    <row r="87" spans="2:8" ht="15.75" thickBot="1" x14ac:dyDescent="0.3">
      <c r="B87" s="137">
        <v>5</v>
      </c>
      <c r="C87" s="138">
        <f>H56</f>
        <v>709300</v>
      </c>
      <c r="D87" s="139">
        <f>H56</f>
        <v>709300</v>
      </c>
      <c r="E87" s="140"/>
      <c r="F87" s="98"/>
      <c r="G87" s="98"/>
      <c r="H87" s="98"/>
    </row>
    <row r="88" spans="2:8" ht="15.75" thickBot="1" x14ac:dyDescent="0.3">
      <c r="B88" s="98"/>
      <c r="C88" s="98"/>
      <c r="D88" s="98"/>
      <c r="E88" s="98"/>
      <c r="F88" s="98"/>
      <c r="G88" s="98"/>
      <c r="H88" s="98"/>
    </row>
    <row r="89" spans="2:8" ht="15.75" thickBot="1" x14ac:dyDescent="0.3">
      <c r="B89" s="167" t="s">
        <v>27</v>
      </c>
      <c r="C89" s="168"/>
      <c r="D89" s="168"/>
      <c r="E89" s="169"/>
      <c r="F89" s="98"/>
      <c r="G89" s="98"/>
      <c r="H89" s="98"/>
    </row>
    <row r="90" spans="2:8" ht="15.75" thickBot="1" x14ac:dyDescent="0.3">
      <c r="B90" s="98"/>
      <c r="C90" s="98"/>
      <c r="D90" s="98"/>
      <c r="E90" s="98"/>
      <c r="F90" s="98"/>
      <c r="G90" s="98"/>
      <c r="H90" s="98"/>
    </row>
    <row r="91" spans="2:8" ht="39" thickBot="1" x14ac:dyDescent="0.3">
      <c r="B91" s="128" t="s">
        <v>24</v>
      </c>
      <c r="C91" s="129" t="s">
        <v>25</v>
      </c>
      <c r="D91" s="129" t="s">
        <v>26</v>
      </c>
      <c r="E91" s="130" t="s">
        <v>27</v>
      </c>
      <c r="F91" s="98"/>
      <c r="G91" s="98"/>
      <c r="H91" s="98"/>
    </row>
    <row r="92" spans="2:8" x14ac:dyDescent="0.25">
      <c r="B92" s="131">
        <v>1</v>
      </c>
      <c r="C92" s="132">
        <f>+C39</f>
        <v>2600</v>
      </c>
      <c r="D92" s="132">
        <v>360</v>
      </c>
      <c r="E92" s="133">
        <f>(C92*D92)</f>
        <v>936000</v>
      </c>
      <c r="F92" s="141"/>
      <c r="G92" s="98"/>
      <c r="H92" s="98"/>
    </row>
    <row r="93" spans="2:8" x14ac:dyDescent="0.25">
      <c r="B93" s="134">
        <v>2</v>
      </c>
      <c r="C93" s="51">
        <f>+D39</f>
        <v>3000</v>
      </c>
      <c r="D93" s="51">
        <v>360</v>
      </c>
      <c r="E93" s="135">
        <f t="shared" ref="E93:E96" si="13">(C93*D93)</f>
        <v>1080000</v>
      </c>
      <c r="F93" s="98"/>
      <c r="G93" s="98"/>
      <c r="H93" s="98"/>
    </row>
    <row r="94" spans="2:8" x14ac:dyDescent="0.25">
      <c r="B94" s="134">
        <v>3</v>
      </c>
      <c r="C94" s="51">
        <f>+E39</f>
        <v>3400</v>
      </c>
      <c r="D94" s="51">
        <v>360</v>
      </c>
      <c r="E94" s="135">
        <f t="shared" si="13"/>
        <v>1224000</v>
      </c>
      <c r="F94" s="98"/>
      <c r="G94" s="98"/>
      <c r="H94" s="98"/>
    </row>
    <row r="95" spans="2:8" x14ac:dyDescent="0.25">
      <c r="B95" s="134">
        <v>4</v>
      </c>
      <c r="C95" s="51">
        <f>+F39</f>
        <v>3800</v>
      </c>
      <c r="D95" s="51">
        <v>360</v>
      </c>
      <c r="E95" s="135">
        <f t="shared" si="13"/>
        <v>1368000</v>
      </c>
      <c r="F95" s="98"/>
      <c r="G95" s="98"/>
      <c r="H95" s="98"/>
    </row>
    <row r="96" spans="2:8" ht="15.75" thickBot="1" x14ac:dyDescent="0.3">
      <c r="B96" s="142">
        <v>5</v>
      </c>
      <c r="C96" s="139">
        <f>+G39</f>
        <v>4100</v>
      </c>
      <c r="D96" s="139">
        <v>360</v>
      </c>
      <c r="E96" s="140">
        <f t="shared" si="13"/>
        <v>1476000</v>
      </c>
      <c r="F96" s="98"/>
      <c r="G96" s="98"/>
      <c r="H96" s="98"/>
    </row>
    <row r="97" spans="2:12" ht="15.75" thickBot="1" x14ac:dyDescent="0.3">
      <c r="B97" s="98"/>
      <c r="C97" s="98"/>
      <c r="D97" s="98"/>
      <c r="E97" s="98"/>
      <c r="F97" s="98"/>
      <c r="G97" s="98"/>
      <c r="H97" s="98"/>
    </row>
    <row r="98" spans="2:12" ht="15.75" thickBot="1" x14ac:dyDescent="0.3">
      <c r="B98" s="171" t="s">
        <v>116</v>
      </c>
      <c r="C98" s="172"/>
      <c r="D98" s="172"/>
      <c r="E98" s="172"/>
      <c r="F98" s="172"/>
      <c r="G98" s="173"/>
      <c r="H98" s="143"/>
      <c r="I98" s="23"/>
      <c r="J98" s="23"/>
      <c r="K98" s="23"/>
      <c r="L98" s="23"/>
    </row>
    <row r="99" spans="2:12" x14ac:dyDescent="0.25">
      <c r="B99" s="98"/>
      <c r="C99" s="98"/>
      <c r="D99" s="98"/>
      <c r="E99" s="98"/>
      <c r="F99" s="98"/>
      <c r="G99" s="98"/>
      <c r="H99" s="98"/>
      <c r="I99" s="2"/>
      <c r="J99" s="2"/>
      <c r="K99" s="2"/>
      <c r="L99" s="2"/>
    </row>
    <row r="100" spans="2:12" x14ac:dyDescent="0.25">
      <c r="B100" s="186" t="s">
        <v>71</v>
      </c>
      <c r="C100" s="170" t="s">
        <v>72</v>
      </c>
      <c r="D100" s="170"/>
      <c r="E100" s="170"/>
      <c r="F100" s="170"/>
      <c r="G100" s="170"/>
      <c r="H100" s="27"/>
      <c r="I100" s="17"/>
      <c r="J100" s="17"/>
      <c r="K100" s="17"/>
      <c r="L100" s="17"/>
    </row>
    <row r="101" spans="2:12" x14ac:dyDescent="0.25">
      <c r="B101" s="187"/>
      <c r="C101" s="144">
        <v>1</v>
      </c>
      <c r="D101" s="144">
        <v>2</v>
      </c>
      <c r="E101" s="144">
        <v>3</v>
      </c>
      <c r="F101" s="144">
        <v>4</v>
      </c>
      <c r="G101" s="145">
        <v>5</v>
      </c>
      <c r="H101" s="146"/>
      <c r="I101" s="18"/>
      <c r="J101" s="18"/>
      <c r="K101" s="18"/>
      <c r="L101" s="18"/>
    </row>
    <row r="102" spans="2:12" s="1" customFormat="1" x14ac:dyDescent="0.25">
      <c r="B102" s="147" t="s">
        <v>29</v>
      </c>
      <c r="C102" s="148">
        <f>+E92</f>
        <v>936000</v>
      </c>
      <c r="D102" s="148">
        <f>+E93</f>
        <v>1080000</v>
      </c>
      <c r="E102" s="148">
        <f>+E94</f>
        <v>1224000</v>
      </c>
      <c r="F102" s="148">
        <f>+E95</f>
        <v>1368000</v>
      </c>
      <c r="G102" s="149">
        <f>+E96</f>
        <v>1476000</v>
      </c>
      <c r="H102" s="150"/>
      <c r="I102" s="19"/>
      <c r="J102" s="19"/>
      <c r="K102" s="19"/>
      <c r="L102" s="19"/>
    </row>
    <row r="103" spans="2:12" x14ac:dyDescent="0.25">
      <c r="B103" s="151" t="s">
        <v>30</v>
      </c>
      <c r="C103" s="152">
        <f>+D56</f>
        <v>449800</v>
      </c>
      <c r="D103" s="152">
        <f t="shared" ref="D103:G103" si="14">+E56</f>
        <v>519000</v>
      </c>
      <c r="E103" s="152">
        <f t="shared" si="14"/>
        <v>588200</v>
      </c>
      <c r="F103" s="152">
        <f t="shared" si="14"/>
        <v>657400</v>
      </c>
      <c r="G103" s="152">
        <f t="shared" si="14"/>
        <v>709300</v>
      </c>
      <c r="H103" s="28"/>
      <c r="I103" s="21"/>
      <c r="J103" s="21"/>
      <c r="K103" s="21"/>
      <c r="L103" s="21"/>
    </row>
    <row r="104" spans="2:12" x14ac:dyDescent="0.25">
      <c r="B104" s="151" t="s">
        <v>99</v>
      </c>
      <c r="C104" s="152">
        <f>$F$63</f>
        <v>31120</v>
      </c>
      <c r="D104" s="152">
        <f t="shared" ref="D104:G104" si="15">$F$63</f>
        <v>31120</v>
      </c>
      <c r="E104" s="152">
        <f t="shared" si="15"/>
        <v>31120</v>
      </c>
      <c r="F104" s="152">
        <f t="shared" si="15"/>
        <v>31120</v>
      </c>
      <c r="G104" s="152">
        <f t="shared" si="15"/>
        <v>31120</v>
      </c>
      <c r="H104" s="28"/>
      <c r="I104" s="21"/>
      <c r="J104" s="21"/>
      <c r="K104" s="21"/>
      <c r="L104" s="21"/>
    </row>
    <row r="105" spans="2:12" x14ac:dyDescent="0.25">
      <c r="B105" s="151" t="s">
        <v>31</v>
      </c>
      <c r="C105" s="152">
        <f>+D70</f>
        <v>8000</v>
      </c>
      <c r="D105" s="152">
        <f t="shared" ref="D105:G105" si="16">+E70</f>
        <v>8000</v>
      </c>
      <c r="E105" s="152">
        <f t="shared" si="16"/>
        <v>8000</v>
      </c>
      <c r="F105" s="152">
        <f t="shared" si="16"/>
        <v>8000</v>
      </c>
      <c r="G105" s="152">
        <f t="shared" si="16"/>
        <v>8000</v>
      </c>
      <c r="H105" s="153"/>
      <c r="I105" s="21"/>
      <c r="J105" s="21"/>
      <c r="K105" s="21"/>
      <c r="L105" s="21"/>
    </row>
    <row r="106" spans="2:12" x14ac:dyDescent="0.25">
      <c r="B106" s="151" t="s">
        <v>100</v>
      </c>
      <c r="C106" s="152">
        <f>$E$15/5</f>
        <v>3600</v>
      </c>
      <c r="D106" s="152">
        <f t="shared" ref="D106:G106" si="17">$E$15/5</f>
        <v>3600</v>
      </c>
      <c r="E106" s="152">
        <f t="shared" si="17"/>
        <v>3600</v>
      </c>
      <c r="F106" s="152">
        <f t="shared" si="17"/>
        <v>3600</v>
      </c>
      <c r="G106" s="152">
        <f t="shared" si="17"/>
        <v>3600</v>
      </c>
      <c r="H106" s="153"/>
      <c r="I106" s="21"/>
      <c r="J106" s="21"/>
      <c r="K106" s="21"/>
      <c r="L106" s="21"/>
    </row>
    <row r="107" spans="2:12" x14ac:dyDescent="0.25">
      <c r="B107" s="151" t="s">
        <v>32</v>
      </c>
      <c r="C107" s="152">
        <f>+D77</f>
        <v>3000</v>
      </c>
      <c r="D107" s="152">
        <f>+C107</f>
        <v>3000</v>
      </c>
      <c r="E107" s="152">
        <f>+C107</f>
        <v>3000</v>
      </c>
      <c r="F107" s="152">
        <f>+C107</f>
        <v>3000</v>
      </c>
      <c r="G107" s="51">
        <f>+C107</f>
        <v>3000</v>
      </c>
      <c r="H107" s="153"/>
      <c r="I107" s="21"/>
      <c r="J107" s="21"/>
      <c r="K107" s="21"/>
      <c r="L107" s="21"/>
    </row>
    <row r="108" spans="2:12" s="1" customFormat="1" x14ac:dyDescent="0.25">
      <c r="B108" s="147" t="s">
        <v>76</v>
      </c>
      <c r="C108" s="148">
        <f>+C102-(C105+C107+C103+C104+C106)</f>
        <v>440480</v>
      </c>
      <c r="D108" s="148">
        <f t="shared" ref="D108:G108" si="18">+D102-(D105+D107+D103+D104+D106)</f>
        <v>515280</v>
      </c>
      <c r="E108" s="148">
        <f t="shared" si="18"/>
        <v>590080</v>
      </c>
      <c r="F108" s="148">
        <f t="shared" si="18"/>
        <v>664880</v>
      </c>
      <c r="G108" s="148">
        <f t="shared" si="18"/>
        <v>720980</v>
      </c>
      <c r="H108" s="154"/>
      <c r="I108" s="22"/>
      <c r="J108" s="22"/>
      <c r="K108" s="22"/>
      <c r="L108" s="22"/>
    </row>
    <row r="109" spans="2:12" x14ac:dyDescent="0.25">
      <c r="B109" s="151" t="s">
        <v>101</v>
      </c>
      <c r="C109" s="152">
        <f>+D32</f>
        <v>112298.4</v>
      </c>
      <c r="D109" s="152">
        <f>+D33</f>
        <v>80863.398320456836</v>
      </c>
      <c r="E109" s="152">
        <f>+D34</f>
        <v>43770.096338595904</v>
      </c>
      <c r="F109" s="148"/>
      <c r="G109" s="148"/>
      <c r="H109" s="154"/>
      <c r="I109" s="22"/>
      <c r="J109" s="22"/>
      <c r="K109" s="22"/>
      <c r="L109" s="22"/>
    </row>
    <row r="110" spans="2:12" s="1" customFormat="1" x14ac:dyDescent="0.25">
      <c r="B110" s="147" t="s">
        <v>43</v>
      </c>
      <c r="C110" s="148">
        <f>(C108-C109)</f>
        <v>328181.59999999998</v>
      </c>
      <c r="D110" s="148">
        <f t="shared" ref="D110:G110" si="19">(D108-D109)</f>
        <v>434416.60167954315</v>
      </c>
      <c r="E110" s="148">
        <f t="shared" si="19"/>
        <v>546309.90366140404</v>
      </c>
      <c r="F110" s="148">
        <f t="shared" si="19"/>
        <v>664880</v>
      </c>
      <c r="G110" s="148">
        <f t="shared" si="19"/>
        <v>720980</v>
      </c>
      <c r="H110" s="154"/>
      <c r="I110" s="22"/>
      <c r="J110" s="22"/>
      <c r="K110" s="22"/>
      <c r="L110" s="22"/>
    </row>
    <row r="111" spans="2:12" x14ac:dyDescent="0.25">
      <c r="B111" s="151" t="s">
        <v>33</v>
      </c>
      <c r="C111" s="152">
        <f>+C110*0.3</f>
        <v>98454.48</v>
      </c>
      <c r="D111" s="152">
        <f t="shared" ref="D111:G111" si="20">+D110*0.3</f>
        <v>130324.98050386294</v>
      </c>
      <c r="E111" s="152">
        <f t="shared" si="20"/>
        <v>163892.9710984212</v>
      </c>
      <c r="F111" s="152">
        <f t="shared" si="20"/>
        <v>199464</v>
      </c>
      <c r="G111" s="152">
        <f t="shared" si="20"/>
        <v>216294</v>
      </c>
      <c r="H111" s="28"/>
      <c r="I111" s="20"/>
      <c r="J111" s="20"/>
      <c r="K111" s="20"/>
      <c r="L111" s="20"/>
    </row>
    <row r="112" spans="2:12" x14ac:dyDescent="0.25">
      <c r="B112" s="155" t="s">
        <v>34</v>
      </c>
      <c r="C112" s="156">
        <f>C110-C111</f>
        <v>229727.12</v>
      </c>
      <c r="D112" s="156">
        <f t="shared" ref="D112:G112" si="21">D110-D111</f>
        <v>304091.62117568019</v>
      </c>
      <c r="E112" s="156">
        <f t="shared" si="21"/>
        <v>382416.93256298284</v>
      </c>
      <c r="F112" s="156">
        <f t="shared" si="21"/>
        <v>465416</v>
      </c>
      <c r="G112" s="156">
        <f t="shared" si="21"/>
        <v>504686</v>
      </c>
      <c r="H112" s="154"/>
      <c r="I112" s="22"/>
      <c r="J112" s="22"/>
      <c r="K112" s="22"/>
      <c r="L112" s="22"/>
    </row>
    <row r="113" spans="2:13" ht="15.75" thickBot="1" x14ac:dyDescent="0.3">
      <c r="B113" s="98"/>
      <c r="C113" s="98"/>
      <c r="D113" s="98"/>
      <c r="E113" s="98"/>
      <c r="F113" s="98"/>
      <c r="G113" s="98"/>
      <c r="H113" s="98"/>
    </row>
    <row r="114" spans="2:13" ht="15.75" thickBot="1" x14ac:dyDescent="0.3">
      <c r="B114" s="225" t="s">
        <v>104</v>
      </c>
      <c r="C114" s="226"/>
      <c r="D114" s="226"/>
      <c r="E114" s="226"/>
      <c r="F114" s="226"/>
      <c r="G114" s="226"/>
      <c r="H114" s="227"/>
      <c r="I114" s="24"/>
      <c r="J114" s="24"/>
      <c r="K114" s="24"/>
      <c r="L114" s="24"/>
      <c r="M114" s="24"/>
    </row>
    <row r="115" spans="2:13" ht="15.75" thickBot="1" x14ac:dyDescent="0.3">
      <c r="B115" s="157"/>
      <c r="C115" s="157"/>
      <c r="D115" s="157"/>
      <c r="E115" s="157"/>
      <c r="F115" s="157"/>
      <c r="G115" s="157"/>
      <c r="H115" s="157"/>
      <c r="I115" s="25"/>
      <c r="J115" s="25"/>
      <c r="K115" s="25"/>
      <c r="L115" s="25"/>
      <c r="M115" s="25"/>
    </row>
    <row r="116" spans="2:13" x14ac:dyDescent="0.25">
      <c r="B116" s="236" t="s">
        <v>44</v>
      </c>
      <c r="C116" s="228" t="s">
        <v>45</v>
      </c>
      <c r="D116" s="228"/>
      <c r="E116" s="228"/>
      <c r="F116" s="228"/>
      <c r="G116" s="228"/>
      <c r="H116" s="229"/>
      <c r="I116" s="23"/>
      <c r="J116" s="23"/>
      <c r="K116" s="23"/>
      <c r="L116" s="23"/>
      <c r="M116" s="23"/>
    </row>
    <row r="117" spans="2:13" ht="15.75" thickBot="1" x14ac:dyDescent="0.3">
      <c r="B117" s="237"/>
      <c r="C117" s="158">
        <v>0</v>
      </c>
      <c r="D117" s="159">
        <v>1</v>
      </c>
      <c r="E117" s="159">
        <v>2</v>
      </c>
      <c r="F117" s="159">
        <v>3</v>
      </c>
      <c r="G117" s="159">
        <v>4</v>
      </c>
      <c r="H117" s="160">
        <v>5</v>
      </c>
      <c r="I117" s="26"/>
      <c r="J117" s="26"/>
      <c r="K117" s="26"/>
      <c r="L117" s="26"/>
      <c r="M117" s="26"/>
    </row>
    <row r="118" spans="2:13" x14ac:dyDescent="0.25">
      <c r="B118" s="230" t="s">
        <v>46</v>
      </c>
      <c r="C118" s="231"/>
      <c r="D118" s="231"/>
      <c r="E118" s="231"/>
      <c r="F118" s="231"/>
      <c r="G118" s="231"/>
      <c r="H118" s="232"/>
      <c r="I118" s="27"/>
      <c r="J118" s="27"/>
      <c r="K118" s="27"/>
      <c r="L118" s="27"/>
      <c r="M118" s="27"/>
    </row>
    <row r="119" spans="2:13" x14ac:dyDescent="0.25">
      <c r="B119" s="36" t="s">
        <v>47</v>
      </c>
      <c r="C119" s="70">
        <f>-E11</f>
        <v>-572000</v>
      </c>
      <c r="D119" s="11"/>
      <c r="E119" s="11"/>
      <c r="F119" s="11">
        <f>-+'[1]Costos incurridos Con py'!G108</f>
        <v>0</v>
      </c>
      <c r="G119" s="11"/>
      <c r="H119" s="37"/>
      <c r="I119" s="28"/>
      <c r="J119" s="21"/>
      <c r="K119" s="21"/>
      <c r="L119" s="21"/>
      <c r="M119" s="21"/>
    </row>
    <row r="120" spans="2:13" x14ac:dyDescent="0.25">
      <c r="B120" s="36" t="s">
        <v>48</v>
      </c>
      <c r="C120" s="70">
        <f>-E15</f>
        <v>-18000</v>
      </c>
      <c r="D120" s="11"/>
      <c r="E120" s="11"/>
      <c r="F120" s="11"/>
      <c r="G120" s="11"/>
      <c r="H120" s="37"/>
      <c r="I120" s="28"/>
      <c r="J120" s="21"/>
      <c r="K120" s="21"/>
      <c r="L120" s="21"/>
      <c r="M120" s="21"/>
    </row>
    <row r="121" spans="2:13" x14ac:dyDescent="0.25">
      <c r="B121" s="36" t="s">
        <v>49</v>
      </c>
      <c r="C121" s="70">
        <f>-E82</f>
        <v>-449800</v>
      </c>
      <c r="D121" s="11">
        <f>-E83</f>
        <v>-69200</v>
      </c>
      <c r="E121" s="11">
        <f>-E84</f>
        <v>-69200</v>
      </c>
      <c r="F121" s="11">
        <f>-E85</f>
        <v>-69200</v>
      </c>
      <c r="G121" s="11">
        <f>-E86</f>
        <v>-51900</v>
      </c>
      <c r="H121" s="37">
        <f>-+'[1]Costos incurridos Con py'!M112</f>
        <v>0</v>
      </c>
      <c r="I121" s="28"/>
      <c r="J121" s="28"/>
      <c r="K121" s="28"/>
      <c r="L121" s="28"/>
      <c r="M121" s="28"/>
    </row>
    <row r="122" spans="2:13" x14ac:dyDescent="0.25">
      <c r="B122" s="36" t="s">
        <v>102</v>
      </c>
      <c r="C122" s="70"/>
      <c r="D122" s="11"/>
      <c r="E122" s="11"/>
      <c r="F122" s="11"/>
      <c r="G122" s="11"/>
      <c r="H122" s="72">
        <f>H63</f>
        <v>307400</v>
      </c>
      <c r="I122" s="21"/>
      <c r="J122" s="21"/>
      <c r="K122" s="21"/>
      <c r="L122" s="21"/>
      <c r="M122" s="21"/>
    </row>
    <row r="123" spans="2:13" x14ac:dyDescent="0.25">
      <c r="B123" s="36" t="s">
        <v>50</v>
      </c>
      <c r="C123" s="70"/>
      <c r="D123" s="11"/>
      <c r="E123" s="11"/>
      <c r="F123" s="11"/>
      <c r="G123" s="11"/>
      <c r="H123" s="72">
        <f>-(C121+D121+E121+F121+G121)</f>
        <v>709300</v>
      </c>
      <c r="I123" s="28"/>
      <c r="J123" s="21"/>
      <c r="K123" s="21"/>
      <c r="L123" s="21"/>
      <c r="M123" s="28"/>
    </row>
    <row r="124" spans="2:13" x14ac:dyDescent="0.25">
      <c r="B124" s="36" t="s">
        <v>51</v>
      </c>
      <c r="C124" s="70"/>
      <c r="D124" s="11"/>
      <c r="E124" s="11"/>
      <c r="F124" s="11"/>
      <c r="G124" s="11"/>
      <c r="H124" s="72">
        <f>E10</f>
        <v>109000</v>
      </c>
      <c r="I124" s="28"/>
      <c r="J124" s="21"/>
      <c r="K124" s="21"/>
      <c r="L124" s="21"/>
      <c r="M124" s="21"/>
    </row>
    <row r="125" spans="2:13" x14ac:dyDescent="0.25">
      <c r="B125" s="38" t="s">
        <v>52</v>
      </c>
      <c r="C125" s="71">
        <f t="shared" ref="C125:H125" si="22">+SUM(C119:C124)</f>
        <v>-1039800</v>
      </c>
      <c r="D125" s="71">
        <f t="shared" si="22"/>
        <v>-69200</v>
      </c>
      <c r="E125" s="71">
        <f t="shared" si="22"/>
        <v>-69200</v>
      </c>
      <c r="F125" s="71">
        <f t="shared" si="22"/>
        <v>-69200</v>
      </c>
      <c r="G125" s="71">
        <f t="shared" si="22"/>
        <v>-51900</v>
      </c>
      <c r="H125" s="165">
        <f t="shared" si="22"/>
        <v>1125700</v>
      </c>
      <c r="I125" s="29"/>
      <c r="J125" s="29"/>
      <c r="K125" s="29"/>
      <c r="L125" s="29"/>
      <c r="M125" s="29"/>
    </row>
    <row r="126" spans="2:13" x14ac:dyDescent="0.25">
      <c r="B126" s="233" t="s">
        <v>53</v>
      </c>
      <c r="C126" s="234"/>
      <c r="D126" s="234"/>
      <c r="E126" s="234"/>
      <c r="F126" s="234"/>
      <c r="G126" s="234"/>
      <c r="H126" s="235"/>
      <c r="I126" s="27"/>
      <c r="J126" s="27"/>
      <c r="K126" s="27"/>
      <c r="L126" s="27"/>
      <c r="M126" s="27"/>
    </row>
    <row r="127" spans="2:13" x14ac:dyDescent="0.25">
      <c r="B127" s="36" t="s">
        <v>54</v>
      </c>
      <c r="C127" s="11">
        <v>0</v>
      </c>
      <c r="D127" s="70">
        <f>+C102</f>
        <v>936000</v>
      </c>
      <c r="E127" s="70">
        <f t="shared" ref="E127:H127" si="23">+D102</f>
        <v>1080000</v>
      </c>
      <c r="F127" s="70">
        <f t="shared" si="23"/>
        <v>1224000</v>
      </c>
      <c r="G127" s="70">
        <f t="shared" si="23"/>
        <v>1368000</v>
      </c>
      <c r="H127" s="72">
        <f t="shared" si="23"/>
        <v>1476000</v>
      </c>
      <c r="I127" s="28"/>
      <c r="J127" s="28"/>
      <c r="K127" s="28"/>
      <c r="L127" s="28"/>
      <c r="M127" s="28"/>
    </row>
    <row r="128" spans="2:13" x14ac:dyDescent="0.25">
      <c r="B128" s="36" t="s">
        <v>103</v>
      </c>
      <c r="C128" s="12"/>
      <c r="D128" s="12">
        <f>-C103</f>
        <v>-449800</v>
      </c>
      <c r="E128" s="12">
        <f>-D103</f>
        <v>-519000</v>
      </c>
      <c r="F128" s="12">
        <f>-E103</f>
        <v>-588200</v>
      </c>
      <c r="G128" s="12">
        <f>-F103</f>
        <v>-657400</v>
      </c>
      <c r="H128" s="39">
        <f>-G103</f>
        <v>-709300</v>
      </c>
      <c r="I128" s="30"/>
      <c r="J128" s="30"/>
      <c r="K128" s="30"/>
      <c r="L128" s="30"/>
      <c r="M128" s="30"/>
    </row>
    <row r="129" spans="2:13" x14ac:dyDescent="0.25">
      <c r="B129" s="36" t="s">
        <v>55</v>
      </c>
      <c r="C129" s="12"/>
      <c r="D129" s="12">
        <f>-C105</f>
        <v>-8000</v>
      </c>
      <c r="E129" s="12">
        <f>-D105</f>
        <v>-8000</v>
      </c>
      <c r="F129" s="12">
        <f>-E105</f>
        <v>-8000</v>
      </c>
      <c r="G129" s="12">
        <f>-F105</f>
        <v>-8000</v>
      </c>
      <c r="H129" s="39">
        <f>-G105</f>
        <v>-8000</v>
      </c>
      <c r="I129" s="30"/>
      <c r="J129" s="30"/>
      <c r="K129" s="31"/>
      <c r="L129" s="31"/>
      <c r="M129" s="31"/>
    </row>
    <row r="130" spans="2:13" x14ac:dyDescent="0.25">
      <c r="B130" s="36" t="s">
        <v>56</v>
      </c>
      <c r="C130" s="12"/>
      <c r="D130" s="12">
        <f t="shared" ref="D130:H130" si="24">-C107</f>
        <v>-3000</v>
      </c>
      <c r="E130" s="12">
        <f t="shared" si="24"/>
        <v>-3000</v>
      </c>
      <c r="F130" s="12">
        <f t="shared" si="24"/>
        <v>-3000</v>
      </c>
      <c r="G130" s="12">
        <f t="shared" si="24"/>
        <v>-3000</v>
      </c>
      <c r="H130" s="39">
        <f t="shared" si="24"/>
        <v>-3000</v>
      </c>
      <c r="I130" s="30"/>
      <c r="J130" s="30"/>
      <c r="K130" s="30"/>
      <c r="L130" s="31"/>
      <c r="M130" s="31"/>
    </row>
    <row r="131" spans="2:13" x14ac:dyDescent="0.25">
      <c r="B131" s="36" t="s">
        <v>57</v>
      </c>
      <c r="C131" s="12"/>
      <c r="D131" s="12">
        <f>-C111</f>
        <v>-98454.48</v>
      </c>
      <c r="E131" s="12">
        <f>-D111</f>
        <v>-130324.98050386294</v>
      </c>
      <c r="F131" s="12">
        <f>-E111</f>
        <v>-163892.9710984212</v>
      </c>
      <c r="G131" s="12">
        <f>-F111</f>
        <v>-199464</v>
      </c>
      <c r="H131" s="39">
        <f>-G111</f>
        <v>-216294</v>
      </c>
      <c r="I131" s="30"/>
      <c r="J131" s="30"/>
      <c r="K131" s="30"/>
      <c r="L131" s="30"/>
      <c r="M131" s="30"/>
    </row>
    <row r="132" spans="2:13" x14ac:dyDescent="0.25">
      <c r="B132" s="40" t="s">
        <v>58</v>
      </c>
      <c r="C132" s="73">
        <f>+SUM(C127:C131)</f>
        <v>0</v>
      </c>
      <c r="D132" s="73">
        <f>+SUM(D127:D131)</f>
        <v>376745.52</v>
      </c>
      <c r="E132" s="73">
        <f t="shared" ref="E132:G132" si="25">+SUM(E127:E131)</f>
        <v>419675.01949613704</v>
      </c>
      <c r="F132" s="73">
        <f t="shared" si="25"/>
        <v>460907.0289015788</v>
      </c>
      <c r="G132" s="73">
        <f t="shared" si="25"/>
        <v>500136</v>
      </c>
      <c r="H132" s="74">
        <f>+SUM(H127:H131)</f>
        <v>539406</v>
      </c>
      <c r="I132" s="30"/>
      <c r="J132" s="30"/>
      <c r="K132" s="30"/>
      <c r="L132" s="30"/>
      <c r="M132" s="30"/>
    </row>
    <row r="133" spans="2:13" x14ac:dyDescent="0.25">
      <c r="B133" s="41" t="s">
        <v>59</v>
      </c>
      <c r="C133" s="75">
        <f t="shared" ref="C133:H133" si="26">+C125+C132</f>
        <v>-1039800</v>
      </c>
      <c r="D133" s="75">
        <f t="shared" si="26"/>
        <v>307545.52</v>
      </c>
      <c r="E133" s="75">
        <f t="shared" si="26"/>
        <v>350475.01949613704</v>
      </c>
      <c r="F133" s="75">
        <f t="shared" si="26"/>
        <v>391707.0289015788</v>
      </c>
      <c r="G133" s="75">
        <f t="shared" si="26"/>
        <v>448236</v>
      </c>
      <c r="H133" s="76">
        <f t="shared" si="26"/>
        <v>1665106</v>
      </c>
      <c r="I133" s="32"/>
      <c r="J133" s="32"/>
      <c r="K133" s="32"/>
      <c r="L133" s="32"/>
      <c r="M133" s="32"/>
    </row>
    <row r="134" spans="2:13" x14ac:dyDescent="0.25">
      <c r="B134" s="233" t="s">
        <v>60</v>
      </c>
      <c r="C134" s="234"/>
      <c r="D134" s="234"/>
      <c r="E134" s="234"/>
      <c r="F134" s="234"/>
      <c r="G134" s="234"/>
      <c r="H134" s="235"/>
      <c r="I134" s="27"/>
      <c r="J134" s="27"/>
      <c r="K134" s="27"/>
      <c r="L134" s="27"/>
      <c r="M134" s="27"/>
    </row>
    <row r="135" spans="2:13" x14ac:dyDescent="0.25">
      <c r="B135" s="36" t="s">
        <v>61</v>
      </c>
      <c r="C135" s="12">
        <f>+F23</f>
        <v>623880</v>
      </c>
      <c r="D135" s="13"/>
      <c r="E135" s="13"/>
      <c r="F135" s="13"/>
      <c r="G135" s="13"/>
      <c r="H135" s="42"/>
      <c r="I135" s="33"/>
      <c r="J135" s="25"/>
      <c r="K135" s="25"/>
      <c r="L135" s="25"/>
      <c r="M135" s="25"/>
    </row>
    <row r="136" spans="2:13" x14ac:dyDescent="0.25">
      <c r="B136" s="36" t="s">
        <v>62</v>
      </c>
      <c r="C136" s="13"/>
      <c r="D136" s="70">
        <f>-E32</f>
        <v>-174638.89821968423</v>
      </c>
      <c r="E136" s="70">
        <f>-E33</f>
        <v>-206073.89989922737</v>
      </c>
      <c r="F136" s="70">
        <f>-E34</f>
        <v>-243167.20188108832</v>
      </c>
      <c r="G136" s="11"/>
      <c r="H136" s="37"/>
      <c r="I136" s="33"/>
      <c r="J136" s="25"/>
      <c r="K136" s="25"/>
      <c r="L136" s="25"/>
      <c r="M136" s="25"/>
    </row>
    <row r="137" spans="2:13" x14ac:dyDescent="0.25">
      <c r="B137" s="36" t="s">
        <v>63</v>
      </c>
      <c r="C137" s="13"/>
      <c r="D137" s="70">
        <f>-D32</f>
        <v>-112298.4</v>
      </c>
      <c r="E137" s="70">
        <f>-D33</f>
        <v>-80863.398320456836</v>
      </c>
      <c r="F137" s="70">
        <f>-D34</f>
        <v>-43770.096338595904</v>
      </c>
      <c r="G137" s="11"/>
      <c r="H137" s="37"/>
      <c r="I137" s="33"/>
      <c r="J137" s="25"/>
      <c r="K137" s="25"/>
      <c r="L137" s="25"/>
      <c r="M137" s="25"/>
    </row>
    <row r="138" spans="2:13" x14ac:dyDescent="0.25">
      <c r="B138" s="36" t="s">
        <v>64</v>
      </c>
      <c r="C138" s="35"/>
      <c r="D138" s="70">
        <f>-D137*0.3</f>
        <v>33689.519999999997</v>
      </c>
      <c r="E138" s="70">
        <f t="shared" ref="E138:F138" si="27">-E137*0.3</f>
        <v>24259.019496137051</v>
      </c>
      <c r="F138" s="70">
        <f t="shared" si="27"/>
        <v>13131.028901578771</v>
      </c>
      <c r="G138" s="11"/>
      <c r="H138" s="37"/>
      <c r="I138" s="34"/>
      <c r="J138" s="25"/>
      <c r="K138" s="25"/>
      <c r="L138" s="25"/>
      <c r="M138" s="25"/>
    </row>
    <row r="139" spans="2:13" ht="15.75" thickBot="1" x14ac:dyDescent="0.3">
      <c r="B139" s="77" t="s">
        <v>65</v>
      </c>
      <c r="C139" s="78">
        <f>+SUM(C135:C138)</f>
        <v>623880</v>
      </c>
      <c r="D139" s="78">
        <f>+SUM(D135:D138)</f>
        <v>-253247.77821968423</v>
      </c>
      <c r="E139" s="78">
        <f t="shared" ref="E139:H139" si="28">+SUM(E135:E138)</f>
        <v>-262678.27872354718</v>
      </c>
      <c r="F139" s="78">
        <f t="shared" si="28"/>
        <v>-273806.26931810542</v>
      </c>
      <c r="G139" s="78">
        <f t="shared" si="28"/>
        <v>0</v>
      </c>
      <c r="H139" s="79">
        <f t="shared" si="28"/>
        <v>0</v>
      </c>
      <c r="I139" s="33"/>
      <c r="J139" s="33"/>
      <c r="K139" s="33"/>
      <c r="L139" s="33"/>
      <c r="M139" s="33"/>
    </row>
    <row r="140" spans="2:13" ht="15.75" thickBot="1" x14ac:dyDescent="0.3">
      <c r="B140" s="80" t="s">
        <v>66</v>
      </c>
      <c r="C140" s="81">
        <f>+C139+C133</f>
        <v>-415920</v>
      </c>
      <c r="D140" s="81">
        <f t="shared" ref="D140:H140" si="29">+D139+D133</f>
        <v>54297.741780315788</v>
      </c>
      <c r="E140" s="81">
        <f t="shared" si="29"/>
        <v>87796.740772589867</v>
      </c>
      <c r="F140" s="81">
        <f t="shared" si="29"/>
        <v>117900.75958347338</v>
      </c>
      <c r="G140" s="81">
        <f t="shared" si="29"/>
        <v>448236</v>
      </c>
      <c r="H140" s="82">
        <f t="shared" si="29"/>
        <v>1665106</v>
      </c>
      <c r="I140" s="32"/>
      <c r="J140" s="32"/>
      <c r="K140" s="32"/>
      <c r="L140" s="32"/>
      <c r="M140" s="32"/>
    </row>
    <row r="141" spans="2:13" x14ac:dyDescent="0.25">
      <c r="B141" s="14" t="s">
        <v>67</v>
      </c>
      <c r="C141" s="14"/>
      <c r="D141" s="14"/>
      <c r="E141" s="14"/>
      <c r="F141" s="14"/>
      <c r="G141" s="14"/>
      <c r="H141" s="14"/>
      <c r="I141" s="14"/>
    </row>
    <row r="142" spans="2:13" ht="15.75" thickBot="1" x14ac:dyDescent="0.3">
      <c r="B142" s="14" t="s">
        <v>68</v>
      </c>
      <c r="C142" s="14"/>
      <c r="D142" s="14"/>
      <c r="E142" s="14"/>
      <c r="F142" s="14"/>
      <c r="G142" s="14"/>
      <c r="H142" s="14"/>
      <c r="I142" s="14"/>
    </row>
    <row r="143" spans="2:13" ht="15.75" thickBot="1" x14ac:dyDescent="0.3">
      <c r="C143" s="162" t="s">
        <v>107</v>
      </c>
      <c r="D143" s="163"/>
      <c r="E143" s="164"/>
      <c r="F143" s="14"/>
      <c r="G143" s="14"/>
      <c r="H143" s="14"/>
      <c r="I143" s="14"/>
    </row>
    <row r="144" spans="2:13" x14ac:dyDescent="0.25">
      <c r="E144" s="15"/>
      <c r="F144" s="14"/>
      <c r="G144" s="14"/>
      <c r="H144" s="14"/>
      <c r="I144" s="14"/>
    </row>
    <row r="145" spans="2:12" x14ac:dyDescent="0.25">
      <c r="E145" s="87">
        <v>0.04</v>
      </c>
      <c r="F145" s="14"/>
      <c r="G145" s="14"/>
      <c r="H145" s="14"/>
      <c r="I145" s="14"/>
    </row>
    <row r="146" spans="2:12" x14ac:dyDescent="0.25">
      <c r="E146" s="15"/>
      <c r="F146" s="14"/>
      <c r="G146" s="14"/>
      <c r="H146" s="14"/>
      <c r="I146" s="14"/>
    </row>
    <row r="147" spans="2:12" x14ac:dyDescent="0.25">
      <c r="E147" s="87">
        <v>0.13500000000000001</v>
      </c>
      <c r="F147" s="14"/>
      <c r="G147" s="14"/>
      <c r="H147" s="14"/>
      <c r="I147" s="14"/>
    </row>
    <row r="148" spans="2:12" x14ac:dyDescent="0.25">
      <c r="E148" s="15"/>
      <c r="F148" s="14"/>
      <c r="G148" s="14"/>
      <c r="H148" s="14"/>
      <c r="I148" s="14"/>
    </row>
    <row r="149" spans="2:12" x14ac:dyDescent="0.25">
      <c r="E149" s="88">
        <f>1.4857/100</f>
        <v>1.4857E-2</v>
      </c>
      <c r="F149" s="14"/>
      <c r="G149" s="14"/>
      <c r="H149" s="14"/>
      <c r="I149" s="14"/>
    </row>
    <row r="150" spans="2:12" x14ac:dyDescent="0.25">
      <c r="E150" s="15"/>
      <c r="F150" s="14"/>
      <c r="G150" s="14"/>
      <c r="H150" s="14"/>
      <c r="I150" s="14"/>
    </row>
    <row r="151" spans="2:12" x14ac:dyDescent="0.25">
      <c r="E151" s="15">
        <v>1.1200000000000001</v>
      </c>
      <c r="F151" s="14"/>
      <c r="G151" s="14"/>
      <c r="H151" s="14"/>
      <c r="I151" s="14"/>
    </row>
    <row r="152" spans="2:12" x14ac:dyDescent="0.25">
      <c r="E152" s="15"/>
      <c r="F152" s="14"/>
      <c r="G152" s="14"/>
      <c r="H152" s="14"/>
      <c r="I152" s="14"/>
    </row>
    <row r="153" spans="2:12" x14ac:dyDescent="0.25">
      <c r="C153" t="s">
        <v>117</v>
      </c>
      <c r="E153" s="86">
        <f>+E145+E151*(E147-E145)+E149</f>
        <v>0.16125700000000001</v>
      </c>
      <c r="F153" s="14"/>
      <c r="G153" s="14"/>
      <c r="H153" s="14"/>
      <c r="I153" s="14"/>
    </row>
    <row r="154" spans="2:12" ht="15.75" thickBot="1" x14ac:dyDescent="0.3">
      <c r="E154" s="15"/>
      <c r="F154" s="14"/>
      <c r="G154" s="14"/>
      <c r="H154" s="14"/>
      <c r="I154" s="14"/>
    </row>
    <row r="155" spans="2:12" ht="15.75" thickBot="1" x14ac:dyDescent="0.3">
      <c r="B155" s="161" t="s">
        <v>106</v>
      </c>
      <c r="C155" s="96"/>
      <c r="E155" s="222" t="s">
        <v>108</v>
      </c>
      <c r="F155" s="223"/>
      <c r="G155" s="223"/>
      <c r="H155" s="224"/>
    </row>
    <row r="156" spans="2:12" ht="15" customHeight="1" x14ac:dyDescent="0.25">
      <c r="B156" s="166" t="s">
        <v>111</v>
      </c>
      <c r="C156" s="83">
        <f>NPV(E153,D133:H133)+C133</f>
        <v>770054.84012892866</v>
      </c>
      <c r="E156" s="212" t="s">
        <v>109</v>
      </c>
      <c r="F156" s="213"/>
      <c r="G156" s="213"/>
      <c r="H156" s="214"/>
      <c r="I156" s="89"/>
      <c r="J156" s="89"/>
      <c r="K156" s="89"/>
      <c r="L156" s="89"/>
    </row>
    <row r="157" spans="2:12" ht="15.75" thickBot="1" x14ac:dyDescent="0.3">
      <c r="B157" s="166" t="s">
        <v>112</v>
      </c>
      <c r="C157" s="84">
        <f>+IRR(C133:H133)</f>
        <v>0.36834200421698027</v>
      </c>
      <c r="E157" s="215"/>
      <c r="F157" s="216"/>
      <c r="G157" s="216"/>
      <c r="H157" s="217"/>
      <c r="I157" s="89"/>
      <c r="J157" s="89"/>
      <c r="K157" s="89"/>
      <c r="L157" s="89"/>
    </row>
    <row r="158" spans="2:12" ht="19.5" customHeight="1" thickBot="1" x14ac:dyDescent="0.3">
      <c r="B158" s="161" t="s">
        <v>105</v>
      </c>
      <c r="C158" s="84"/>
      <c r="E158" s="218"/>
      <c r="F158" s="219"/>
      <c r="G158" s="219"/>
      <c r="H158" s="220"/>
      <c r="I158" s="85"/>
      <c r="J158" s="85"/>
      <c r="K158" s="85"/>
      <c r="L158" s="85"/>
    </row>
    <row r="159" spans="2:12" ht="15.75" thickBot="1" x14ac:dyDescent="0.3">
      <c r="B159" s="166" t="s">
        <v>113</v>
      </c>
      <c r="C159" s="83">
        <f>NPV(F25,D138:F138)</f>
        <v>53964.840340918796</v>
      </c>
      <c r="D159" s="43"/>
      <c r="E159" s="85"/>
      <c r="F159" s="85"/>
      <c r="G159" s="85"/>
      <c r="H159" s="85"/>
      <c r="I159" s="85"/>
      <c r="J159" s="85"/>
      <c r="K159" s="85"/>
      <c r="L159" s="85"/>
    </row>
    <row r="160" spans="2:12" ht="18.75" customHeight="1" x14ac:dyDescent="0.25">
      <c r="B160" s="166" t="s">
        <v>114</v>
      </c>
      <c r="C160" s="83">
        <f>C156+C159</f>
        <v>824019.6804698474</v>
      </c>
      <c r="E160" s="212" t="s">
        <v>110</v>
      </c>
      <c r="F160" s="213"/>
      <c r="G160" s="213"/>
      <c r="H160" s="214"/>
      <c r="I160" s="89"/>
      <c r="J160" s="89"/>
      <c r="K160" s="89"/>
      <c r="L160" s="89"/>
    </row>
    <row r="161" spans="2:12" ht="18.75" customHeight="1" x14ac:dyDescent="0.25">
      <c r="B161" s="166" t="s">
        <v>115</v>
      </c>
      <c r="C161" s="84">
        <f>+IRR(C140:H140)</f>
        <v>0.50184478819608969</v>
      </c>
      <c r="E161" s="215"/>
      <c r="F161" s="216"/>
      <c r="G161" s="216"/>
      <c r="H161" s="217"/>
      <c r="I161" s="89"/>
      <c r="J161" s="89"/>
      <c r="K161" s="89"/>
      <c r="L161" s="89"/>
    </row>
    <row r="162" spans="2:12" ht="25.5" customHeight="1" thickBot="1" x14ac:dyDescent="0.3">
      <c r="E162" s="218"/>
      <c r="F162" s="219"/>
      <c r="G162" s="219"/>
      <c r="H162" s="220"/>
      <c r="I162" s="43"/>
      <c r="J162" s="43"/>
      <c r="K162" s="43"/>
      <c r="L162" s="43"/>
    </row>
  </sheetData>
  <mergeCells count="49">
    <mergeCell ref="B89:E89"/>
    <mergeCell ref="E156:H158"/>
    <mergeCell ref="E160:H162"/>
    <mergeCell ref="B2:F2"/>
    <mergeCell ref="E155:H155"/>
    <mergeCell ref="B114:H114"/>
    <mergeCell ref="C116:H116"/>
    <mergeCell ref="B118:H118"/>
    <mergeCell ref="B126:H126"/>
    <mergeCell ref="B134:H134"/>
    <mergeCell ref="B116:B117"/>
    <mergeCell ref="B74:C75"/>
    <mergeCell ref="B6:E6"/>
    <mergeCell ref="B12:E12"/>
    <mergeCell ref="B15:D15"/>
    <mergeCell ref="B11:D11"/>
    <mergeCell ref="B4:E4"/>
    <mergeCell ref="B36:G36"/>
    <mergeCell ref="B41:C41"/>
    <mergeCell ref="B23:D23"/>
    <mergeCell ref="B24:D24"/>
    <mergeCell ref="B25:D25"/>
    <mergeCell ref="B19:F19"/>
    <mergeCell ref="B26:D26"/>
    <mergeCell ref="B13:D13"/>
    <mergeCell ref="B14:D14"/>
    <mergeCell ref="B21:D21"/>
    <mergeCell ref="B22:D22"/>
    <mergeCell ref="B65:H65"/>
    <mergeCell ref="B16:D16"/>
    <mergeCell ref="B17:D17"/>
    <mergeCell ref="D74:H74"/>
    <mergeCell ref="B58:H58"/>
    <mergeCell ref="B79:E79"/>
    <mergeCell ref="C100:G100"/>
    <mergeCell ref="B98:G98"/>
    <mergeCell ref="B28:G28"/>
    <mergeCell ref="B77:C77"/>
    <mergeCell ref="B76:C76"/>
    <mergeCell ref="B70:C70"/>
    <mergeCell ref="B69:C69"/>
    <mergeCell ref="B49:H49"/>
    <mergeCell ref="B51:C52"/>
    <mergeCell ref="D51:H51"/>
    <mergeCell ref="B100:B101"/>
    <mergeCell ref="B72:H72"/>
    <mergeCell ref="B67:C68"/>
    <mergeCell ref="D67:H67"/>
    <mergeCell ref="B56:C56"/>
  </mergeCells>
  <pageMargins left="0.7" right="0.7" top="0.75" bottom="0.75" header="0.3" footer="0.3"/>
  <pageSetup paperSize="9" scale="48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Eval Econ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Víctor</dc:creator>
  <cp:lastModifiedBy>Usuario</cp:lastModifiedBy>
  <cp:lastPrinted>2013-02-15T21:22:38Z</cp:lastPrinted>
  <dcterms:created xsi:type="dcterms:W3CDTF">2013-02-15T18:45:04Z</dcterms:created>
  <dcterms:modified xsi:type="dcterms:W3CDTF">2021-06-24T13:25:49Z</dcterms:modified>
</cp:coreProperties>
</file>