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Classroom/Evaluación Privada de Proyectos/Homeworks/EVALUACION DE CASOS DE PROYECTOS NUEVOS/"/>
    </mc:Choice>
  </mc:AlternateContent>
  <xr:revisionPtr revIDLastSave="0" documentId="8_{6907F9A0-364C-4729-8131-F2ECC3B6303A}" xr6:coauthVersionLast="47" xr6:coauthVersionMax="47" xr10:uidLastSave="{00000000-0000-0000-0000-000000000000}"/>
  <bookViews>
    <workbookView xWindow="-120" yWindow="-16320" windowWidth="29040" windowHeight="15720" firstSheet="1" activeTab="6"/>
  </bookViews>
  <sheets>
    <sheet name="Presupuesto_Ingresos" sheetId="4" r:id="rId1"/>
    <sheet name="Inversión" sheetId="5" r:id="rId2"/>
    <sheet name="Depreciación_VR" sheetId="6" r:id="rId3"/>
    <sheet name="Servicio_Deuda" sheetId="8" r:id="rId4"/>
    <sheet name="Estado_Resultados" sheetId="7" r:id="rId5"/>
    <sheet name="Flujo_Caja" sheetId="9" r:id="rId6"/>
    <sheet name="Rentabilidad" sheetId="1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7" l="1"/>
  <c r="C11" i="8"/>
  <c r="D11" i="8" s="1"/>
  <c r="C7" i="8"/>
  <c r="C17" i="10" s="1"/>
  <c r="J4" i="6"/>
  <c r="C28" i="9"/>
  <c r="C8" i="7"/>
  <c r="I8" i="6"/>
  <c r="F9" i="9" s="1"/>
  <c r="C7" i="4"/>
  <c r="C8" i="4" s="1"/>
  <c r="C7" i="10"/>
  <c r="C13" i="9"/>
  <c r="C6" i="9"/>
  <c r="C20" i="9"/>
  <c r="C24" i="9" s="1"/>
  <c r="F8" i="9"/>
  <c r="D7" i="9"/>
  <c r="D16" i="7"/>
  <c r="E16" i="7"/>
  <c r="C6" i="7"/>
  <c r="C10" i="7" s="1"/>
  <c r="E6" i="6"/>
  <c r="E7" i="6"/>
  <c r="E5" i="6"/>
  <c r="C7" i="6"/>
  <c r="F7" i="6" s="1"/>
  <c r="G7" i="6" s="1"/>
  <c r="H7" i="6" s="1"/>
  <c r="J7" i="6" s="1"/>
  <c r="B7" i="6"/>
  <c r="C6" i="6"/>
  <c r="H6" i="6" s="1"/>
  <c r="J6" i="6" s="1"/>
  <c r="B6" i="6"/>
  <c r="C5" i="6"/>
  <c r="F5" i="6"/>
  <c r="G5" i="6" s="1"/>
  <c r="B5" i="6"/>
  <c r="C12" i="5"/>
  <c r="C10" i="5"/>
  <c r="C5" i="5"/>
  <c r="C14" i="5" s="1"/>
  <c r="D8" i="4"/>
  <c r="E8" i="4"/>
  <c r="D7" i="4"/>
  <c r="D6" i="7" s="1"/>
  <c r="E7" i="4"/>
  <c r="E6" i="7" s="1"/>
  <c r="F6" i="6"/>
  <c r="G6" i="6"/>
  <c r="D6" i="9"/>
  <c r="G9" i="9" l="1"/>
  <c r="E9" i="7"/>
  <c r="E14" i="7"/>
  <c r="E15" i="7"/>
  <c r="F16" i="9" s="1"/>
  <c r="E10" i="7"/>
  <c r="F7" i="9"/>
  <c r="E8" i="7"/>
  <c r="G8" i="6"/>
  <c r="C19" i="7"/>
  <c r="D22" i="9"/>
  <c r="D23" i="9" s="1"/>
  <c r="E7" i="9"/>
  <c r="D8" i="7"/>
  <c r="D14" i="7"/>
  <c r="D10" i="7"/>
  <c r="D15" i="7"/>
  <c r="E16" i="9" s="1"/>
  <c r="D9" i="7"/>
  <c r="H5" i="6"/>
  <c r="F8" i="6"/>
  <c r="C8" i="8"/>
  <c r="C12" i="9"/>
  <c r="C11" i="9" s="1"/>
  <c r="C18" i="9" s="1"/>
  <c r="C14" i="7"/>
  <c r="C15" i="7"/>
  <c r="D16" i="9" s="1"/>
  <c r="C9" i="7"/>
  <c r="F15" i="9" l="1"/>
  <c r="D15" i="9"/>
  <c r="C13" i="7"/>
  <c r="E7" i="7"/>
  <c r="C25" i="9"/>
  <c r="E13" i="9"/>
  <c r="F12" i="8"/>
  <c r="F13" i="8"/>
  <c r="F11" i="8"/>
  <c r="E11" i="8" s="1"/>
  <c r="D13" i="9"/>
  <c r="E6" i="9"/>
  <c r="D11" i="7"/>
  <c r="D7" i="7" s="1"/>
  <c r="E11" i="7"/>
  <c r="C11" i="7"/>
  <c r="C7" i="7" s="1"/>
  <c r="D13" i="7"/>
  <c r="E15" i="9"/>
  <c r="H8" i="6"/>
  <c r="J5" i="6"/>
  <c r="J8" i="6" s="1"/>
  <c r="E17" i="7" s="1"/>
  <c r="E13" i="7" s="1"/>
  <c r="E14" i="9" l="1"/>
  <c r="D12" i="7"/>
  <c r="D18" i="7" s="1"/>
  <c r="D14" i="9"/>
  <c r="C12" i="7"/>
  <c r="C18" i="7" s="1"/>
  <c r="C20" i="7" s="1"/>
  <c r="D21" i="9"/>
  <c r="D24" i="9" s="1"/>
  <c r="G11" i="8"/>
  <c r="C12" i="8" s="1"/>
  <c r="F14" i="9"/>
  <c r="E12" i="7"/>
  <c r="E18" i="7" s="1"/>
  <c r="F10" i="9"/>
  <c r="F6" i="9" s="1"/>
  <c r="C22" i="7" l="1"/>
  <c r="C21" i="7"/>
  <c r="D17" i="9" s="1"/>
  <c r="D11" i="9" s="1"/>
  <c r="D18" i="9" s="1"/>
  <c r="D12" i="8"/>
  <c r="D19" i="7" l="1"/>
  <c r="D20" i="7" s="1"/>
  <c r="E22" i="9"/>
  <c r="E23" i="9" s="1"/>
  <c r="E12" i="8"/>
  <c r="D31" i="9"/>
  <c r="D25" i="9"/>
  <c r="E21" i="9" l="1"/>
  <c r="E24" i="9" s="1"/>
  <c r="G12" i="8"/>
  <c r="C13" i="8" s="1"/>
  <c r="D21" i="7"/>
  <c r="E17" i="9" s="1"/>
  <c r="E11" i="9" s="1"/>
  <c r="E18" i="9" s="1"/>
  <c r="D22" i="7" l="1"/>
  <c r="E25" i="9"/>
  <c r="E31" i="9"/>
  <c r="D13" i="8"/>
  <c r="E19" i="7" l="1"/>
  <c r="E20" i="7" s="1"/>
  <c r="F22" i="9"/>
  <c r="F23" i="9" s="1"/>
  <c r="E13" i="8"/>
  <c r="F21" i="9" l="1"/>
  <c r="F24" i="9" s="1"/>
  <c r="G13" i="8"/>
  <c r="C29" i="9"/>
  <c r="C31" i="9" s="1"/>
  <c r="C19" i="10"/>
  <c r="E21" i="7"/>
  <c r="F17" i="9" s="1"/>
  <c r="F11" i="9" s="1"/>
  <c r="F18" i="9" s="1"/>
  <c r="C23" i="10" l="1"/>
  <c r="E22" i="7"/>
  <c r="F25" i="9"/>
  <c r="F31" i="9"/>
  <c r="C9" i="10"/>
  <c r="C11" i="10"/>
  <c r="C21" i="10" l="1"/>
  <c r="C15" i="10"/>
</calcChain>
</file>

<file path=xl/sharedStrings.xml><?xml version="1.0" encoding="utf-8"?>
<sst xmlns="http://schemas.openxmlformats.org/spreadsheetml/2006/main" count="116" uniqueCount="112">
  <si>
    <t>INGRESOS</t>
  </si>
  <si>
    <t>EGRESOS</t>
  </si>
  <si>
    <t>Terrenos</t>
  </si>
  <si>
    <t>Edificios</t>
  </si>
  <si>
    <t>RUBROS</t>
  </si>
  <si>
    <t>Utilidad Operativa (EBIT)</t>
  </si>
  <si>
    <t>TEA</t>
  </si>
  <si>
    <t xml:space="preserve">VANE = </t>
  </si>
  <si>
    <t>TIRE =</t>
  </si>
  <si>
    <t>Utilidad Bruta</t>
  </si>
  <si>
    <t>Cantidad</t>
  </si>
  <si>
    <t>Precio US $</t>
  </si>
  <si>
    <t>Ventas en $</t>
  </si>
  <si>
    <t>Ventas en S/.</t>
  </si>
  <si>
    <t>Precio dólar =</t>
  </si>
  <si>
    <t>RUBRO</t>
  </si>
  <si>
    <t>AÑO</t>
  </si>
  <si>
    <t>AF Tangible</t>
  </si>
  <si>
    <t>Maquinarias y equipos</t>
  </si>
  <si>
    <t>Vehículos</t>
  </si>
  <si>
    <t>AF Intangible</t>
  </si>
  <si>
    <t>Derecho de Marca</t>
  </si>
  <si>
    <t>Capital de Trabajo</t>
  </si>
  <si>
    <t>KW inicial</t>
  </si>
  <si>
    <t>Monto en $</t>
  </si>
  <si>
    <t>Total Inversión</t>
  </si>
  <si>
    <t>Valor compra</t>
  </si>
  <si>
    <t xml:space="preserve">Vida útil </t>
  </si>
  <si>
    <t>Tasa</t>
  </si>
  <si>
    <t>Deprec. Anual</t>
  </si>
  <si>
    <t>Deprec. Acum.</t>
  </si>
  <si>
    <t>Valor Contab</t>
  </si>
  <si>
    <t>Valor Comer.</t>
  </si>
  <si>
    <t>Utilidad/Perdida</t>
  </si>
  <si>
    <t>Activo Fijo</t>
  </si>
  <si>
    <t>Horizonte de evaluación</t>
  </si>
  <si>
    <t>años</t>
  </si>
  <si>
    <t xml:space="preserve">Total </t>
  </si>
  <si>
    <t>Terreno</t>
  </si>
  <si>
    <t>Ventas Netas</t>
  </si>
  <si>
    <t>Costo de Ventas</t>
  </si>
  <si>
    <t>Mano de obra (5%)</t>
  </si>
  <si>
    <t>Materia prima (20%)</t>
  </si>
  <si>
    <t>Depreciaciones</t>
  </si>
  <si>
    <t>Gastos Operativos</t>
  </si>
  <si>
    <t>Gastos de Administración (1%)</t>
  </si>
  <si>
    <t>Gastos de Comercialización (1.2%)</t>
  </si>
  <si>
    <t>Amortización de Intangibles</t>
  </si>
  <si>
    <t>Gastos Financieros (Interes)</t>
  </si>
  <si>
    <t>Impuestos de la renta (30%)</t>
  </si>
  <si>
    <t>Uitlidad Neta</t>
  </si>
  <si>
    <t>Monto</t>
  </si>
  <si>
    <t>n</t>
  </si>
  <si>
    <t>TEA real</t>
  </si>
  <si>
    <t>Pago</t>
  </si>
  <si>
    <t>Periodo</t>
  </si>
  <si>
    <t>Inicial</t>
  </si>
  <si>
    <t>Interes</t>
  </si>
  <si>
    <t>Capital</t>
  </si>
  <si>
    <t>Final</t>
  </si>
  <si>
    <t>Utilidad Imponible</t>
  </si>
  <si>
    <t>PERIODOS</t>
  </si>
  <si>
    <t>Ingreso por ventas</t>
  </si>
  <si>
    <t>Valor recupero de capital trabajo</t>
  </si>
  <si>
    <t>Inversion en Activo Fijo</t>
  </si>
  <si>
    <t>Inversion en Capital de Trabajo</t>
  </si>
  <si>
    <t>Costos de Produccion (*)</t>
  </si>
  <si>
    <t>Gastos de Administracion (**)</t>
  </si>
  <si>
    <t>Gastos de Ventas</t>
  </si>
  <si>
    <t>Impuestos y Tributos</t>
  </si>
  <si>
    <t xml:space="preserve">Prestamo </t>
  </si>
  <si>
    <t>Intereses</t>
  </si>
  <si>
    <t>Escudo Fiscal de Interes</t>
  </si>
  <si>
    <t>(*) sin depreciaciones</t>
  </si>
  <si>
    <t>(**) sin amortizacion de intangibles</t>
  </si>
  <si>
    <t>Venta  de terreno</t>
  </si>
  <si>
    <t>Venta de activo fijo</t>
  </si>
  <si>
    <t>Devolución Principal</t>
  </si>
  <si>
    <t>RENTABILIDAD  ECONÓMICA</t>
  </si>
  <si>
    <t>Ku nominal</t>
  </si>
  <si>
    <t>RENTABILIDAD FINANCIERA</t>
  </si>
  <si>
    <t>VANE =</t>
  </si>
  <si>
    <t>VAEFI =</t>
  </si>
  <si>
    <t>VANF =</t>
  </si>
  <si>
    <t>TIRF ajustada=</t>
  </si>
  <si>
    <t>Regimen Tributario: GENERAL</t>
  </si>
  <si>
    <t>Devaluación</t>
  </si>
  <si>
    <t>Amortiza</t>
  </si>
  <si>
    <t>CIF (0.8%)</t>
  </si>
  <si>
    <t>Ganancia por venta AF</t>
  </si>
  <si>
    <t>ojo</t>
  </si>
  <si>
    <t>incluye el efecto de interes</t>
  </si>
  <si>
    <t>FINANCIAMIENTO VIA DEUDA</t>
  </si>
  <si>
    <t>Flujo de Caja de Deuda FCD</t>
  </si>
  <si>
    <t>Flujo de Caja Económico  FCE</t>
  </si>
  <si>
    <t>Flujo de Caja Financiero FCF</t>
  </si>
  <si>
    <t xml:space="preserve"> Considerando efecto del  interes</t>
  </si>
  <si>
    <t>Kd real</t>
  </si>
  <si>
    <t>VAEFI</t>
  </si>
  <si>
    <t>FCF Ajustado  2 =</t>
  </si>
  <si>
    <t>Ku real</t>
  </si>
  <si>
    <t>Kd real =</t>
  </si>
  <si>
    <t>Utilidad</t>
  </si>
  <si>
    <t>nominal</t>
  </si>
  <si>
    <t>Inflación del dólar</t>
  </si>
  <si>
    <t>anual</t>
  </si>
  <si>
    <t>ESTADO DE RESULTADOS REAL PROYECTADO</t>
  </si>
  <si>
    <t>Sacando el efecto del EF del Interes</t>
  </si>
  <si>
    <t>Ke &gt;ku &gt;Kwacc</t>
  </si>
  <si>
    <t>VANF &gt; VANE</t>
  </si>
  <si>
    <t>TIRF &gt; TIRE</t>
  </si>
  <si>
    <t>A tener en 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</si>
</sst>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&quot;S/&quot;#,##0;[Red]\-&quot;S/&quot;#,##0"/>
    <numFmt numFmtId="167" formatCode="&quot;S/&quot;#,##0.00;[Red]\-&quot;S/&quot;#,##0.00"/>
    <numFmt numFmtId="179" formatCode="_ * #,##0.00_ ;_ * \-#,##0.00_ ;_ * &quot;-&quot;??_ ;_ @_ 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7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9" fontId="0" fillId="0" borderId="0" xfId="0" applyNumberFormat="1"/>
    <xf numFmtId="0" fontId="2" fillId="0" borderId="1" xfId="0" applyFont="1" applyBorder="1"/>
    <xf numFmtId="0" fontId="3" fillId="0" borderId="0" xfId="0" applyFont="1"/>
    <xf numFmtId="0" fontId="0" fillId="0" borderId="1" xfId="0" applyBorder="1"/>
    <xf numFmtId="0" fontId="2" fillId="3" borderId="1" xfId="0" applyFont="1" applyFill="1" applyBorder="1"/>
    <xf numFmtId="0" fontId="3" fillId="0" borderId="1" xfId="0" applyFont="1" applyBorder="1"/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/>
    <xf numFmtId="179" fontId="0" fillId="0" borderId="0" xfId="1" applyFont="1"/>
    <xf numFmtId="2" fontId="3" fillId="0" borderId="0" xfId="0" applyNumberFormat="1" applyFont="1"/>
    <xf numFmtId="165" fontId="0" fillId="0" borderId="0" xfId="0" applyNumberFormat="1"/>
    <xf numFmtId="1" fontId="0" fillId="0" borderId="1" xfId="0" applyNumberFormat="1" applyBorder="1"/>
    <xf numFmtId="165" fontId="0" fillId="0" borderId="1" xfId="0" applyNumberFormat="1" applyBorder="1"/>
    <xf numFmtId="1" fontId="2" fillId="0" borderId="1" xfId="0" applyNumberFormat="1" applyFont="1" applyBorder="1"/>
    <xf numFmtId="0" fontId="2" fillId="5" borderId="2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3" fillId="2" borderId="4" xfId="0" applyFont="1" applyFill="1" applyBorder="1"/>
    <xf numFmtId="3" fontId="5" fillId="2" borderId="5" xfId="0" applyNumberFormat="1" applyFont="1" applyFill="1" applyBorder="1"/>
    <xf numFmtId="0" fontId="3" fillId="2" borderId="6" xfId="0" applyFont="1" applyFill="1" applyBorder="1"/>
    <xf numFmtId="3" fontId="5" fillId="2" borderId="1" xfId="0" applyNumberFormat="1" applyFont="1" applyFill="1" applyBorder="1"/>
    <xf numFmtId="0" fontId="3" fillId="2" borderId="7" xfId="0" applyFont="1" applyFill="1" applyBorder="1"/>
    <xf numFmtId="3" fontId="5" fillId="2" borderId="2" xfId="0" applyNumberFormat="1" applyFont="1" applyFill="1" applyBorder="1"/>
    <xf numFmtId="0" fontId="2" fillId="2" borderId="8" xfId="0" applyFont="1" applyFill="1" applyBorder="1"/>
    <xf numFmtId="0" fontId="2" fillId="5" borderId="9" xfId="0" applyFont="1" applyFill="1" applyBorder="1" applyAlignment="1">
      <alignment horizontal="justify" vertical="center" wrapText="1"/>
    </xf>
    <xf numFmtId="3" fontId="4" fillId="5" borderId="10" xfId="0" applyNumberFormat="1" applyFont="1" applyFill="1" applyBorder="1"/>
    <xf numFmtId="0" fontId="2" fillId="2" borderId="4" xfId="0" applyFont="1" applyFill="1" applyBorder="1"/>
    <xf numFmtId="0" fontId="2" fillId="5" borderId="11" xfId="0" applyFont="1" applyFill="1" applyBorder="1" applyAlignment="1">
      <alignment horizontal="justify" vertical="center" wrapText="1"/>
    </xf>
    <xf numFmtId="3" fontId="4" fillId="5" borderId="12" xfId="0" applyNumberFormat="1" applyFont="1" applyFill="1" applyBorder="1"/>
    <xf numFmtId="0" fontId="2" fillId="5" borderId="13" xfId="0" applyFont="1" applyFill="1" applyBorder="1"/>
    <xf numFmtId="3" fontId="4" fillId="5" borderId="14" xfId="0" applyNumberFormat="1" applyFont="1" applyFill="1" applyBorder="1"/>
    <xf numFmtId="3" fontId="0" fillId="0" borderId="0" xfId="0" applyNumberFormat="1"/>
    <xf numFmtId="1" fontId="0" fillId="0" borderId="0" xfId="0" applyNumberFormat="1"/>
    <xf numFmtId="3" fontId="4" fillId="2" borderId="15" xfId="0" applyNumberFormat="1" applyFont="1" applyFill="1" applyBorder="1"/>
    <xf numFmtId="3" fontId="4" fillId="2" borderId="16" xfId="0" applyNumberFormat="1" applyFont="1" applyFill="1" applyBorder="1"/>
    <xf numFmtId="0" fontId="2" fillId="6" borderId="0" xfId="0" applyFont="1" applyFill="1"/>
    <xf numFmtId="3" fontId="2" fillId="6" borderId="0" xfId="0" applyNumberFormat="1" applyFont="1" applyFill="1"/>
    <xf numFmtId="165" fontId="2" fillId="0" borderId="0" xfId="0" applyNumberFormat="1" applyFont="1"/>
    <xf numFmtId="0" fontId="2" fillId="3" borderId="1" xfId="0" applyFont="1" applyFill="1" applyBorder="1" applyAlignment="1">
      <alignment horizontal="center"/>
    </xf>
    <xf numFmtId="0" fontId="6" fillId="0" borderId="0" xfId="0" applyFont="1"/>
    <xf numFmtId="9" fontId="2" fillId="0" borderId="0" xfId="2" applyFont="1"/>
    <xf numFmtId="167" fontId="2" fillId="0" borderId="0" xfId="0" applyNumberFormat="1" applyFont="1"/>
    <xf numFmtId="9" fontId="0" fillId="0" borderId="0" xfId="2" applyFont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3" borderId="2" xfId="0" applyFont="1" applyFill="1" applyBorder="1"/>
    <xf numFmtId="0" fontId="2" fillId="3" borderId="25" xfId="0" applyFont="1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2" fillId="0" borderId="13" xfId="0" applyFont="1" applyBorder="1"/>
    <xf numFmtId="0" fontId="2" fillId="0" borderId="14" xfId="0" applyFont="1" applyBorder="1"/>
    <xf numFmtId="0" fontId="2" fillId="0" borderId="29" xfId="0" applyFont="1" applyBorder="1"/>
    <xf numFmtId="0" fontId="2" fillId="0" borderId="6" xfId="0" applyFont="1" applyBorder="1"/>
    <xf numFmtId="0" fontId="2" fillId="0" borderId="21" xfId="0" applyFont="1" applyBorder="1"/>
    <xf numFmtId="0" fontId="3" fillId="0" borderId="6" xfId="0" applyFont="1" applyBorder="1"/>
    <xf numFmtId="0" fontId="2" fillId="0" borderId="7" xfId="0" applyFont="1" applyBorder="1"/>
    <xf numFmtId="0" fontId="2" fillId="0" borderId="25" xfId="0" applyFont="1" applyBorder="1"/>
    <xf numFmtId="0" fontId="2" fillId="0" borderId="22" xfId="0" applyFont="1" applyBorder="1"/>
    <xf numFmtId="0" fontId="2" fillId="0" borderId="24" xfId="0" applyFont="1" applyBorder="1"/>
    <xf numFmtId="0" fontId="2" fillId="3" borderId="13" xfId="0" applyFont="1" applyFill="1" applyBorder="1" applyAlignment="1">
      <alignment horizontal="center"/>
    </xf>
    <xf numFmtId="0" fontId="2" fillId="3" borderId="29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4" borderId="30" xfId="0" applyFont="1" applyFill="1" applyBorder="1"/>
    <xf numFmtId="0" fontId="2" fillId="4" borderId="9" xfId="0" applyFont="1" applyFill="1" applyBorder="1"/>
    <xf numFmtId="0" fontId="2" fillId="4" borderId="31" xfId="0" applyFont="1" applyFill="1" applyBorder="1"/>
    <xf numFmtId="0" fontId="2" fillId="3" borderId="5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5" borderId="17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G13" sqref="G13"/>
    </sheetView>
  </sheetViews>
  <sheetFormatPr defaultRowHeight="12.75" x14ac:dyDescent="0.2"/>
  <cols>
    <col min="1" max="1" width="11.42578125" customWidth="1"/>
    <col min="2" max="2" width="12.85546875" customWidth="1"/>
    <col min="3" max="256" width="11.42578125" customWidth="1"/>
  </cols>
  <sheetData>
    <row r="2" spans="2:5" ht="13.5" thickBot="1" x14ac:dyDescent="0.25"/>
    <row r="3" spans="2:5" x14ac:dyDescent="0.2">
      <c r="B3" s="72" t="s">
        <v>15</v>
      </c>
      <c r="C3" s="70" t="s">
        <v>16</v>
      </c>
      <c r="D3" s="70"/>
      <c r="E3" s="71"/>
    </row>
    <row r="4" spans="2:5" ht="13.5" thickBot="1" x14ac:dyDescent="0.25">
      <c r="B4" s="73"/>
      <c r="C4" s="48">
        <v>1</v>
      </c>
      <c r="D4" s="48">
        <v>2</v>
      </c>
      <c r="E4" s="49">
        <v>3</v>
      </c>
    </row>
    <row r="5" spans="2:5" x14ac:dyDescent="0.2">
      <c r="B5" s="45" t="s">
        <v>10</v>
      </c>
      <c r="C5" s="46">
        <v>15000</v>
      </c>
      <c r="D5" s="46">
        <v>25000</v>
      </c>
      <c r="E5" s="47">
        <v>28000</v>
      </c>
    </row>
    <row r="6" spans="2:5" ht="13.5" thickBot="1" x14ac:dyDescent="0.25">
      <c r="B6" s="50" t="s">
        <v>11</v>
      </c>
      <c r="C6" s="51">
        <v>420</v>
      </c>
      <c r="D6" s="51">
        <v>420</v>
      </c>
      <c r="E6" s="52">
        <v>420</v>
      </c>
    </row>
    <row r="7" spans="2:5" ht="13.5" thickBot="1" x14ac:dyDescent="0.25">
      <c r="B7" s="53" t="s">
        <v>12</v>
      </c>
      <c r="C7" s="54">
        <f>C5*C6</f>
        <v>6300000</v>
      </c>
      <c r="D7" s="54">
        <f>D5*D6</f>
        <v>10500000</v>
      </c>
      <c r="E7" s="55">
        <f>E5*E6</f>
        <v>11760000</v>
      </c>
    </row>
    <row r="8" spans="2:5" x14ac:dyDescent="0.2">
      <c r="B8" t="s">
        <v>13</v>
      </c>
      <c r="C8">
        <f>C7*$C$10</f>
        <v>22680000</v>
      </c>
      <c r="D8">
        <f>D7*$C$10</f>
        <v>37800000</v>
      </c>
      <c r="E8">
        <f>E7*$C$10</f>
        <v>42336000</v>
      </c>
    </row>
    <row r="10" spans="2:5" x14ac:dyDescent="0.2">
      <c r="B10" t="s">
        <v>14</v>
      </c>
      <c r="C10">
        <v>3.6</v>
      </c>
    </row>
    <row r="12" spans="2:5" x14ac:dyDescent="0.2">
      <c r="B12" s="4" t="s">
        <v>85</v>
      </c>
    </row>
  </sheetData>
  <mergeCells count="2">
    <mergeCell ref="C3:E3"/>
    <mergeCell ref="B3:B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4"/>
  <sheetViews>
    <sheetView workbookViewId="0">
      <selection activeCell="F13" sqref="F13"/>
    </sheetView>
  </sheetViews>
  <sheetFormatPr defaultRowHeight="12.75" x14ac:dyDescent="0.2"/>
  <cols>
    <col min="1" max="1" width="11.42578125" customWidth="1"/>
    <col min="2" max="2" width="19.28515625" customWidth="1"/>
    <col min="3" max="256" width="11.42578125" customWidth="1"/>
  </cols>
  <sheetData>
    <row r="3" spans="2:3" ht="13.5" thickBot="1" x14ac:dyDescent="0.25"/>
    <row r="4" spans="2:3" ht="13.5" thickBot="1" x14ac:dyDescent="0.25">
      <c r="B4" s="63" t="s">
        <v>15</v>
      </c>
      <c r="C4" s="64" t="s">
        <v>24</v>
      </c>
    </row>
    <row r="5" spans="2:3" x14ac:dyDescent="0.2">
      <c r="B5" s="61" t="s">
        <v>17</v>
      </c>
      <c r="C5" s="62">
        <f>SUM(C6:C9)</f>
        <v>195000</v>
      </c>
    </row>
    <row r="6" spans="2:3" x14ac:dyDescent="0.2">
      <c r="B6" s="58" t="s">
        <v>2</v>
      </c>
      <c r="C6" s="44">
        <v>30000</v>
      </c>
    </row>
    <row r="7" spans="2:3" x14ac:dyDescent="0.2">
      <c r="B7" s="58" t="s">
        <v>3</v>
      </c>
      <c r="C7" s="44">
        <v>90000</v>
      </c>
    </row>
    <row r="8" spans="2:3" x14ac:dyDescent="0.2">
      <c r="B8" s="58" t="s">
        <v>18</v>
      </c>
      <c r="C8" s="44">
        <v>55000</v>
      </c>
    </row>
    <row r="9" spans="2:3" x14ac:dyDescent="0.2">
      <c r="B9" s="58" t="s">
        <v>19</v>
      </c>
      <c r="C9" s="44">
        <v>20000</v>
      </c>
    </row>
    <row r="10" spans="2:3" x14ac:dyDescent="0.2">
      <c r="B10" s="56" t="s">
        <v>20</v>
      </c>
      <c r="C10" s="57">
        <f>C11</f>
        <v>25000</v>
      </c>
    </row>
    <row r="11" spans="2:3" x14ac:dyDescent="0.2">
      <c r="B11" s="58" t="s">
        <v>21</v>
      </c>
      <c r="C11" s="44">
        <v>25000</v>
      </c>
    </row>
    <row r="12" spans="2:3" x14ac:dyDescent="0.2">
      <c r="B12" s="56" t="s">
        <v>22</v>
      </c>
      <c r="C12" s="57">
        <f>C13</f>
        <v>430000</v>
      </c>
    </row>
    <row r="13" spans="2:3" x14ac:dyDescent="0.2">
      <c r="B13" s="58" t="s">
        <v>23</v>
      </c>
      <c r="C13" s="44">
        <v>430000</v>
      </c>
    </row>
    <row r="14" spans="2:3" ht="13.5" thickBot="1" x14ac:dyDescent="0.25">
      <c r="B14" s="59" t="s">
        <v>25</v>
      </c>
      <c r="C14" s="60">
        <f>C5+C10+C12</f>
        <v>650000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9"/>
  <sheetViews>
    <sheetView workbookViewId="0">
      <selection activeCell="I8" sqref="I8"/>
    </sheetView>
  </sheetViews>
  <sheetFormatPr defaultRowHeight="12.75" x14ac:dyDescent="0.2"/>
  <cols>
    <col min="1" max="1" width="11.42578125" customWidth="1"/>
    <col min="2" max="2" width="21.140625" customWidth="1"/>
    <col min="3" max="3" width="14.5703125" customWidth="1"/>
    <col min="4" max="4" width="11.42578125" customWidth="1"/>
    <col min="5" max="5" width="6.28515625" customWidth="1"/>
    <col min="6" max="6" width="13.140625" customWidth="1"/>
    <col min="7" max="7" width="14.140625" customWidth="1"/>
    <col min="8" max="8" width="13.28515625" customWidth="1"/>
    <col min="9" max="9" width="13" customWidth="1"/>
    <col min="10" max="10" width="15.140625" customWidth="1"/>
    <col min="11" max="256" width="11.42578125" customWidth="1"/>
  </cols>
  <sheetData>
    <row r="3" spans="2:11" x14ac:dyDescent="0.2">
      <c r="B3" s="6" t="s">
        <v>34</v>
      </c>
      <c r="C3" s="6" t="s">
        <v>26</v>
      </c>
      <c r="D3" s="6" t="s">
        <v>27</v>
      </c>
      <c r="E3" s="6" t="s">
        <v>28</v>
      </c>
      <c r="F3" s="6" t="s">
        <v>29</v>
      </c>
      <c r="G3" s="6" t="s">
        <v>30</v>
      </c>
      <c r="H3" s="6" t="s">
        <v>31</v>
      </c>
      <c r="I3" s="6" t="s">
        <v>32</v>
      </c>
      <c r="J3" s="6" t="s">
        <v>33</v>
      </c>
    </row>
    <row r="4" spans="2:11" x14ac:dyDescent="0.2">
      <c r="B4" s="9" t="s">
        <v>38</v>
      </c>
      <c r="C4" s="65">
        <v>30000</v>
      </c>
      <c r="D4" s="9"/>
      <c r="E4" s="9"/>
      <c r="F4" s="9"/>
      <c r="G4" s="9"/>
      <c r="H4" s="9"/>
      <c r="I4" s="9">
        <v>60000</v>
      </c>
      <c r="J4" s="9">
        <f>I4-C4</f>
        <v>30000</v>
      </c>
    </row>
    <row r="5" spans="2:11" x14ac:dyDescent="0.2">
      <c r="B5" s="5" t="str">
        <f>Inversión!B7</f>
        <v>Edificios</v>
      </c>
      <c r="C5" s="66">
        <f>Inversión!C7</f>
        <v>90000</v>
      </c>
      <c r="D5" s="66">
        <v>10</v>
      </c>
      <c r="E5" s="5">
        <f>1/D5</f>
        <v>0.1</v>
      </c>
      <c r="F5" s="66">
        <f>C5*E5</f>
        <v>9000</v>
      </c>
      <c r="G5" s="5">
        <f>F5*$C$9</f>
        <v>27000</v>
      </c>
      <c r="H5" s="5">
        <f>C5-G5</f>
        <v>63000</v>
      </c>
      <c r="I5" s="5">
        <v>60000</v>
      </c>
      <c r="J5" s="5">
        <f>I5-H5</f>
        <v>-3000</v>
      </c>
    </row>
    <row r="6" spans="2:11" x14ac:dyDescent="0.2">
      <c r="B6" s="5" t="str">
        <f>Inversión!B8</f>
        <v>Maquinarias y equipos</v>
      </c>
      <c r="C6" s="66">
        <f>Inversión!C8</f>
        <v>55000</v>
      </c>
      <c r="D6" s="66">
        <v>5</v>
      </c>
      <c r="E6" s="5">
        <f>1/D6</f>
        <v>0.2</v>
      </c>
      <c r="F6" s="66">
        <f>C6*E6</f>
        <v>11000</v>
      </c>
      <c r="G6" s="5">
        <f>F6*$C$9</f>
        <v>33000</v>
      </c>
      <c r="H6" s="5">
        <f>C6-G6</f>
        <v>22000</v>
      </c>
      <c r="I6" s="5">
        <v>30000</v>
      </c>
      <c r="J6" s="5">
        <f>I6-H6</f>
        <v>8000</v>
      </c>
    </row>
    <row r="7" spans="2:11" x14ac:dyDescent="0.2">
      <c r="B7" s="5" t="str">
        <f>Inversión!B9</f>
        <v>Vehículos</v>
      </c>
      <c r="C7" s="66">
        <f>Inversión!C9</f>
        <v>20000</v>
      </c>
      <c r="D7" s="66">
        <v>5</v>
      </c>
      <c r="E7" s="5">
        <f>1/D7</f>
        <v>0.2</v>
      </c>
      <c r="F7" s="66">
        <f>C7*E7</f>
        <v>4000</v>
      </c>
      <c r="G7" s="5">
        <f>F7*$C$9</f>
        <v>12000</v>
      </c>
      <c r="H7" s="5">
        <f>C7-G7</f>
        <v>8000</v>
      </c>
      <c r="I7" s="5">
        <v>6000</v>
      </c>
      <c r="J7" s="5">
        <f>I7-H7</f>
        <v>-2000</v>
      </c>
    </row>
    <row r="8" spans="2:11" x14ac:dyDescent="0.2">
      <c r="B8" s="7" t="s">
        <v>37</v>
      </c>
      <c r="C8" s="5"/>
      <c r="D8" s="5"/>
      <c r="E8" s="5"/>
      <c r="F8" s="39">
        <f>SUM(F5:F7)</f>
        <v>24000</v>
      </c>
      <c r="G8" s="5">
        <f>SUM(G5:G7)</f>
        <v>72000</v>
      </c>
      <c r="H8" s="5">
        <f>SUM(H5:H7)</f>
        <v>93000</v>
      </c>
      <c r="I8" s="3">
        <f>SUM(I4:I7)</f>
        <v>156000</v>
      </c>
      <c r="J8" s="6">
        <f>SUM(J4:J7)</f>
        <v>33000</v>
      </c>
      <c r="K8" s="4" t="s">
        <v>102</v>
      </c>
    </row>
    <row r="9" spans="2:11" x14ac:dyDescent="0.2">
      <c r="B9" s="4" t="s">
        <v>35</v>
      </c>
      <c r="C9">
        <v>3</v>
      </c>
      <c r="D9" s="4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3"/>
  <sheetViews>
    <sheetView workbookViewId="0">
      <selection activeCell="C7" sqref="C7"/>
    </sheetView>
  </sheetViews>
  <sheetFormatPr defaultRowHeight="12.75" x14ac:dyDescent="0.2"/>
  <cols>
    <col min="1" max="256" width="11.42578125" customWidth="1"/>
  </cols>
  <sheetData>
    <row r="3" spans="2:7" x14ac:dyDescent="0.2">
      <c r="B3" s="4" t="s">
        <v>51</v>
      </c>
      <c r="C3">
        <v>150000</v>
      </c>
    </row>
    <row r="4" spans="2:7" x14ac:dyDescent="0.2">
      <c r="B4" s="4" t="s">
        <v>6</v>
      </c>
      <c r="C4" s="10">
        <v>0.2</v>
      </c>
      <c r="D4" s="4" t="s">
        <v>103</v>
      </c>
    </row>
    <row r="5" spans="2:7" x14ac:dyDescent="0.2">
      <c r="B5" s="4" t="s">
        <v>86</v>
      </c>
      <c r="C5" s="10">
        <v>0.03</v>
      </c>
      <c r="D5" s="4" t="s">
        <v>104</v>
      </c>
    </row>
    <row r="6" spans="2:7" x14ac:dyDescent="0.2">
      <c r="B6" s="4" t="s">
        <v>52</v>
      </c>
      <c r="C6">
        <v>3</v>
      </c>
      <c r="D6" s="4" t="s">
        <v>36</v>
      </c>
    </row>
    <row r="7" spans="2:7" x14ac:dyDescent="0.2">
      <c r="B7" s="4" t="s">
        <v>53</v>
      </c>
      <c r="C7" s="11">
        <f>((1+C4)/(1+C5))-1</f>
        <v>0.16504854368932032</v>
      </c>
      <c r="D7" s="4" t="s">
        <v>105</v>
      </c>
    </row>
    <row r="8" spans="2:7" x14ac:dyDescent="0.2">
      <c r="B8" s="4" t="s">
        <v>54</v>
      </c>
      <c r="C8" s="12">
        <f>PMT(C7,C6,C3)</f>
        <v>-67342.044324679053</v>
      </c>
    </row>
    <row r="10" spans="2:7" x14ac:dyDescent="0.2">
      <c r="B10" s="8" t="s">
        <v>55</v>
      </c>
      <c r="C10" s="8" t="s">
        <v>56</v>
      </c>
      <c r="D10" s="8" t="s">
        <v>57</v>
      </c>
      <c r="E10" s="8" t="s">
        <v>58</v>
      </c>
      <c r="F10" s="8" t="s">
        <v>87</v>
      </c>
      <c r="G10" s="8" t="s">
        <v>59</v>
      </c>
    </row>
    <row r="11" spans="2:7" x14ac:dyDescent="0.2">
      <c r="B11" s="66">
        <v>1</v>
      </c>
      <c r="C11" s="5">
        <f>C3</f>
        <v>150000</v>
      </c>
      <c r="D11" s="13">
        <f>C11*$C$7</f>
        <v>24757.281553398047</v>
      </c>
      <c r="E11" s="14">
        <f>F11-D11</f>
        <v>42584.762771281006</v>
      </c>
      <c r="F11" s="14">
        <f>-$C$8</f>
        <v>67342.044324679053</v>
      </c>
      <c r="G11" s="13">
        <f>C11-E11</f>
        <v>107415.23722871899</v>
      </c>
    </row>
    <row r="12" spans="2:7" x14ac:dyDescent="0.2">
      <c r="B12" s="66">
        <v>2</v>
      </c>
      <c r="C12" s="13">
        <f>G11</f>
        <v>107415.23722871899</v>
      </c>
      <c r="D12" s="13">
        <f>C12*$C$7</f>
        <v>17728.728474642932</v>
      </c>
      <c r="E12" s="14">
        <f>F12-D12</f>
        <v>49613.315850036117</v>
      </c>
      <c r="F12" s="14">
        <f>-$C$8</f>
        <v>67342.044324679053</v>
      </c>
      <c r="G12" s="13">
        <f>C12-E12</f>
        <v>57801.921378682877</v>
      </c>
    </row>
    <row r="13" spans="2:7" x14ac:dyDescent="0.2">
      <c r="B13" s="66">
        <v>3</v>
      </c>
      <c r="C13" s="13">
        <f>G12</f>
        <v>57801.921378682877</v>
      </c>
      <c r="D13" s="13">
        <f>C13*$C$7</f>
        <v>9540.1229459961996</v>
      </c>
      <c r="E13" s="14">
        <f>F13-D13</f>
        <v>57801.921378682855</v>
      </c>
      <c r="F13" s="14">
        <f>-$C$8</f>
        <v>67342.044324679053</v>
      </c>
      <c r="G13" s="5">
        <f>C13-E13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2"/>
  <sheetViews>
    <sheetView topLeftCell="A10" workbookViewId="0">
      <selection activeCell="B16" sqref="B16"/>
    </sheetView>
  </sheetViews>
  <sheetFormatPr defaultRowHeight="12.75" x14ac:dyDescent="0.2"/>
  <cols>
    <col min="1" max="1" width="11.42578125" customWidth="1"/>
    <col min="2" max="2" width="30.85546875" customWidth="1"/>
    <col min="3" max="256" width="11.42578125" customWidth="1"/>
  </cols>
  <sheetData>
    <row r="3" spans="2:5" x14ac:dyDescent="0.2">
      <c r="B3" s="74" t="s">
        <v>106</v>
      </c>
      <c r="C3" s="74"/>
      <c r="D3" s="74"/>
      <c r="E3" s="74"/>
    </row>
    <row r="5" spans="2:5" x14ac:dyDescent="0.2">
      <c r="B5" s="8" t="s">
        <v>15</v>
      </c>
      <c r="C5" s="8">
        <v>1</v>
      </c>
      <c r="D5" s="8">
        <v>2</v>
      </c>
      <c r="E5" s="8">
        <v>3</v>
      </c>
    </row>
    <row r="6" spans="2:5" x14ac:dyDescent="0.2">
      <c r="B6" s="3" t="s">
        <v>39</v>
      </c>
      <c r="C6" s="3">
        <f>Presupuesto_Ingresos!C7</f>
        <v>6300000</v>
      </c>
      <c r="D6" s="3">
        <f>Presupuesto_Ingresos!D7</f>
        <v>10500000</v>
      </c>
      <c r="E6" s="3">
        <f>Presupuesto_Ingresos!E7</f>
        <v>11760000</v>
      </c>
    </row>
    <row r="7" spans="2:5" x14ac:dyDescent="0.2">
      <c r="B7" s="3" t="s">
        <v>40</v>
      </c>
      <c r="C7" s="5">
        <f>SUM(C8:C11)</f>
        <v>1649400</v>
      </c>
      <c r="D7" s="5">
        <f>SUM(D8:D11)</f>
        <v>2733000</v>
      </c>
      <c r="E7" s="5">
        <f>SUM(E8:E11)</f>
        <v>3058080</v>
      </c>
    </row>
    <row r="8" spans="2:5" x14ac:dyDescent="0.2">
      <c r="B8" s="7" t="s">
        <v>41</v>
      </c>
      <c r="C8" s="5">
        <f>C6*0.05</f>
        <v>315000</v>
      </c>
      <c r="D8" s="5">
        <f>D6*0.05</f>
        <v>525000</v>
      </c>
      <c r="E8" s="5">
        <f>E6*0.05</f>
        <v>588000</v>
      </c>
    </row>
    <row r="9" spans="2:5" x14ac:dyDescent="0.2">
      <c r="B9" s="7" t="s">
        <v>42</v>
      </c>
      <c r="C9" s="5">
        <f>C6*0.2</f>
        <v>1260000</v>
      </c>
      <c r="D9" s="5">
        <f>D6*0.2</f>
        <v>2100000</v>
      </c>
      <c r="E9" s="5">
        <f>E6*0.2</f>
        <v>2352000</v>
      </c>
    </row>
    <row r="10" spans="2:5" x14ac:dyDescent="0.2">
      <c r="B10" s="7" t="s">
        <v>88</v>
      </c>
      <c r="C10" s="5">
        <f>C6*0.008</f>
        <v>50400</v>
      </c>
      <c r="D10" s="5">
        <f>D6*0.008</f>
        <v>84000</v>
      </c>
      <c r="E10" s="5">
        <f>E6*0.008</f>
        <v>94080</v>
      </c>
    </row>
    <row r="11" spans="2:5" x14ac:dyDescent="0.2">
      <c r="B11" s="7" t="s">
        <v>43</v>
      </c>
      <c r="C11" s="5">
        <f>Depreciación_VR!F8</f>
        <v>24000</v>
      </c>
      <c r="D11" s="5">
        <f>Depreciación_VR!$F$8</f>
        <v>24000</v>
      </c>
      <c r="E11" s="5">
        <f>Depreciación_VR!$F$8</f>
        <v>24000</v>
      </c>
    </row>
    <row r="12" spans="2:5" x14ac:dyDescent="0.2">
      <c r="B12" s="3" t="s">
        <v>9</v>
      </c>
      <c r="C12" s="3">
        <f>C6-C7</f>
        <v>4650600</v>
      </c>
      <c r="D12" s="3">
        <f>D6-D7</f>
        <v>7767000</v>
      </c>
      <c r="E12" s="3">
        <f>E6-E7</f>
        <v>8701920</v>
      </c>
    </row>
    <row r="13" spans="2:5" x14ac:dyDescent="0.2">
      <c r="B13" s="3" t="s">
        <v>44</v>
      </c>
      <c r="C13" s="15">
        <f>SUM(C14:C17)</f>
        <v>146933.33333333334</v>
      </c>
      <c r="D13" s="15">
        <f>SUM(D14:D17)</f>
        <v>239333.33333333334</v>
      </c>
      <c r="E13" s="15">
        <f>SUM(E14:E17)</f>
        <v>300053.33333333331</v>
      </c>
    </row>
    <row r="14" spans="2:5" x14ac:dyDescent="0.2">
      <c r="B14" s="7" t="s">
        <v>45</v>
      </c>
      <c r="C14" s="5">
        <f>C6*0.01</f>
        <v>63000</v>
      </c>
      <c r="D14" s="5">
        <f>D6*0.01</f>
        <v>105000</v>
      </c>
      <c r="E14" s="5">
        <f>E6*0.01</f>
        <v>117600</v>
      </c>
    </row>
    <row r="15" spans="2:5" x14ac:dyDescent="0.2">
      <c r="B15" s="7" t="s">
        <v>46</v>
      </c>
      <c r="C15" s="5">
        <f>C6*0.012</f>
        <v>75600</v>
      </c>
      <c r="D15" s="5">
        <f>D6*0.012</f>
        <v>126000</v>
      </c>
      <c r="E15" s="5">
        <f>E6*0.012</f>
        <v>141120</v>
      </c>
    </row>
    <row r="16" spans="2:5" x14ac:dyDescent="0.2">
      <c r="B16" s="7" t="s">
        <v>47</v>
      </c>
      <c r="C16" s="13">
        <f>Inversión!$C$10/3</f>
        <v>8333.3333333333339</v>
      </c>
      <c r="D16" s="13">
        <f>Inversión!$C$11/3</f>
        <v>8333.3333333333339</v>
      </c>
      <c r="E16" s="13">
        <f>Inversión!$C$11/3</f>
        <v>8333.3333333333339</v>
      </c>
    </row>
    <row r="17" spans="2:6" x14ac:dyDescent="0.2">
      <c r="B17" s="7" t="s">
        <v>89</v>
      </c>
      <c r="C17" s="5"/>
      <c r="D17" s="5"/>
      <c r="E17" s="5">
        <f>Depreciación_VR!J8</f>
        <v>33000</v>
      </c>
    </row>
    <row r="18" spans="2:6" x14ac:dyDescent="0.2">
      <c r="B18" s="3" t="s">
        <v>5</v>
      </c>
      <c r="C18" s="15">
        <f>C12-C13</f>
        <v>4503666.666666667</v>
      </c>
      <c r="D18" s="15">
        <f>D12-D13</f>
        <v>7527666.666666667</v>
      </c>
      <c r="E18" s="15">
        <f>E12-E13</f>
        <v>8401866.666666666</v>
      </c>
    </row>
    <row r="19" spans="2:6" x14ac:dyDescent="0.2">
      <c r="B19" s="7" t="s">
        <v>48</v>
      </c>
      <c r="C19" s="13">
        <f>Servicio_Deuda!D11</f>
        <v>24757.281553398047</v>
      </c>
      <c r="D19" s="13">
        <f>Servicio_Deuda!D12</f>
        <v>17728.728474642932</v>
      </c>
      <c r="E19" s="13">
        <f>Servicio_Deuda!D13</f>
        <v>9540.1229459961996</v>
      </c>
      <c r="F19" s="40" t="s">
        <v>90</v>
      </c>
    </row>
    <row r="20" spans="2:6" x14ac:dyDescent="0.2">
      <c r="B20" s="3" t="s">
        <v>60</v>
      </c>
      <c r="C20" s="15">
        <f>C18-C19</f>
        <v>4478909.3851132691</v>
      </c>
      <c r="D20" s="15">
        <f>D18-D19</f>
        <v>7509937.9381920239</v>
      </c>
      <c r="E20" s="15">
        <f>E18-E19</f>
        <v>8392326.54372067</v>
      </c>
    </row>
    <row r="21" spans="2:6" x14ac:dyDescent="0.2">
      <c r="B21" s="7" t="s">
        <v>49</v>
      </c>
      <c r="C21" s="13">
        <f>C20*0.3</f>
        <v>1343672.8155339807</v>
      </c>
      <c r="D21" s="13">
        <f>D20*0.3</f>
        <v>2252981.3814576073</v>
      </c>
      <c r="E21" s="13">
        <f>E20*0.3</f>
        <v>2517697.9631162011</v>
      </c>
      <c r="F21" s="40" t="s">
        <v>91</v>
      </c>
    </row>
    <row r="22" spans="2:6" x14ac:dyDescent="0.2">
      <c r="B22" s="3" t="s">
        <v>50</v>
      </c>
      <c r="C22" s="15">
        <f>C20-C21</f>
        <v>3135236.5695792884</v>
      </c>
      <c r="D22" s="15">
        <f>D20-D21</f>
        <v>5256956.5567344166</v>
      </c>
      <c r="E22" s="15">
        <f>E20-E21</f>
        <v>5874628.5806044694</v>
      </c>
    </row>
  </sheetData>
  <mergeCells count="1">
    <mergeCell ref="B3:E3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1"/>
  <sheetViews>
    <sheetView topLeftCell="A28" workbookViewId="0">
      <selection activeCell="C20" sqref="C20"/>
    </sheetView>
  </sheetViews>
  <sheetFormatPr defaultRowHeight="12.75" x14ac:dyDescent="0.2"/>
  <cols>
    <col min="1" max="1" width="11.42578125" customWidth="1"/>
    <col min="2" max="2" width="28.140625" customWidth="1"/>
    <col min="3" max="256" width="11.42578125" customWidth="1"/>
  </cols>
  <sheetData>
    <row r="3" spans="2:10" ht="13.5" thickBot="1" x14ac:dyDescent="0.25"/>
    <row r="4" spans="2:10" x14ac:dyDescent="0.2">
      <c r="B4" s="75" t="s">
        <v>4</v>
      </c>
      <c r="C4" s="77" t="s">
        <v>61</v>
      </c>
      <c r="D4" s="78"/>
      <c r="E4" s="78"/>
      <c r="F4" s="78"/>
    </row>
    <row r="5" spans="2:10" ht="13.5" thickBot="1" x14ac:dyDescent="0.25">
      <c r="B5" s="76"/>
      <c r="C5" s="16">
        <v>0</v>
      </c>
      <c r="D5" s="16">
        <v>1</v>
      </c>
      <c r="E5" s="16">
        <v>2</v>
      </c>
      <c r="F5" s="16">
        <v>3</v>
      </c>
    </row>
    <row r="6" spans="2:10" ht="15.75" thickBot="1" x14ac:dyDescent="0.3">
      <c r="B6" s="17" t="s">
        <v>0</v>
      </c>
      <c r="C6" s="34">
        <f>SUM(C7:C10)</f>
        <v>0</v>
      </c>
      <c r="D6" s="34">
        <f>SUM(D7:D10)</f>
        <v>6300000</v>
      </c>
      <c r="E6" s="34">
        <f>SUM(E7:E10)</f>
        <v>10500000</v>
      </c>
      <c r="F6" s="34">
        <f>SUM(F7:F10)</f>
        <v>12718666.666666666</v>
      </c>
    </row>
    <row r="7" spans="2:10" ht="14.25" x14ac:dyDescent="0.2">
      <c r="B7" s="18" t="s">
        <v>62</v>
      </c>
      <c r="C7" s="19"/>
      <c r="D7" s="19">
        <f>Estado_Resultados!C6</f>
        <v>6300000</v>
      </c>
      <c r="E7" s="19">
        <f>Estado_Resultados!D6</f>
        <v>10500000</v>
      </c>
      <c r="F7" s="19">
        <f>Estado_Resultados!E6</f>
        <v>11760000</v>
      </c>
    </row>
    <row r="8" spans="2:10" ht="14.25" x14ac:dyDescent="0.2">
      <c r="B8" s="20" t="s">
        <v>75</v>
      </c>
      <c r="C8" s="21"/>
      <c r="D8" s="21"/>
      <c r="E8" s="21"/>
      <c r="F8" s="21">
        <f>Depreciación_VR!I4</f>
        <v>60000</v>
      </c>
      <c r="G8" s="32"/>
    </row>
    <row r="9" spans="2:10" ht="14.25" x14ac:dyDescent="0.2">
      <c r="B9" s="20" t="s">
        <v>76</v>
      </c>
      <c r="C9" s="21"/>
      <c r="D9" s="21"/>
      <c r="E9" s="21"/>
      <c r="F9" s="21">
        <f>Depreciación_VR!I8-Depreciación_VR!I4</f>
        <v>96000</v>
      </c>
      <c r="G9" s="32">
        <f>F8+F9</f>
        <v>156000</v>
      </c>
    </row>
    <row r="10" spans="2:10" ht="15" thickBot="1" x14ac:dyDescent="0.25">
      <c r="B10" s="22" t="s">
        <v>63</v>
      </c>
      <c r="C10" s="23"/>
      <c r="D10" s="23"/>
      <c r="E10" s="23"/>
      <c r="F10" s="23">
        <f>-SUM(C13:E13)</f>
        <v>802666.66666666674</v>
      </c>
    </row>
    <row r="11" spans="2:10" ht="15.75" thickBot="1" x14ac:dyDescent="0.3">
      <c r="B11" s="24" t="s">
        <v>1</v>
      </c>
      <c r="C11" s="35">
        <f>SUM(C12:C17)</f>
        <v>-600000</v>
      </c>
      <c r="D11" s="35">
        <f>SUM(D12:D17)</f>
        <v>-3434912.2977346284</v>
      </c>
      <c r="E11" s="35">
        <f>SUM(E12:E17)</f>
        <v>-5321662.7629152145</v>
      </c>
      <c r="F11" s="35">
        <f>SUM(F12:F17)</f>
        <v>-5855635.9262324022</v>
      </c>
    </row>
    <row r="12" spans="2:10" ht="14.25" x14ac:dyDescent="0.2">
      <c r="B12" s="18" t="s">
        <v>64</v>
      </c>
      <c r="C12" s="19">
        <f>-Inversión!C5+Inversión!C10</f>
        <v>-170000</v>
      </c>
      <c r="D12" s="19"/>
      <c r="E12" s="19"/>
      <c r="F12" s="19"/>
      <c r="H12" s="32"/>
      <c r="J12" s="32"/>
    </row>
    <row r="13" spans="2:10" ht="14.25" x14ac:dyDescent="0.2">
      <c r="B13" s="20" t="s">
        <v>65</v>
      </c>
      <c r="C13" s="21">
        <f>-Inversión!C12</f>
        <v>-430000</v>
      </c>
      <c r="D13" s="21">
        <f>((E7-D7)*C13/D7)</f>
        <v>-286666.66666666669</v>
      </c>
      <c r="E13" s="21">
        <f>(F7-E7)*C13/D7</f>
        <v>-86000</v>
      </c>
      <c r="F13" s="21"/>
    </row>
    <row r="14" spans="2:10" ht="14.25" x14ac:dyDescent="0.2">
      <c r="B14" s="20" t="s">
        <v>66</v>
      </c>
      <c r="C14" s="21"/>
      <c r="D14" s="21">
        <f>-Estado_Resultados!C7-Estado_Resultados!C11</f>
        <v>-1673400</v>
      </c>
      <c r="E14" s="21">
        <f>-Estado_Resultados!D7-Estado_Resultados!D11</f>
        <v>-2757000</v>
      </c>
      <c r="F14" s="21">
        <f>-Estado_Resultados!E7-Estado_Resultados!E11</f>
        <v>-3082080</v>
      </c>
      <c r="H14" s="32"/>
      <c r="J14" s="32"/>
    </row>
    <row r="15" spans="2:10" ht="14.25" x14ac:dyDescent="0.2">
      <c r="B15" s="20" t="s">
        <v>67</v>
      </c>
      <c r="C15" s="21"/>
      <c r="D15" s="21">
        <f>-Estado_Resultados!C14</f>
        <v>-63000</v>
      </c>
      <c r="E15" s="21">
        <f>-Estado_Resultados!D14</f>
        <v>-105000</v>
      </c>
      <c r="F15" s="21">
        <f>-Estado_Resultados!E14</f>
        <v>-117600</v>
      </c>
    </row>
    <row r="16" spans="2:10" ht="14.25" x14ac:dyDescent="0.2">
      <c r="B16" s="20" t="s">
        <v>68</v>
      </c>
      <c r="C16" s="21"/>
      <c r="D16" s="21">
        <f>-Estado_Resultados!C15</f>
        <v>-75600</v>
      </c>
      <c r="E16" s="21">
        <f>-Estado_Resultados!D15</f>
        <v>-126000</v>
      </c>
      <c r="F16" s="21">
        <f>-Estado_Resultados!E15</f>
        <v>-141120</v>
      </c>
      <c r="H16" s="33"/>
    </row>
    <row r="17" spans="2:7" ht="15" thickBot="1" x14ac:dyDescent="0.25">
      <c r="B17" s="22" t="s">
        <v>69</v>
      </c>
      <c r="C17" s="23"/>
      <c r="D17" s="23">
        <f>-(Estado_Resultados!C21-(Estado_Resultados!C19*0.3))</f>
        <v>-1336245.6310679612</v>
      </c>
      <c r="E17" s="23">
        <f>-(Estado_Resultados!D21-Estado_Resultados!D19*0.3)</f>
        <v>-2247662.7629152145</v>
      </c>
      <c r="F17" s="23">
        <f>-(Estado_Resultados!E21-Estado_Resultados!E19*0.3)</f>
        <v>-2514835.9262324022</v>
      </c>
      <c r="G17" s="40" t="s">
        <v>107</v>
      </c>
    </row>
    <row r="18" spans="2:7" ht="26.25" thickBot="1" x14ac:dyDescent="0.3">
      <c r="B18" s="25" t="s">
        <v>94</v>
      </c>
      <c r="C18" s="26">
        <f>C6+C11</f>
        <v>-600000</v>
      </c>
      <c r="D18" s="26">
        <f>D6+D11</f>
        <v>2865087.7022653716</v>
      </c>
      <c r="E18" s="26">
        <f>E6+E11</f>
        <v>5178337.2370847855</v>
      </c>
      <c r="F18" s="26">
        <f>F6+F11</f>
        <v>6863030.7404342638</v>
      </c>
    </row>
    <row r="19" spans="2:7" ht="14.25" x14ac:dyDescent="0.2">
      <c r="B19" s="27" t="s">
        <v>92</v>
      </c>
      <c r="C19" s="19"/>
      <c r="D19" s="19"/>
      <c r="E19" s="19"/>
      <c r="F19" s="19"/>
    </row>
    <row r="20" spans="2:7" ht="14.25" x14ac:dyDescent="0.2">
      <c r="B20" s="20" t="s">
        <v>70</v>
      </c>
      <c r="C20" s="21">
        <f>Servicio_Deuda!C3</f>
        <v>150000</v>
      </c>
      <c r="D20" s="21"/>
      <c r="E20" s="21"/>
      <c r="F20" s="21"/>
    </row>
    <row r="21" spans="2:7" ht="14.25" x14ac:dyDescent="0.2">
      <c r="B21" s="20" t="s">
        <v>77</v>
      </c>
      <c r="C21" s="21"/>
      <c r="D21" s="21">
        <f>-Servicio_Deuda!E11</f>
        <v>-42584.762771281006</v>
      </c>
      <c r="E21" s="21">
        <f>-Servicio_Deuda!E12</f>
        <v>-49613.315850036117</v>
      </c>
      <c r="F21" s="21">
        <f>-Servicio_Deuda!E13</f>
        <v>-57801.921378682855</v>
      </c>
    </row>
    <row r="22" spans="2:7" ht="14.25" x14ac:dyDescent="0.2">
      <c r="B22" s="20" t="s">
        <v>71</v>
      </c>
      <c r="C22" s="21"/>
      <c r="D22" s="21">
        <f>-Servicio_Deuda!D11</f>
        <v>-24757.281553398047</v>
      </c>
      <c r="E22" s="21">
        <f>-Servicio_Deuda!D12</f>
        <v>-17728.728474642932</v>
      </c>
      <c r="F22" s="21">
        <f>-Servicio_Deuda!D13</f>
        <v>-9540.1229459961996</v>
      </c>
    </row>
    <row r="23" spans="2:7" ht="15" thickBot="1" x14ac:dyDescent="0.25">
      <c r="B23" s="22" t="s">
        <v>72</v>
      </c>
      <c r="C23" s="23"/>
      <c r="D23" s="23">
        <f>-D22*0.3</f>
        <v>7427.1844660194138</v>
      </c>
      <c r="E23" s="23">
        <f>-E22*0.3</f>
        <v>5318.6185423928791</v>
      </c>
      <c r="F23" s="23">
        <f>-F22*0.3</f>
        <v>2862.0368837988599</v>
      </c>
      <c r="G23" s="40" t="s">
        <v>96</v>
      </c>
    </row>
    <row r="24" spans="2:7" ht="15.75" thickBot="1" x14ac:dyDescent="0.3">
      <c r="B24" s="28" t="s">
        <v>93</v>
      </c>
      <c r="C24" s="29">
        <f>SUM(C20:C23)</f>
        <v>150000</v>
      </c>
      <c r="D24" s="29">
        <f>SUM(D20:D23)</f>
        <v>-59914.859858659642</v>
      </c>
      <c r="E24" s="29">
        <f>SUM(E20:E23)</f>
        <v>-62023.425782286176</v>
      </c>
      <c r="F24" s="29">
        <f>SUM(F20:F23)</f>
        <v>-64480.007440880196</v>
      </c>
    </row>
    <row r="25" spans="2:7" ht="15.75" thickBot="1" x14ac:dyDescent="0.3">
      <c r="B25" s="30" t="s">
        <v>95</v>
      </c>
      <c r="C25" s="31">
        <f>C18+C24</f>
        <v>-450000</v>
      </c>
      <c r="D25" s="31">
        <f>D18+D24</f>
        <v>2805172.842406712</v>
      </c>
      <c r="E25" s="31">
        <f>E18+E24</f>
        <v>5116313.8113024989</v>
      </c>
      <c r="F25" s="31">
        <f>F18+F24</f>
        <v>6798550.7329933839</v>
      </c>
    </row>
    <row r="26" spans="2:7" x14ac:dyDescent="0.2">
      <c r="B26" s="1" t="s">
        <v>73</v>
      </c>
      <c r="C26" s="1"/>
      <c r="D26" s="1"/>
      <c r="E26" s="1"/>
      <c r="F26" s="1"/>
    </row>
    <row r="27" spans="2:7" x14ac:dyDescent="0.2">
      <c r="B27" s="1" t="s">
        <v>74</v>
      </c>
      <c r="C27" s="1"/>
      <c r="D27" s="1"/>
      <c r="E27" s="1"/>
      <c r="F27" s="1"/>
    </row>
    <row r="28" spans="2:7" x14ac:dyDescent="0.2">
      <c r="B28" s="1" t="s">
        <v>97</v>
      </c>
      <c r="C28" s="41">
        <f>Servicio_Deuda!C7</f>
        <v>0.16504854368932032</v>
      </c>
      <c r="D28" s="1"/>
      <c r="E28" s="1"/>
      <c r="F28" s="1"/>
    </row>
    <row r="29" spans="2:7" x14ac:dyDescent="0.2">
      <c r="B29" s="1" t="s">
        <v>98</v>
      </c>
      <c r="C29" s="42">
        <f>NPV(C28,D23:F23)</f>
        <v>12103.270759185416</v>
      </c>
      <c r="D29" s="1"/>
      <c r="E29" s="1"/>
      <c r="F29" s="1"/>
    </row>
    <row r="31" spans="2:7" x14ac:dyDescent="0.2">
      <c r="B31" s="36" t="s">
        <v>99</v>
      </c>
      <c r="C31" s="37">
        <f>C18+C29</f>
        <v>-587896.72924081457</v>
      </c>
      <c r="D31" s="37">
        <f>D18</f>
        <v>2865087.7022653716</v>
      </c>
      <c r="E31" s="37">
        <f>E18</f>
        <v>5178337.2370847855</v>
      </c>
      <c r="F31" s="37">
        <f>F18</f>
        <v>6863030.7404342638</v>
      </c>
    </row>
  </sheetData>
  <mergeCells count="2">
    <mergeCell ref="B4:B5"/>
    <mergeCell ref="C4:F4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tabSelected="1" workbookViewId="0">
      <selection activeCell="G13" sqref="G13"/>
    </sheetView>
  </sheetViews>
  <sheetFormatPr defaultRowHeight="12.75" x14ac:dyDescent="0.2"/>
  <cols>
    <col min="1" max="1" width="11.42578125" customWidth="1"/>
    <col min="2" max="2" width="15.28515625" customWidth="1"/>
    <col min="3" max="3" width="13.5703125" bestFit="1" customWidth="1"/>
    <col min="4" max="4" width="11.42578125" customWidth="1"/>
    <col min="5" max="5" width="15.28515625" customWidth="1"/>
    <col min="6" max="256" width="11.42578125" customWidth="1"/>
  </cols>
  <sheetData>
    <row r="2" spans="2:5" x14ac:dyDescent="0.2">
      <c r="B2" s="1" t="s">
        <v>78</v>
      </c>
    </row>
    <row r="5" spans="2:5" x14ac:dyDescent="0.2">
      <c r="B5" t="s">
        <v>86</v>
      </c>
      <c r="C5" s="43">
        <v>0.03</v>
      </c>
    </row>
    <row r="6" spans="2:5" x14ac:dyDescent="0.2">
      <c r="B6" s="4" t="s">
        <v>79</v>
      </c>
      <c r="C6" s="43">
        <v>0.25</v>
      </c>
    </row>
    <row r="7" spans="2:5" x14ac:dyDescent="0.2">
      <c r="B7" s="4" t="s">
        <v>100</v>
      </c>
      <c r="C7" s="43">
        <f>((1+C6)/(1+C5))-1</f>
        <v>0.21359223300970864</v>
      </c>
    </row>
    <row r="9" spans="2:5" x14ac:dyDescent="0.2">
      <c r="B9" t="s">
        <v>7</v>
      </c>
      <c r="C9" s="12">
        <f>NPV(C7,Flujo_Caja!D18:F18)+Flujo_Caja!C18</f>
        <v>9116501.4944076333</v>
      </c>
      <c r="E9" s="40" t="s">
        <v>111</v>
      </c>
    </row>
    <row r="10" spans="2:5" ht="13.5" thickBot="1" x14ac:dyDescent="0.25"/>
    <row r="11" spans="2:5" x14ac:dyDescent="0.2">
      <c r="B11" t="s">
        <v>8</v>
      </c>
      <c r="C11" s="2">
        <f>IRR(Flujo_Caja!C18:F18)</f>
        <v>5.4022567460787876</v>
      </c>
      <c r="E11" s="67" t="s">
        <v>108</v>
      </c>
    </row>
    <row r="12" spans="2:5" x14ac:dyDescent="0.2">
      <c r="E12" s="68"/>
    </row>
    <row r="13" spans="2:5" x14ac:dyDescent="0.2">
      <c r="B13" s="1" t="s">
        <v>80</v>
      </c>
      <c r="C13" s="1"/>
      <c r="E13" s="68" t="s">
        <v>109</v>
      </c>
    </row>
    <row r="14" spans="2:5" x14ac:dyDescent="0.2">
      <c r="E14" s="68"/>
    </row>
    <row r="15" spans="2:5" ht="13.5" thickBot="1" x14ac:dyDescent="0.25">
      <c r="B15" s="4" t="s">
        <v>81</v>
      </c>
      <c r="C15" s="12">
        <f>C9</f>
        <v>9116501.4944076333</v>
      </c>
      <c r="E15" s="69" t="s">
        <v>110</v>
      </c>
    </row>
    <row r="17" spans="2:3" x14ac:dyDescent="0.2">
      <c r="B17" s="4" t="s">
        <v>101</v>
      </c>
      <c r="C17" s="43">
        <f>Servicio_Deuda!C7</f>
        <v>0.16504854368932032</v>
      </c>
    </row>
    <row r="19" spans="2:3" x14ac:dyDescent="0.2">
      <c r="B19" s="4" t="s">
        <v>82</v>
      </c>
      <c r="C19" s="12">
        <f>NPV(C17,Flujo_Caja!D23:F23)</f>
        <v>12103.270759185416</v>
      </c>
    </row>
    <row r="21" spans="2:3" x14ac:dyDescent="0.2">
      <c r="B21" s="1" t="s">
        <v>83</v>
      </c>
      <c r="C21" s="38">
        <f>C9+C11</f>
        <v>9116506.8966643792</v>
      </c>
    </row>
    <row r="23" spans="2:3" x14ac:dyDescent="0.2">
      <c r="B23" s="4" t="s">
        <v>84</v>
      </c>
      <c r="C23" s="2">
        <f>IRR(Flujo_Caja!C31:F31)</f>
        <v>5.5037678848607268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Presupuesto_Ingresos</vt:lpstr>
      <vt:lpstr>Inversión</vt:lpstr>
      <vt:lpstr>Depreciación_VR</vt:lpstr>
      <vt:lpstr>Servicio_Deuda</vt:lpstr>
      <vt:lpstr>Estado_Resultados</vt:lpstr>
      <vt:lpstr>Flujo_Caja</vt:lpstr>
      <vt:lpstr>Rentabilidad</vt:lpstr>
    </vt:vector>
  </TitlesOfParts>
  <Company>JARDINES DEL PERU SRL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Dagoberto Díaz</dc:creator>
  <cp:lastModifiedBy>EDISON ACHALMA</cp:lastModifiedBy>
  <cp:lastPrinted>2002-05-09T18:47:01Z</cp:lastPrinted>
  <dcterms:created xsi:type="dcterms:W3CDTF">1998-11-05T04:20:26Z</dcterms:created>
  <dcterms:modified xsi:type="dcterms:W3CDTF">2021-08-03T16:57:48Z</dcterms:modified>
</cp:coreProperties>
</file>