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Homeworks/EVALUACION DE CASOS DE PROYECTOS NUEVOS/"/>
    </mc:Choice>
  </mc:AlternateContent>
  <xr:revisionPtr revIDLastSave="0" documentId="8_{92926CD8-1D65-43E9-BF4A-91A037EFBE5E}" xr6:coauthVersionLast="47" xr6:coauthVersionMax="47" xr10:uidLastSave="{00000000-0000-0000-0000-000000000000}"/>
  <bookViews>
    <workbookView xWindow="-120" yWindow="-16320" windowWidth="29040" windowHeight="15720" tabRatio="602" firstSheet="5" activeTab="11"/>
  </bookViews>
  <sheets>
    <sheet name="MENU" sheetId="11" r:id="rId1"/>
    <sheet name="Oferta M.P." sheetId="1" r:id="rId2"/>
    <sheet name="ProgramaProd." sheetId="2" r:id="rId3"/>
    <sheet name="INGR" sheetId="14" r:id="rId4"/>
    <sheet name="Inversion" sheetId="8" r:id="rId5"/>
    <sheet name="FINANCIAMIENTO" sheetId="21" r:id="rId6"/>
    <sheet name="DEP" sheetId="17" r:id="rId7"/>
    <sheet name="SUELDOS" sheetId="18" r:id="rId8"/>
    <sheet name="CUCACHIPA" sheetId="59" r:id="rId9"/>
    <sheet name="CUQUESOS" sheetId="53" r:id="rId10"/>
    <sheet name="CUYOGUR" sheetId="54" r:id="rId11"/>
    <sheet name="OPERACION" sheetId="16" r:id="rId12"/>
    <sheet name="EGP" sheetId="19" r:id="rId13"/>
    <sheet name="CV-CF" sheetId="25" r:id="rId14"/>
    <sheet name="P.E" sheetId="26" r:id="rId15"/>
    <sheet name="F.CAJA" sheetId="22" r:id="rId16"/>
    <sheet name="E.ECON" sheetId="24" r:id="rId17"/>
    <sheet name="sensib." sheetId="28" r:id="rId18"/>
    <sheet name="Hoja1" sheetId="63" r:id="rId19"/>
  </sheets>
  <definedNames>
    <definedName name="Precio_de_queso_fresco_150_gr__soles_kilo">MENU!$H$12</definedName>
    <definedName name="Precio_leche__soles_litro">MENU!$H$13</definedName>
    <definedName name="Precio_manjar__soles_kilo">MENU!$H$12</definedName>
    <definedName name="Precio_queso_soles_kilo">MENU!$H$10</definedName>
    <definedName name="Precio_yogur__soles_litro">MENU!$H$11</definedName>
    <definedName name="TIRE">MENU!$C$15</definedName>
    <definedName name="TIRF">MENU!$E$15</definedName>
    <definedName name="VANE">MENU!$C$13</definedName>
    <definedName name="VANF">MENU!$E$13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4" l="1"/>
  <c r="F23" i="14" s="1"/>
  <c r="D26" i="17"/>
  <c r="E26" i="17" s="1"/>
  <c r="F26" i="17" s="1"/>
  <c r="G26" i="17" s="1"/>
  <c r="H26" i="17" s="1"/>
  <c r="H17" i="17"/>
  <c r="G17" i="17"/>
  <c r="F17" i="17"/>
  <c r="E17" i="17"/>
  <c r="D17" i="17"/>
  <c r="C17" i="17"/>
  <c r="C10" i="17"/>
  <c r="D13" i="17"/>
  <c r="E13" i="17" s="1"/>
  <c r="F13" i="17" s="1"/>
  <c r="G13" i="17" s="1"/>
  <c r="H13" i="17" s="1"/>
  <c r="C15" i="21"/>
  <c r="C7" i="1"/>
  <c r="C8" i="1"/>
  <c r="C9" i="1"/>
  <c r="C10" i="1"/>
  <c r="C11" i="1"/>
  <c r="C12" i="1"/>
  <c r="C13" i="1"/>
  <c r="C14" i="1"/>
  <c r="C15" i="1"/>
  <c r="C16" i="1"/>
  <c r="C6" i="1"/>
  <c r="C66" i="16"/>
  <c r="C67" i="16"/>
  <c r="C25" i="19" s="1"/>
  <c r="E66" i="16"/>
  <c r="E67" i="16"/>
  <c r="C61" i="16"/>
  <c r="D63" i="16"/>
  <c r="E63" i="16" s="1"/>
  <c r="F63" i="16" s="1"/>
  <c r="G63" i="16" s="1"/>
  <c r="H63" i="16"/>
  <c r="D62" i="16"/>
  <c r="K5" i="1"/>
  <c r="L5" i="1" s="1"/>
  <c r="C7" i="18"/>
  <c r="D22" i="16"/>
  <c r="E22" i="16"/>
  <c r="F22" i="16"/>
  <c r="G22" i="16"/>
  <c r="H22" i="16"/>
  <c r="C22" i="16"/>
  <c r="K15" i="16" s="1"/>
  <c r="I28" i="1"/>
  <c r="I7" i="1"/>
  <c r="I8" i="1"/>
  <c r="I9" i="1"/>
  <c r="I10" i="1"/>
  <c r="I11" i="1"/>
  <c r="K11" i="1" s="1"/>
  <c r="I12" i="1"/>
  <c r="I13" i="1"/>
  <c r="I14" i="1"/>
  <c r="I15" i="1"/>
  <c r="I16" i="1"/>
  <c r="I6" i="1"/>
  <c r="J29" i="1"/>
  <c r="J30" i="1"/>
  <c r="J31" i="1"/>
  <c r="J32" i="1"/>
  <c r="J28" i="1"/>
  <c r="I5" i="22"/>
  <c r="C36" i="22"/>
  <c r="C31" i="22"/>
  <c r="D55" i="16"/>
  <c r="E55" i="16"/>
  <c r="F55" i="16" s="1"/>
  <c r="G55" i="16" s="1"/>
  <c r="H55" i="16" s="1"/>
  <c r="D12" i="59"/>
  <c r="F12" i="59" s="1"/>
  <c r="F11" i="59" s="1"/>
  <c r="E8" i="59"/>
  <c r="E7" i="59"/>
  <c r="F7" i="59"/>
  <c r="F6" i="59" s="1"/>
  <c r="F13" i="59" s="1"/>
  <c r="F15" i="59" s="1"/>
  <c r="D14" i="53"/>
  <c r="F14" i="53" s="1"/>
  <c r="F13" i="53" s="1"/>
  <c r="D12" i="53"/>
  <c r="F12" i="53" s="1"/>
  <c r="E8" i="53"/>
  <c r="F8" i="53"/>
  <c r="E7" i="53"/>
  <c r="F7" i="53"/>
  <c r="F6" i="53" s="1"/>
  <c r="D13" i="54"/>
  <c r="F13" i="54"/>
  <c r="F12" i="54"/>
  <c r="F11" i="54"/>
  <c r="E7" i="54"/>
  <c r="F7" i="54" s="1"/>
  <c r="E49" i="1"/>
  <c r="C60" i="1"/>
  <c r="C51" i="1"/>
  <c r="C52" i="1"/>
  <c r="C53" i="1"/>
  <c r="C54" i="1"/>
  <c r="C55" i="1"/>
  <c r="E55" i="1" s="1"/>
  <c r="F55" i="1" s="1"/>
  <c r="Q55" i="1"/>
  <c r="R55" i="1" s="1"/>
  <c r="C56" i="1"/>
  <c r="C57" i="1"/>
  <c r="E57" i="1" s="1"/>
  <c r="F57" i="1" s="1"/>
  <c r="Q57" i="1" s="1"/>
  <c r="R57" i="1" s="1"/>
  <c r="C58" i="1"/>
  <c r="C59" i="1"/>
  <c r="C50" i="1"/>
  <c r="E50" i="1" s="1"/>
  <c r="E27" i="1"/>
  <c r="F27" i="1"/>
  <c r="L11" i="1"/>
  <c r="M11" i="1" s="1"/>
  <c r="J6" i="1"/>
  <c r="C38" i="1"/>
  <c r="C29" i="1"/>
  <c r="C30" i="1"/>
  <c r="C31" i="1"/>
  <c r="C32" i="1"/>
  <c r="C33" i="1"/>
  <c r="E33" i="1"/>
  <c r="F33" i="1" s="1"/>
  <c r="C34" i="1"/>
  <c r="C35" i="1"/>
  <c r="C36" i="1"/>
  <c r="C37" i="1"/>
  <c r="C28" i="1"/>
  <c r="E28" i="1" s="1"/>
  <c r="D12" i="21"/>
  <c r="D15" i="21"/>
  <c r="E15" i="21" s="1"/>
  <c r="H15" i="21" s="1"/>
  <c r="D17" i="21"/>
  <c r="D18" i="21"/>
  <c r="D19" i="21"/>
  <c r="D20" i="21"/>
  <c r="D21" i="21"/>
  <c r="D22" i="21"/>
  <c r="E22" i="21" s="1"/>
  <c r="H22" i="21" s="1"/>
  <c r="D23" i="21"/>
  <c r="D24" i="21"/>
  <c r="D25" i="21"/>
  <c r="D30" i="21"/>
  <c r="D31" i="21"/>
  <c r="D32" i="21"/>
  <c r="D33" i="21"/>
  <c r="D34" i="21"/>
  <c r="D36" i="21"/>
  <c r="D37" i="21"/>
  <c r="D38" i="21"/>
  <c r="D39" i="21"/>
  <c r="E39" i="21" s="1"/>
  <c r="H39" i="21" s="1"/>
  <c r="D40" i="21"/>
  <c r="E40" i="21" s="1"/>
  <c r="H40" i="21" s="1"/>
  <c r="D41" i="21"/>
  <c r="E41" i="21" s="1"/>
  <c r="H41" i="21" s="1"/>
  <c r="D42" i="21"/>
  <c r="D43" i="21"/>
  <c r="D44" i="21"/>
  <c r="D46" i="21"/>
  <c r="D47" i="21"/>
  <c r="D48" i="21"/>
  <c r="D51" i="21"/>
  <c r="D52" i="21"/>
  <c r="D11" i="21"/>
  <c r="E11" i="21" s="1"/>
  <c r="C12" i="21"/>
  <c r="C14" i="21"/>
  <c r="C17" i="21"/>
  <c r="E17" i="21"/>
  <c r="C18" i="21"/>
  <c r="E18" i="21"/>
  <c r="H18" i="21" s="1"/>
  <c r="C19" i="21"/>
  <c r="E19" i="21"/>
  <c r="C20" i="21"/>
  <c r="E20" i="21" s="1"/>
  <c r="H20" i="21" s="1"/>
  <c r="C21" i="21"/>
  <c r="E21" i="21"/>
  <c r="H21" i="21" s="1"/>
  <c r="C22" i="21"/>
  <c r="C23" i="21"/>
  <c r="E23" i="21"/>
  <c r="H23" i="21" s="1"/>
  <c r="C24" i="21"/>
  <c r="E24" i="21" s="1"/>
  <c r="H24" i="21" s="1"/>
  <c r="C25" i="21"/>
  <c r="E25" i="21" s="1"/>
  <c r="H25" i="21" s="1"/>
  <c r="C26" i="21"/>
  <c r="C27" i="21"/>
  <c r="C28" i="21"/>
  <c r="C29" i="21"/>
  <c r="C30" i="21"/>
  <c r="E30" i="21"/>
  <c r="H30" i="21" s="1"/>
  <c r="C31" i="21"/>
  <c r="E31" i="21"/>
  <c r="H31" i="21" s="1"/>
  <c r="C32" i="21"/>
  <c r="E32" i="21" s="1"/>
  <c r="H32" i="21" s="1"/>
  <c r="C33" i="21"/>
  <c r="E33" i="21" s="1"/>
  <c r="H33" i="21" s="1"/>
  <c r="C34" i="21"/>
  <c r="E34" i="21"/>
  <c r="H34" i="21"/>
  <c r="C35" i="21"/>
  <c r="C36" i="21"/>
  <c r="E36" i="21" s="1"/>
  <c r="H36" i="21" s="1"/>
  <c r="C37" i="21"/>
  <c r="C38" i="21"/>
  <c r="E38" i="21"/>
  <c r="H38" i="21"/>
  <c r="C39" i="21"/>
  <c r="C40" i="21"/>
  <c r="C41" i="21"/>
  <c r="C42" i="21"/>
  <c r="E42" i="21" s="1"/>
  <c r="H42" i="21" s="1"/>
  <c r="C43" i="21"/>
  <c r="E43" i="21" s="1"/>
  <c r="H43" i="21" s="1"/>
  <c r="C44" i="21"/>
  <c r="E44" i="21"/>
  <c r="H44" i="21"/>
  <c r="C46" i="21"/>
  <c r="C47" i="21"/>
  <c r="E47" i="21" s="1"/>
  <c r="C48" i="21"/>
  <c r="E48" i="21" s="1"/>
  <c r="H48" i="21" s="1"/>
  <c r="C49" i="21"/>
  <c r="E49" i="21" s="1"/>
  <c r="H49" i="21" s="1"/>
  <c r="C50" i="21"/>
  <c r="C51" i="21"/>
  <c r="E51" i="21" s="1"/>
  <c r="H51" i="21" s="1"/>
  <c r="C52" i="21"/>
  <c r="C54" i="21"/>
  <c r="C55" i="21"/>
  <c r="C56" i="21"/>
  <c r="C11" i="21"/>
  <c r="F53" i="21"/>
  <c r="G45" i="21"/>
  <c r="F45" i="21"/>
  <c r="G9" i="21"/>
  <c r="E15" i="8"/>
  <c r="E12" i="8"/>
  <c r="E11" i="8"/>
  <c r="F46" i="16"/>
  <c r="F45" i="16"/>
  <c r="F44" i="16"/>
  <c r="F43" i="16"/>
  <c r="D69" i="8"/>
  <c r="E68" i="8"/>
  <c r="E67" i="8"/>
  <c r="E69" i="8" s="1"/>
  <c r="F63" i="8"/>
  <c r="F62" i="8"/>
  <c r="F61" i="8"/>
  <c r="F64" i="8" s="1"/>
  <c r="F49" i="1"/>
  <c r="Q49" i="1"/>
  <c r="D56" i="1"/>
  <c r="D50" i="1"/>
  <c r="D51" i="1" s="1"/>
  <c r="K27" i="1"/>
  <c r="J40" i="1" s="1"/>
  <c r="M27" i="1" s="1"/>
  <c r="N27" i="1" s="1"/>
  <c r="Q27" i="1" s="1"/>
  <c r="E11" i="1"/>
  <c r="F11" i="1" s="1"/>
  <c r="E5" i="1"/>
  <c r="F5" i="1"/>
  <c r="J34" i="1"/>
  <c r="D34" i="1"/>
  <c r="D28" i="1"/>
  <c r="D12" i="1"/>
  <c r="E12" i="1"/>
  <c r="F12" i="1" s="1"/>
  <c r="D6" i="1"/>
  <c r="G11" i="18"/>
  <c r="C11" i="26"/>
  <c r="C9" i="26"/>
  <c r="F35" i="16"/>
  <c r="F34" i="16"/>
  <c r="F36" i="16"/>
  <c r="F33" i="16"/>
  <c r="C17" i="16"/>
  <c r="C16" i="16"/>
  <c r="C15" i="16"/>
  <c r="E15" i="16" s="1"/>
  <c r="E8" i="18"/>
  <c r="G8" i="18"/>
  <c r="E11" i="18"/>
  <c r="E7" i="18"/>
  <c r="H6" i="14"/>
  <c r="H9" i="14"/>
  <c r="H12" i="14"/>
  <c r="E5" i="17"/>
  <c r="E47" i="8"/>
  <c r="E48" i="8"/>
  <c r="E51" i="8"/>
  <c r="E52" i="8"/>
  <c r="E46" i="8"/>
  <c r="E18" i="8"/>
  <c r="E19" i="8"/>
  <c r="E20" i="8"/>
  <c r="E21" i="8"/>
  <c r="E22" i="8"/>
  <c r="E23" i="8"/>
  <c r="E24" i="8"/>
  <c r="E25" i="8"/>
  <c r="E30" i="8"/>
  <c r="E31" i="8"/>
  <c r="E32" i="8"/>
  <c r="E33" i="8"/>
  <c r="E34" i="8"/>
  <c r="E36" i="8"/>
  <c r="E37" i="8"/>
  <c r="E38" i="8"/>
  <c r="E39" i="8"/>
  <c r="E40" i="8"/>
  <c r="E41" i="8"/>
  <c r="E42" i="8"/>
  <c r="E43" i="8"/>
  <c r="E44" i="8"/>
  <c r="E17" i="8"/>
  <c r="F11" i="53"/>
  <c r="F10" i="59"/>
  <c r="F9" i="59"/>
  <c r="F8" i="59"/>
  <c r="D50" i="8"/>
  <c r="D50" i="21"/>
  <c r="E50" i="21" s="1"/>
  <c r="H50" i="21" s="1"/>
  <c r="D49" i="8"/>
  <c r="E49" i="8"/>
  <c r="D35" i="8"/>
  <c r="D35" i="21" s="1"/>
  <c r="E35" i="21"/>
  <c r="H35" i="21" s="1"/>
  <c r="D29" i="8"/>
  <c r="D29" i="21"/>
  <c r="D28" i="8"/>
  <c r="D28" i="21" s="1"/>
  <c r="E28" i="21"/>
  <c r="H28" i="21" s="1"/>
  <c r="D27" i="8"/>
  <c r="D26" i="8"/>
  <c r="E26" i="8" s="1"/>
  <c r="F9" i="53"/>
  <c r="F10" i="53"/>
  <c r="C10" i="26"/>
  <c r="D12" i="14"/>
  <c r="E12" i="14"/>
  <c r="F12" i="14"/>
  <c r="G12" i="14"/>
  <c r="C12" i="14"/>
  <c r="D9" i="14"/>
  <c r="E9" i="14"/>
  <c r="F9" i="14"/>
  <c r="G9" i="14"/>
  <c r="C9" i="14"/>
  <c r="D6" i="14"/>
  <c r="E6" i="14"/>
  <c r="F6" i="14"/>
  <c r="G6" i="14"/>
  <c r="C6" i="14"/>
  <c r="F8" i="54"/>
  <c r="F9" i="54"/>
  <c r="F10" i="54"/>
  <c r="D5" i="24"/>
  <c r="D22" i="24" s="1"/>
  <c r="D39" i="24" s="1"/>
  <c r="D22" i="17"/>
  <c r="E22" i="17" s="1"/>
  <c r="C13" i="22"/>
  <c r="C8" i="22"/>
  <c r="E6" i="17"/>
  <c r="D8" i="18"/>
  <c r="D9" i="18"/>
  <c r="E9" i="18"/>
  <c r="C10" i="18"/>
  <c r="D10" i="18"/>
  <c r="C12" i="18"/>
  <c r="D13" i="18"/>
  <c r="D12" i="18" s="1"/>
  <c r="G13" i="18"/>
  <c r="E13" i="18"/>
  <c r="E12" i="18" s="1"/>
  <c r="F14" i="18"/>
  <c r="H10" i="18"/>
  <c r="F37" i="16"/>
  <c r="E23" i="16" s="1"/>
  <c r="J12" i="1"/>
  <c r="D28" i="22"/>
  <c r="H28" i="22"/>
  <c r="D40" i="22"/>
  <c r="E28" i="22"/>
  <c r="F28" i="22"/>
  <c r="I33" i="22"/>
  <c r="E40" i="22"/>
  <c r="G28" i="22"/>
  <c r="I28" i="22"/>
  <c r="F40" i="22"/>
  <c r="G40" i="22"/>
  <c r="H40" i="22"/>
  <c r="I40" i="22"/>
  <c r="E62" i="16"/>
  <c r="F62" i="16"/>
  <c r="G62" i="16" s="1"/>
  <c r="H62" i="16" s="1"/>
  <c r="E56" i="1"/>
  <c r="F56" i="1" s="1"/>
  <c r="Q56" i="1"/>
  <c r="R56" i="1" s="1"/>
  <c r="D57" i="1"/>
  <c r="J35" i="1"/>
  <c r="J36" i="1" s="1"/>
  <c r="J37" i="1" s="1"/>
  <c r="J38" i="1" s="1"/>
  <c r="L27" i="1"/>
  <c r="D29" i="1"/>
  <c r="E29" i="1" s="1"/>
  <c r="F29" i="1" s="1"/>
  <c r="J7" i="1"/>
  <c r="J8" i="1" s="1"/>
  <c r="K6" i="1"/>
  <c r="L6" i="1" s="1"/>
  <c r="D58" i="1"/>
  <c r="D30" i="1"/>
  <c r="D31" i="1" s="1"/>
  <c r="E30" i="1"/>
  <c r="F30" i="1" s="1"/>
  <c r="K7" i="1"/>
  <c r="G53" i="21"/>
  <c r="G57" i="21"/>
  <c r="K9" i="21" s="1"/>
  <c r="H23" i="14"/>
  <c r="G23" i="14"/>
  <c r="H23" i="16"/>
  <c r="E29" i="8"/>
  <c r="D49" i="21"/>
  <c r="E28" i="8"/>
  <c r="E46" i="21"/>
  <c r="H46" i="21" s="1"/>
  <c r="E37" i="21"/>
  <c r="H37" i="21" s="1"/>
  <c r="E52" i="21"/>
  <c r="H52" i="21" s="1"/>
  <c r="E12" i="21"/>
  <c r="F12" i="21" s="1"/>
  <c r="E35" i="8"/>
  <c r="E50" i="8"/>
  <c r="F15" i="16"/>
  <c r="E29" i="21"/>
  <c r="H29" i="21" s="1"/>
  <c r="F23" i="16"/>
  <c r="H66" i="16"/>
  <c r="H67" i="16"/>
  <c r="F66" i="16"/>
  <c r="F67" i="16"/>
  <c r="E23" i="14"/>
  <c r="D23" i="14"/>
  <c r="E10" i="18"/>
  <c r="C14" i="18"/>
  <c r="H19" i="21"/>
  <c r="L7" i="1"/>
  <c r="J18" i="1"/>
  <c r="G9" i="18"/>
  <c r="D7" i="18"/>
  <c r="D14" i="18"/>
  <c r="D13" i="1"/>
  <c r="D14" i="1" s="1"/>
  <c r="H9" i="18"/>
  <c r="I9" i="18" s="1"/>
  <c r="N11" i="1"/>
  <c r="E13" i="1"/>
  <c r="F13" i="1" s="1"/>
  <c r="R27" i="1"/>
  <c r="D39" i="22"/>
  <c r="D25" i="19"/>
  <c r="G15" i="16"/>
  <c r="D15" i="16"/>
  <c r="C23" i="16"/>
  <c r="D17" i="16"/>
  <c r="D23" i="16"/>
  <c r="D66" i="16"/>
  <c r="D67" i="16"/>
  <c r="G66" i="16"/>
  <c r="G67" i="16" s="1"/>
  <c r="H15" i="16"/>
  <c r="G23" i="16"/>
  <c r="E39" i="22"/>
  <c r="E25" i="19"/>
  <c r="F25" i="19" s="1"/>
  <c r="G39" i="22" s="1"/>
  <c r="G25" i="19"/>
  <c r="H25" i="19" s="1"/>
  <c r="I39" i="22" s="1"/>
  <c r="H39" i="22"/>
  <c r="N7" i="1" l="1"/>
  <c r="M7" i="1"/>
  <c r="E16" i="16"/>
  <c r="G16" i="16"/>
  <c r="F16" i="16"/>
  <c r="H16" i="16"/>
  <c r="D16" i="16"/>
  <c r="I11" i="18"/>
  <c r="I10" i="18" s="1"/>
  <c r="G10" i="18"/>
  <c r="H47" i="21"/>
  <c r="E45" i="21"/>
  <c r="E31" i="1"/>
  <c r="F31" i="1" s="1"/>
  <c r="D32" i="1"/>
  <c r="E32" i="1" s="1"/>
  <c r="F32" i="1" s="1"/>
  <c r="G12" i="18"/>
  <c r="H13" i="18"/>
  <c r="H12" i="18" s="1"/>
  <c r="F17" i="16"/>
  <c r="G17" i="16"/>
  <c r="E17" i="16"/>
  <c r="H17" i="16"/>
  <c r="E10" i="8"/>
  <c r="E15" i="1"/>
  <c r="F15" i="1" s="1"/>
  <c r="D15" i="1"/>
  <c r="D16" i="1" s="1"/>
  <c r="E16" i="1" s="1"/>
  <c r="F16" i="1" s="1"/>
  <c r="E14" i="1"/>
  <c r="F14" i="1" s="1"/>
  <c r="D7" i="1"/>
  <c r="D8" i="1" s="1"/>
  <c r="E6" i="1"/>
  <c r="F39" i="22"/>
  <c r="F28" i="1"/>
  <c r="E10" i="21"/>
  <c r="F11" i="21"/>
  <c r="Q11" i="1"/>
  <c r="F6" i="54"/>
  <c r="F14" i="54" s="1"/>
  <c r="F16" i="54" s="1"/>
  <c r="I35" i="22"/>
  <c r="D14" i="8"/>
  <c r="F47" i="16"/>
  <c r="F50" i="1"/>
  <c r="C64" i="16"/>
  <c r="C24" i="19" s="1"/>
  <c r="D61" i="16"/>
  <c r="H45" i="21"/>
  <c r="J13" i="1"/>
  <c r="K12" i="1"/>
  <c r="L12" i="1" s="1"/>
  <c r="T27" i="1"/>
  <c r="S27" i="1"/>
  <c r="D59" i="1"/>
  <c r="E58" i="1"/>
  <c r="F58" i="1" s="1"/>
  <c r="Q58" i="1" s="1"/>
  <c r="R58" i="1" s="1"/>
  <c r="E16" i="8"/>
  <c r="C6" i="17" s="1"/>
  <c r="E14" i="18"/>
  <c r="D52" i="1"/>
  <c r="E51" i="1"/>
  <c r="F51" i="1" s="1"/>
  <c r="Q51" i="1" s="1"/>
  <c r="R51" i="1" s="1"/>
  <c r="F15" i="53"/>
  <c r="F17" i="53" s="1"/>
  <c r="I29" i="1"/>
  <c r="K28" i="1"/>
  <c r="M6" i="1"/>
  <c r="N6" i="1" s="1"/>
  <c r="D27" i="21"/>
  <c r="E27" i="21" s="1"/>
  <c r="H27" i="21" s="1"/>
  <c r="E27" i="8"/>
  <c r="M5" i="1"/>
  <c r="N5" i="1" s="1"/>
  <c r="K8" i="1"/>
  <c r="J9" i="1"/>
  <c r="E45" i="8"/>
  <c r="C22" i="17" s="1"/>
  <c r="F22" i="17" s="1"/>
  <c r="H8" i="18"/>
  <c r="H7" i="18" s="1"/>
  <c r="H14" i="18" s="1"/>
  <c r="I8" i="18"/>
  <c r="I7" i="18" s="1"/>
  <c r="G7" i="18"/>
  <c r="D35" i="1"/>
  <c r="E34" i="1"/>
  <c r="F34" i="1" s="1"/>
  <c r="R49" i="1"/>
  <c r="H17" i="21"/>
  <c r="D26" i="21"/>
  <c r="E26" i="21" s="1"/>
  <c r="H26" i="21" l="1"/>
  <c r="E16" i="21"/>
  <c r="Q5" i="1"/>
  <c r="H9" i="21"/>
  <c r="C7" i="17"/>
  <c r="F6" i="17"/>
  <c r="F7" i="17" s="1"/>
  <c r="D57" i="16"/>
  <c r="E57" i="16"/>
  <c r="F57" i="16"/>
  <c r="C57" i="16"/>
  <c r="G57" i="16"/>
  <c r="H57" i="16"/>
  <c r="F48" i="16"/>
  <c r="F6" i="1"/>
  <c r="E22" i="18"/>
  <c r="H22" i="18"/>
  <c r="F22" i="18"/>
  <c r="D22" i="18"/>
  <c r="G22" i="18"/>
  <c r="I22" i="18"/>
  <c r="D14" i="21"/>
  <c r="E14" i="21" s="1"/>
  <c r="E14" i="8"/>
  <c r="E8" i="1"/>
  <c r="F8" i="1" s="1"/>
  <c r="D9" i="1"/>
  <c r="K9" i="1"/>
  <c r="L9" i="1" s="1"/>
  <c r="J10" i="1"/>
  <c r="K10" i="1" s="1"/>
  <c r="L10" i="1" s="1"/>
  <c r="E61" i="16"/>
  <c r="D64" i="16"/>
  <c r="E59" i="1"/>
  <c r="F59" i="1" s="1"/>
  <c r="Q59" i="1" s="1"/>
  <c r="R59" i="1" s="1"/>
  <c r="D60" i="1"/>
  <c r="E60" i="1" s="1"/>
  <c r="F60" i="1" s="1"/>
  <c r="Q60" i="1" s="1"/>
  <c r="R60" i="1" s="1"/>
  <c r="L8" i="1"/>
  <c r="K29" i="1"/>
  <c r="L29" i="1" s="1"/>
  <c r="I30" i="1"/>
  <c r="D38" i="22"/>
  <c r="D24" i="19"/>
  <c r="D27" i="17"/>
  <c r="D18" i="16" s="1"/>
  <c r="F27" i="17"/>
  <c r="F18" i="16" s="1"/>
  <c r="C27" i="17"/>
  <c r="C18" i="16" s="1"/>
  <c r="E27" i="17"/>
  <c r="E18" i="16" s="1"/>
  <c r="H27" i="17"/>
  <c r="H18" i="16" s="1"/>
  <c r="G27" i="17"/>
  <c r="G18" i="16" s="1"/>
  <c r="L28" i="1"/>
  <c r="E7" i="1"/>
  <c r="F7" i="1" s="1"/>
  <c r="Q7" i="1" s="1"/>
  <c r="E35" i="1"/>
  <c r="F35" i="1" s="1"/>
  <c r="D36" i="1"/>
  <c r="M12" i="1"/>
  <c r="N12" i="1" s="1"/>
  <c r="Q12" i="1" s="1"/>
  <c r="Q50" i="1"/>
  <c r="I23" i="18"/>
  <c r="F23" i="18"/>
  <c r="H23" i="18"/>
  <c r="G23" i="18"/>
  <c r="D23" i="18"/>
  <c r="E23" i="18"/>
  <c r="G14" i="18"/>
  <c r="D53" i="1"/>
  <c r="E52" i="1"/>
  <c r="F52" i="1" s="1"/>
  <c r="Q52" i="1" s="1"/>
  <c r="R52" i="1" s="1"/>
  <c r="J14" i="1"/>
  <c r="K13" i="1"/>
  <c r="L13" i="1" s="1"/>
  <c r="T11" i="1"/>
  <c r="R11" i="1"/>
  <c r="S11" i="1"/>
  <c r="I13" i="18"/>
  <c r="I12" i="18" s="1"/>
  <c r="R7" i="1" l="1"/>
  <c r="S7" i="1"/>
  <c r="T7" i="1"/>
  <c r="R12" i="1"/>
  <c r="T12" i="1"/>
  <c r="S12" i="1"/>
  <c r="R50" i="1"/>
  <c r="M28" i="1"/>
  <c r="N28" i="1"/>
  <c r="G10" i="16"/>
  <c r="M8" i="1"/>
  <c r="E13" i="21"/>
  <c r="E9" i="21" s="1"/>
  <c r="E8" i="21" s="1"/>
  <c r="F14" i="21"/>
  <c r="F9" i="21" s="1"/>
  <c r="F57" i="21" s="1"/>
  <c r="T5" i="1"/>
  <c r="R5" i="1"/>
  <c r="S5" i="1"/>
  <c r="J15" i="1"/>
  <c r="K14" i="1"/>
  <c r="L14" i="1" s="1"/>
  <c r="F25" i="18"/>
  <c r="E10" i="16"/>
  <c r="E53" i="1"/>
  <c r="F53" i="1" s="1"/>
  <c r="D54" i="1"/>
  <c r="E54" i="1" s="1"/>
  <c r="F54" i="1" s="1"/>
  <c r="Q54" i="1" s="1"/>
  <c r="R54" i="1" s="1"/>
  <c r="H10" i="16"/>
  <c r="G24" i="18"/>
  <c r="I24" i="18"/>
  <c r="I25" i="18" s="1"/>
  <c r="E24" i="18"/>
  <c r="H24" i="18"/>
  <c r="H25" i="18" s="1"/>
  <c r="D24" i="18"/>
  <c r="D25" i="18" s="1"/>
  <c r="F24" i="18"/>
  <c r="I12" i="22"/>
  <c r="E13" i="8"/>
  <c r="E9" i="8" s="1"/>
  <c r="E8" i="8" s="1"/>
  <c r="C29" i="22"/>
  <c r="C28" i="22" s="1"/>
  <c r="C41" i="22" s="1"/>
  <c r="K30" i="1"/>
  <c r="I31" i="1"/>
  <c r="E64" i="16"/>
  <c r="F61" i="16"/>
  <c r="F10" i="16"/>
  <c r="G25" i="18"/>
  <c r="Q6" i="1"/>
  <c r="D10" i="1"/>
  <c r="E10" i="1" s="1"/>
  <c r="F10" i="1" s="1"/>
  <c r="E9" i="1"/>
  <c r="F9" i="1" s="1"/>
  <c r="F17" i="1" s="1"/>
  <c r="E14" i="16"/>
  <c r="E19" i="16" s="1"/>
  <c r="C14" i="16"/>
  <c r="C19" i="16" s="1"/>
  <c r="H14" i="16"/>
  <c r="H19" i="16" s="1"/>
  <c r="F14" i="16"/>
  <c r="F19" i="16" s="1"/>
  <c r="D14" i="16"/>
  <c r="D19" i="16" s="1"/>
  <c r="G14" i="16"/>
  <c r="G19" i="16" s="1"/>
  <c r="D37" i="1"/>
  <c r="E36" i="1"/>
  <c r="M29" i="1"/>
  <c r="N29" i="1" s="1"/>
  <c r="Q29" i="1" s="1"/>
  <c r="M10" i="1"/>
  <c r="N10" i="1" s="1"/>
  <c r="Q10" i="1" s="1"/>
  <c r="I14" i="18"/>
  <c r="E14" i="17"/>
  <c r="E11" i="16" s="1"/>
  <c r="F14" i="17"/>
  <c r="F11" i="16" s="1"/>
  <c r="C14" i="17"/>
  <c r="C11" i="16" s="1"/>
  <c r="C30" i="25" s="1"/>
  <c r="G14" i="17"/>
  <c r="G11" i="16" s="1"/>
  <c r="D14" i="17"/>
  <c r="D11" i="16" s="1"/>
  <c r="H14" i="17"/>
  <c r="H11" i="16" s="1"/>
  <c r="E38" i="22"/>
  <c r="E24" i="19"/>
  <c r="E25" i="18"/>
  <c r="D10" i="16"/>
  <c r="M13" i="1"/>
  <c r="N13" i="1"/>
  <c r="Q13" i="1" s="1"/>
  <c r="M9" i="1"/>
  <c r="N9" i="1" s="1"/>
  <c r="Q9" i="1" s="1"/>
  <c r="C10" i="16"/>
  <c r="G6" i="17"/>
  <c r="G7" i="17" s="1"/>
  <c r="I11" i="22" s="1"/>
  <c r="T10" i="1" l="1"/>
  <c r="R10" i="1"/>
  <c r="S10" i="1"/>
  <c r="T29" i="1"/>
  <c r="R29" i="1"/>
  <c r="S29" i="1"/>
  <c r="R9" i="1"/>
  <c r="S9" i="1"/>
  <c r="T9" i="1"/>
  <c r="F24" i="19"/>
  <c r="F38" i="22"/>
  <c r="H15" i="22"/>
  <c r="G9" i="19"/>
  <c r="C29" i="25"/>
  <c r="C31" i="25" s="1"/>
  <c r="D6" i="26" s="1"/>
  <c r="K11" i="16"/>
  <c r="E37" i="1"/>
  <c r="F37" i="1" s="1"/>
  <c r="D38" i="1"/>
  <c r="E38" i="1" s="1"/>
  <c r="F38" i="1" s="1"/>
  <c r="K31" i="1"/>
  <c r="L31" i="1" s="1"/>
  <c r="I32" i="1"/>
  <c r="F9" i="19"/>
  <c r="G15" i="22"/>
  <c r="R6" i="1"/>
  <c r="T6" i="1"/>
  <c r="S6" i="1"/>
  <c r="L30" i="1"/>
  <c r="Q53" i="1"/>
  <c r="F61" i="1"/>
  <c r="I15" i="22"/>
  <c r="H9" i="19"/>
  <c r="C51" i="22"/>
  <c r="K8" i="21"/>
  <c r="F58" i="21"/>
  <c r="T13" i="1"/>
  <c r="S13" i="1"/>
  <c r="R13" i="1"/>
  <c r="D15" i="22"/>
  <c r="C9" i="19"/>
  <c r="C6" i="22"/>
  <c r="M14" i="1"/>
  <c r="N14" i="1"/>
  <c r="Q14" i="1" s="1"/>
  <c r="F21" i="16"/>
  <c r="F24" i="16" s="1"/>
  <c r="F10" i="19" s="1"/>
  <c r="G16" i="22" s="1"/>
  <c r="E21" i="16"/>
  <c r="E24" i="16" s="1"/>
  <c r="E10" i="19" s="1"/>
  <c r="F16" i="22" s="1"/>
  <c r="C21" i="16"/>
  <c r="C24" i="16" s="1"/>
  <c r="C10" i="19" s="1"/>
  <c r="D16" i="22" s="1"/>
  <c r="H21" i="16"/>
  <c r="H24" i="16" s="1"/>
  <c r="H10" i="19" s="1"/>
  <c r="I16" i="22" s="1"/>
  <c r="D21" i="16"/>
  <c r="D24" i="16" s="1"/>
  <c r="D10" i="19" s="1"/>
  <c r="E16" i="22" s="1"/>
  <c r="G21" i="16"/>
  <c r="G24" i="16" s="1"/>
  <c r="G10" i="19" s="1"/>
  <c r="H16" i="22" s="1"/>
  <c r="F15" i="22"/>
  <c r="E9" i="19"/>
  <c r="E17" i="1"/>
  <c r="K15" i="1"/>
  <c r="J16" i="1"/>
  <c r="K16" i="1" s="1"/>
  <c r="L16" i="1" s="1"/>
  <c r="Q28" i="1"/>
  <c r="F64" i="16"/>
  <c r="G61" i="16"/>
  <c r="E15" i="22"/>
  <c r="D9" i="19"/>
  <c r="F36" i="1"/>
  <c r="F39" i="1" s="1"/>
  <c r="E39" i="1"/>
  <c r="E61" i="1"/>
  <c r="N8" i="1"/>
  <c r="S14" i="1" l="1"/>
  <c r="T14" i="1"/>
  <c r="R14" i="1"/>
  <c r="R28" i="1"/>
  <c r="S28" i="1"/>
  <c r="T28" i="1"/>
  <c r="R53" i="1"/>
  <c r="R61" i="1" s="1"/>
  <c r="D19" i="2" s="1"/>
  <c r="Q61" i="1"/>
  <c r="C19" i="2" s="1"/>
  <c r="C20" i="2" s="1"/>
  <c r="C21" i="2" s="1"/>
  <c r="C22" i="2" s="1"/>
  <c r="C23" i="2" s="1"/>
  <c r="C24" i="2" s="1"/>
  <c r="K32" i="1"/>
  <c r="I33" i="1"/>
  <c r="M30" i="1"/>
  <c r="N30" i="1" s="1"/>
  <c r="N31" i="1"/>
  <c r="Q31" i="1" s="1"/>
  <c r="M31" i="1"/>
  <c r="M16" i="1"/>
  <c r="L15" i="1"/>
  <c r="K17" i="1"/>
  <c r="G38" i="22"/>
  <c r="G24" i="19"/>
  <c r="H61" i="16"/>
  <c r="H64" i="16" s="1"/>
  <c r="G64" i="16"/>
  <c r="Q8" i="1"/>
  <c r="Q30" i="1" l="1"/>
  <c r="N16" i="1"/>
  <c r="Q16" i="1" s="1"/>
  <c r="L32" i="1"/>
  <c r="R31" i="1"/>
  <c r="S31" i="1"/>
  <c r="T31" i="1"/>
  <c r="M15" i="1"/>
  <c r="M17" i="1" s="1"/>
  <c r="L17" i="1"/>
  <c r="H24" i="19"/>
  <c r="I38" i="22" s="1"/>
  <c r="H38" i="22"/>
  <c r="D20" i="2"/>
  <c r="C22" i="14"/>
  <c r="C24" i="14" s="1"/>
  <c r="C25" i="14" s="1"/>
  <c r="C21" i="19" s="1"/>
  <c r="C58" i="16"/>
  <c r="C59" i="16" s="1"/>
  <c r="T8" i="1"/>
  <c r="S8" i="1"/>
  <c r="R8" i="1"/>
  <c r="I34" i="1"/>
  <c r="K33" i="1"/>
  <c r="L33" i="1" s="1"/>
  <c r="C22" i="19" l="1"/>
  <c r="D37" i="22"/>
  <c r="D36" i="22" s="1"/>
  <c r="C68" i="16"/>
  <c r="M32" i="1"/>
  <c r="N32" i="1"/>
  <c r="N15" i="1"/>
  <c r="T16" i="1"/>
  <c r="R16" i="1"/>
  <c r="S16" i="1"/>
  <c r="C23" i="19"/>
  <c r="C26" i="19" s="1"/>
  <c r="C28" i="19" s="1"/>
  <c r="D32" i="22"/>
  <c r="D31" i="22" s="1"/>
  <c r="D41" i="22" s="1"/>
  <c r="N33" i="1"/>
  <c r="Q33" i="1" s="1"/>
  <c r="M33" i="1"/>
  <c r="D21" i="2"/>
  <c r="D22" i="14"/>
  <c r="D24" i="14" s="1"/>
  <c r="D25" i="14" s="1"/>
  <c r="D21" i="19" s="1"/>
  <c r="D58" i="16"/>
  <c r="D59" i="16" s="1"/>
  <c r="I35" i="1"/>
  <c r="K34" i="1"/>
  <c r="L34" i="1" s="1"/>
  <c r="T30" i="1"/>
  <c r="S30" i="1"/>
  <c r="R30" i="1"/>
  <c r="S33" i="1" l="1"/>
  <c r="R33" i="1"/>
  <c r="T33" i="1"/>
  <c r="Q32" i="1"/>
  <c r="E37" i="22"/>
  <c r="E36" i="22" s="1"/>
  <c r="D68" i="16"/>
  <c r="D22" i="19"/>
  <c r="E32" i="22"/>
  <c r="E31" i="22" s="1"/>
  <c r="D23" i="19"/>
  <c r="D26" i="19" s="1"/>
  <c r="D28" i="19" s="1"/>
  <c r="E22" i="14"/>
  <c r="E24" i="14" s="1"/>
  <c r="E25" i="14" s="1"/>
  <c r="E21" i="19" s="1"/>
  <c r="D22" i="2"/>
  <c r="E58" i="16"/>
  <c r="E59" i="16" s="1"/>
  <c r="Q15" i="1"/>
  <c r="N17" i="1"/>
  <c r="D51" i="22"/>
  <c r="M34" i="1"/>
  <c r="N34" i="1" s="1"/>
  <c r="K35" i="1"/>
  <c r="I36" i="1"/>
  <c r="Q34" i="1" l="1"/>
  <c r="D23" i="2"/>
  <c r="F22" i="14"/>
  <c r="F24" i="14" s="1"/>
  <c r="F25" i="14" s="1"/>
  <c r="F21" i="19" s="1"/>
  <c r="F58" i="16"/>
  <c r="F59" i="16" s="1"/>
  <c r="E23" i="19"/>
  <c r="E26" i="19" s="1"/>
  <c r="E28" i="19" s="1"/>
  <c r="F32" i="22"/>
  <c r="F31" i="22" s="1"/>
  <c r="F41" i="22" s="1"/>
  <c r="F51" i="22" s="1"/>
  <c r="E41" i="22"/>
  <c r="T32" i="1"/>
  <c r="R32" i="1"/>
  <c r="S32" i="1"/>
  <c r="I37" i="1"/>
  <c r="K36" i="1"/>
  <c r="L36" i="1" s="1"/>
  <c r="S15" i="1"/>
  <c r="S17" i="1" s="1"/>
  <c r="E6" i="2" s="1"/>
  <c r="C5" i="14" s="1"/>
  <c r="R15" i="1"/>
  <c r="R17" i="1" s="1"/>
  <c r="D6" i="2" s="1"/>
  <c r="C11" i="14" s="1"/>
  <c r="T15" i="1"/>
  <c r="T17" i="1" s="1"/>
  <c r="F6" i="2" s="1"/>
  <c r="C8" i="14" s="1"/>
  <c r="Q17" i="1"/>
  <c r="C6" i="2" s="1"/>
  <c r="D14" i="2" s="1"/>
  <c r="L35" i="1"/>
  <c r="E22" i="19"/>
  <c r="E68" i="16"/>
  <c r="F37" i="22"/>
  <c r="F36" i="22" s="1"/>
  <c r="F68" i="16" l="1"/>
  <c r="G37" i="22"/>
  <c r="G36" i="22" s="1"/>
  <c r="F22" i="19"/>
  <c r="C7" i="14"/>
  <c r="C17" i="14"/>
  <c r="C6" i="25"/>
  <c r="C8" i="16"/>
  <c r="F23" i="19"/>
  <c r="F26" i="19" s="1"/>
  <c r="F28" i="19" s="1"/>
  <c r="G32" i="22"/>
  <c r="G31" i="22" s="1"/>
  <c r="E51" i="22"/>
  <c r="I38" i="1"/>
  <c r="K38" i="1" s="1"/>
  <c r="K37" i="1"/>
  <c r="L37" i="1" s="1"/>
  <c r="M35" i="1"/>
  <c r="N35" i="1" s="1"/>
  <c r="G22" i="14"/>
  <c r="G24" i="14" s="1"/>
  <c r="G25" i="14" s="1"/>
  <c r="G21" i="19" s="1"/>
  <c r="D24" i="2"/>
  <c r="G58" i="16"/>
  <c r="G59" i="16" s="1"/>
  <c r="C13" i="14"/>
  <c r="C7" i="25"/>
  <c r="C7" i="16"/>
  <c r="M36" i="1"/>
  <c r="N36" i="1" s="1"/>
  <c r="Q36" i="1" s="1"/>
  <c r="C5" i="25"/>
  <c r="C10" i="14"/>
  <c r="C9" i="16"/>
  <c r="T34" i="1"/>
  <c r="S34" i="1"/>
  <c r="R34" i="1"/>
  <c r="R36" i="1" l="1"/>
  <c r="T36" i="1"/>
  <c r="S36" i="1"/>
  <c r="Q35" i="1"/>
  <c r="C12" i="16"/>
  <c r="D54" i="8"/>
  <c r="C15" i="25"/>
  <c r="C14" i="25" s="1"/>
  <c r="D56" i="8"/>
  <c r="C18" i="25"/>
  <c r="C17" i="25" s="1"/>
  <c r="C19" i="25" s="1"/>
  <c r="D10" i="26" s="1"/>
  <c r="E10" i="26" s="1"/>
  <c r="C21" i="26" s="1"/>
  <c r="M37" i="1"/>
  <c r="N37" i="1"/>
  <c r="Q37" i="1" s="1"/>
  <c r="L38" i="1"/>
  <c r="K39" i="1"/>
  <c r="G22" i="19"/>
  <c r="G23" i="19" s="1"/>
  <c r="G26" i="19" s="1"/>
  <c r="G28" i="19" s="1"/>
  <c r="H37" i="22"/>
  <c r="H36" i="22" s="1"/>
  <c r="G68" i="16"/>
  <c r="C8" i="25"/>
  <c r="D8" i="25" s="1"/>
  <c r="F12" i="26" s="1"/>
  <c r="D6" i="25"/>
  <c r="F10" i="26" s="1"/>
  <c r="D21" i="26" s="1"/>
  <c r="D55" i="8"/>
  <c r="C21" i="25"/>
  <c r="C20" i="25" s="1"/>
  <c r="C22" i="25" s="1"/>
  <c r="D11" i="26" s="1"/>
  <c r="E11" i="26" s="1"/>
  <c r="C22" i="26" s="1"/>
  <c r="C14" i="14"/>
  <c r="C6" i="19" s="1"/>
  <c r="H22" i="14"/>
  <c r="H24" i="14" s="1"/>
  <c r="H25" i="14" s="1"/>
  <c r="H21" i="19" s="1"/>
  <c r="H58" i="16"/>
  <c r="H59" i="16" s="1"/>
  <c r="H32" i="22"/>
  <c r="H31" i="22" s="1"/>
  <c r="H41" i="22" s="1"/>
  <c r="H51" i="22" s="1"/>
  <c r="G41" i="22"/>
  <c r="C23" i="25" l="1"/>
  <c r="C16" i="25"/>
  <c r="D9" i="26" s="1"/>
  <c r="E9" i="26" s="1"/>
  <c r="C20" i="26" s="1"/>
  <c r="D54" i="21"/>
  <c r="E54" i="21" s="1"/>
  <c r="E54" i="8"/>
  <c r="E53" i="8" s="1"/>
  <c r="D9" i="22"/>
  <c r="D8" i="22" s="1"/>
  <c r="C8" i="19"/>
  <c r="C11" i="19" s="1"/>
  <c r="D55" i="21"/>
  <c r="E55" i="21" s="1"/>
  <c r="H55" i="21" s="1"/>
  <c r="E55" i="8"/>
  <c r="G51" i="22"/>
  <c r="S37" i="1"/>
  <c r="T37" i="1"/>
  <c r="R37" i="1"/>
  <c r="D5" i="25"/>
  <c r="F9" i="26" s="1"/>
  <c r="D20" i="26" s="1"/>
  <c r="S35" i="1"/>
  <c r="R35" i="1"/>
  <c r="T35" i="1"/>
  <c r="M38" i="1"/>
  <c r="M39" i="1" s="1"/>
  <c r="L39" i="1"/>
  <c r="E21" i="26"/>
  <c r="C7" i="19"/>
  <c r="C25" i="16"/>
  <c r="D14" i="22"/>
  <c r="H22" i="19"/>
  <c r="H23" i="19" s="1"/>
  <c r="H26" i="19" s="1"/>
  <c r="H28" i="19" s="1"/>
  <c r="H68" i="16"/>
  <c r="I37" i="22"/>
  <c r="I36" i="22" s="1"/>
  <c r="E56" i="8"/>
  <c r="D56" i="21"/>
  <c r="E56" i="21" s="1"/>
  <c r="H56" i="21" s="1"/>
  <c r="I32" i="22"/>
  <c r="I31" i="22" s="1"/>
  <c r="D7" i="25"/>
  <c r="F11" i="26" s="1"/>
  <c r="D22" i="26" s="1"/>
  <c r="E22" i="26" s="1"/>
  <c r="C12" i="19" l="1"/>
  <c r="D17" i="22" s="1"/>
  <c r="C13" i="19"/>
  <c r="H54" i="21"/>
  <c r="H53" i="21" s="1"/>
  <c r="H57" i="21" s="1"/>
  <c r="E53" i="21"/>
  <c r="E57" i="21" s="1"/>
  <c r="F59" i="21" s="1"/>
  <c r="N38" i="1"/>
  <c r="C7" i="22"/>
  <c r="E57" i="8"/>
  <c r="D13" i="22"/>
  <c r="E20" i="26"/>
  <c r="E23" i="26" s="1"/>
  <c r="C32" i="26" s="1"/>
  <c r="I41" i="22"/>
  <c r="D50" i="26" l="1"/>
  <c r="D37" i="26"/>
  <c r="D62" i="26"/>
  <c r="D7" i="22"/>
  <c r="C5" i="22"/>
  <c r="C18" i="22" s="1"/>
  <c r="Q38" i="1"/>
  <c r="N39" i="1"/>
  <c r="I51" i="22"/>
  <c r="D32" i="24"/>
  <c r="D28" i="24"/>
  <c r="K10" i="21"/>
  <c r="H58" i="21"/>
  <c r="H59" i="21" s="1"/>
  <c r="C50" i="22" l="1"/>
  <c r="C52" i="22" s="1"/>
  <c r="L10" i="21"/>
  <c r="K11" i="21"/>
  <c r="E7" i="22"/>
  <c r="D5" i="22"/>
  <c r="D18" i="22" s="1"/>
  <c r="D50" i="22" s="1"/>
  <c r="D52" i="22" s="1"/>
  <c r="D42" i="26"/>
  <c r="D88" i="26" s="1"/>
  <c r="D91" i="26" s="1"/>
  <c r="D78" i="26"/>
  <c r="E13" i="11"/>
  <c r="D38" i="26"/>
  <c r="T38" i="1"/>
  <c r="T39" i="1" s="1"/>
  <c r="F7" i="2" s="1"/>
  <c r="R38" i="1"/>
  <c r="R39" i="1" s="1"/>
  <c r="D7" i="2" s="1"/>
  <c r="S38" i="1"/>
  <c r="S39" i="1" s="1"/>
  <c r="E7" i="2" s="1"/>
  <c r="Q39" i="1"/>
  <c r="C7" i="2" s="1"/>
  <c r="C8" i="2" s="1"/>
  <c r="D80" i="26"/>
  <c r="D63" i="26"/>
  <c r="E15" i="11"/>
  <c r="D67" i="26"/>
  <c r="D90" i="26" s="1"/>
  <c r="E14" i="11"/>
  <c r="D55" i="26"/>
  <c r="D89" i="26" s="1"/>
  <c r="D79" i="26"/>
  <c r="D51" i="26"/>
  <c r="D56" i="26" l="1"/>
  <c r="E89" i="26" s="1"/>
  <c r="E79" i="26"/>
  <c r="D52" i="26"/>
  <c r="C14" i="2"/>
  <c r="C9" i="2"/>
  <c r="C10" i="2" s="1"/>
  <c r="C11" i="2" s="1"/>
  <c r="E5" i="22"/>
  <c r="F7" i="22"/>
  <c r="D8" i="2"/>
  <c r="D11" i="14"/>
  <c r="L11" i="21"/>
  <c r="L9" i="21"/>
  <c r="L8" i="21"/>
  <c r="E8" i="2"/>
  <c r="D5" i="14"/>
  <c r="D8" i="14"/>
  <c r="F8" i="2"/>
  <c r="D39" i="26"/>
  <c r="E78" i="26"/>
  <c r="D43" i="26"/>
  <c r="E88" i="26" s="1"/>
  <c r="E91" i="26" s="1"/>
  <c r="D64" i="26"/>
  <c r="E80" i="26"/>
  <c r="D68" i="26"/>
  <c r="E90" i="26" s="1"/>
  <c r="D81" i="26"/>
  <c r="D69" i="26" l="1"/>
  <c r="F90" i="26" s="1"/>
  <c r="F80" i="26"/>
  <c r="D7" i="14"/>
  <c r="D8" i="16"/>
  <c r="G7" i="22"/>
  <c r="F5" i="22"/>
  <c r="E9" i="2"/>
  <c r="E5" i="14"/>
  <c r="E81" i="26"/>
  <c r="F9" i="2"/>
  <c r="E8" i="14"/>
  <c r="D57" i="26"/>
  <c r="F89" i="26" s="1"/>
  <c r="F79" i="26"/>
  <c r="D10" i="14"/>
  <c r="D9" i="16"/>
  <c r="D13" i="14"/>
  <c r="D7" i="16"/>
  <c r="D44" i="26"/>
  <c r="F88" i="26" s="1"/>
  <c r="F78" i="26"/>
  <c r="D9" i="2"/>
  <c r="E11" i="14"/>
  <c r="E7" i="14" l="1"/>
  <c r="E8" i="16"/>
  <c r="E10" i="2"/>
  <c r="F5" i="14"/>
  <c r="H7" i="22"/>
  <c r="H5" i="22" s="1"/>
  <c r="G5" i="22"/>
  <c r="I10" i="22"/>
  <c r="F11" i="14"/>
  <c r="D10" i="2"/>
  <c r="F81" i="26"/>
  <c r="D14" i="14"/>
  <c r="D6" i="19" s="1"/>
  <c r="F91" i="26"/>
  <c r="F8" i="14"/>
  <c r="F10" i="2"/>
  <c r="E13" i="14"/>
  <c r="E7" i="16"/>
  <c r="E12" i="16" s="1"/>
  <c r="E10" i="14"/>
  <c r="E9" i="16"/>
  <c r="D12" i="16"/>
  <c r="E9" i="22" l="1"/>
  <c r="E8" i="22" s="1"/>
  <c r="G5" i="14"/>
  <c r="E11" i="2"/>
  <c r="H5" i="14" s="1"/>
  <c r="F14" i="22"/>
  <c r="E7" i="19"/>
  <c r="E25" i="16"/>
  <c r="F13" i="14"/>
  <c r="F7" i="16"/>
  <c r="G8" i="14"/>
  <c r="F11" i="2"/>
  <c r="H8" i="14" s="1"/>
  <c r="F10" i="14"/>
  <c r="F9" i="16"/>
  <c r="F7" i="14"/>
  <c r="F8" i="16"/>
  <c r="D25" i="16"/>
  <c r="E14" i="22"/>
  <c r="D7" i="19"/>
  <c r="D8" i="19" s="1"/>
  <c r="D11" i="19" s="1"/>
  <c r="D11" i="2"/>
  <c r="H11" i="14" s="1"/>
  <c r="G11" i="14"/>
  <c r="E14" i="14"/>
  <c r="E6" i="19" s="1"/>
  <c r="D12" i="19" l="1"/>
  <c r="E17" i="22" s="1"/>
  <c r="D13" i="19"/>
  <c r="E8" i="19"/>
  <c r="E11" i="19" s="1"/>
  <c r="F9" i="22"/>
  <c r="F8" i="22" s="1"/>
  <c r="G13" i="14"/>
  <c r="G7" i="16"/>
  <c r="H13" i="14"/>
  <c r="H7" i="16"/>
  <c r="E18" i="22"/>
  <c r="F14" i="14"/>
  <c r="F6" i="19" s="1"/>
  <c r="H7" i="14"/>
  <c r="H14" i="14" s="1"/>
  <c r="H6" i="19" s="1"/>
  <c r="H8" i="16"/>
  <c r="H10" i="14"/>
  <c r="H9" i="16"/>
  <c r="G7" i="14"/>
  <c r="G14" i="14" s="1"/>
  <c r="G6" i="19" s="1"/>
  <c r="G8" i="16"/>
  <c r="G10" i="14"/>
  <c r="G9" i="16"/>
  <c r="E13" i="22"/>
  <c r="F12" i="16"/>
  <c r="G12" i="16" l="1"/>
  <c r="H9" i="22"/>
  <c r="H8" i="22" s="1"/>
  <c r="F7" i="19"/>
  <c r="F25" i="16"/>
  <c r="G14" i="22"/>
  <c r="E50" i="22"/>
  <c r="E52" i="22" s="1"/>
  <c r="I9" i="22"/>
  <c r="I8" i="22" s="1"/>
  <c r="G9" i="22"/>
  <c r="G8" i="22" s="1"/>
  <c r="F8" i="19"/>
  <c r="F11" i="19" s="1"/>
  <c r="E12" i="19"/>
  <c r="F17" i="22" s="1"/>
  <c r="F13" i="22" s="1"/>
  <c r="F18" i="22" s="1"/>
  <c r="H12" i="16"/>
  <c r="F50" i="22" l="1"/>
  <c r="F52" i="22" s="1"/>
  <c r="E13" i="19"/>
  <c r="G25" i="16"/>
  <c r="G7" i="19"/>
  <c r="G8" i="19" s="1"/>
  <c r="G11" i="19" s="1"/>
  <c r="H14" i="22"/>
  <c r="F12" i="19"/>
  <c r="G17" i="22" s="1"/>
  <c r="G13" i="22" s="1"/>
  <c r="G18" i="22" s="1"/>
  <c r="H25" i="16"/>
  <c r="I14" i="22"/>
  <c r="H7" i="19"/>
  <c r="H8" i="19" s="1"/>
  <c r="H11" i="19" s="1"/>
  <c r="G50" i="22" l="1"/>
  <c r="G52" i="22" s="1"/>
  <c r="F13" i="19"/>
  <c r="G12" i="19"/>
  <c r="H17" i="22" s="1"/>
  <c r="H13" i="22" s="1"/>
  <c r="H18" i="22" s="1"/>
  <c r="H12" i="19"/>
  <c r="I17" i="22" s="1"/>
  <c r="I13" i="22" s="1"/>
  <c r="I18" i="22" s="1"/>
  <c r="I50" i="22" l="1"/>
  <c r="I52" i="22" s="1"/>
  <c r="D11" i="24"/>
  <c r="C13" i="11" s="1"/>
  <c r="B4" i="28" s="1"/>
  <c r="B22" i="28" s="1"/>
  <c r="B39" i="28" s="1"/>
  <c r="B53" i="28" s="1"/>
  <c r="H50" i="22"/>
  <c r="H52" i="22" s="1"/>
  <c r="D15" i="24"/>
  <c r="C15" i="11" s="1"/>
  <c r="C4" i="28" s="1"/>
  <c r="C22" i="28" s="1"/>
  <c r="C39" i="28" s="1"/>
  <c r="C53" i="28" s="1"/>
  <c r="G13" i="19"/>
  <c r="H13" i="19"/>
  <c r="D49" i="24"/>
  <c r="D45" i="24"/>
</calcChain>
</file>

<file path=xl/sharedStrings.xml><?xml version="1.0" encoding="utf-8"?>
<sst xmlns="http://schemas.openxmlformats.org/spreadsheetml/2006/main" count="828" uniqueCount="463">
  <si>
    <t>TOTAL</t>
  </si>
  <si>
    <t>Total</t>
  </si>
  <si>
    <t>Precio</t>
  </si>
  <si>
    <t>CANTIDAD</t>
  </si>
  <si>
    <t>RUBRO</t>
  </si>
  <si>
    <t>Kg</t>
  </si>
  <si>
    <t>RUBROS</t>
  </si>
  <si>
    <t>DATOS GENERALES</t>
  </si>
  <si>
    <t>EVALUACION ECONOMICA</t>
  </si>
  <si>
    <t>ESSALUD</t>
  </si>
  <si>
    <t>Impuesto a la Renta (3ra.)</t>
  </si>
  <si>
    <t xml:space="preserve">Y FINANCIERA DEL PLAN </t>
  </si>
  <si>
    <t>Period.Vida Util del Proyecto (años)</t>
  </si>
  <si>
    <t xml:space="preserve"> DE NEGOCIOS</t>
  </si>
  <si>
    <t>Tasa de Inflacion Anual</t>
  </si>
  <si>
    <t>VANE =</t>
  </si>
  <si>
    <t>UNIDAD</t>
  </si>
  <si>
    <t>Litros</t>
  </si>
  <si>
    <t>Kg.</t>
  </si>
  <si>
    <t>Sal</t>
  </si>
  <si>
    <t>Detergente</t>
  </si>
  <si>
    <t>Azucar</t>
  </si>
  <si>
    <t>Cultivo</t>
  </si>
  <si>
    <t>QUESO</t>
  </si>
  <si>
    <t>YOGURT</t>
  </si>
  <si>
    <t>2.-YOGURT</t>
  </si>
  <si>
    <t>TOTAL ANUAL</t>
  </si>
  <si>
    <t>Total Ingreso</t>
  </si>
  <si>
    <t>( En Nuevos Soles)</t>
  </si>
  <si>
    <t>B. GASTOS DE ADMINISTRACION</t>
  </si>
  <si>
    <t>TOTAL GASTOS DE ADMINISTRACION</t>
  </si>
  <si>
    <t>C. GASTOS DE VENTAS</t>
  </si>
  <si>
    <t>TOTAL GASTOS DE VENTAS</t>
  </si>
  <si>
    <t>TOTAL PRESUPUESTO OPERATIVO</t>
  </si>
  <si>
    <t xml:space="preserve">CANTIDAD </t>
  </si>
  <si>
    <t>VECES 
AL AÑO</t>
  </si>
  <si>
    <t>DEP.ANUAL</t>
  </si>
  <si>
    <t>Intangibles</t>
  </si>
  <si>
    <t>CARGO</t>
  </si>
  <si>
    <t>Remuneraciones</t>
  </si>
  <si>
    <t>Beneficios</t>
  </si>
  <si>
    <t>Nº</t>
  </si>
  <si>
    <t>Sub Total</t>
  </si>
  <si>
    <t>Mensual</t>
  </si>
  <si>
    <t>Anual</t>
  </si>
  <si>
    <t>Sociales</t>
  </si>
  <si>
    <t>Trabj</t>
  </si>
  <si>
    <t xml:space="preserve">Patronal </t>
  </si>
  <si>
    <t>Area de producción</t>
  </si>
  <si>
    <t>Jefe de planta</t>
  </si>
  <si>
    <t>Area de Administración</t>
  </si>
  <si>
    <t>Contador (SNP)</t>
  </si>
  <si>
    <t>Area de Ventas</t>
  </si>
  <si>
    <t>Responsable de ventas</t>
  </si>
  <si>
    <t>Total Mano de Obra</t>
  </si>
  <si>
    <t>(en soles)</t>
  </si>
  <si>
    <t>AREAS</t>
  </si>
  <si>
    <t>PERIODOS</t>
  </si>
  <si>
    <t>Producción</t>
  </si>
  <si>
    <t>Administración</t>
  </si>
  <si>
    <t>Ventas</t>
  </si>
  <si>
    <t xml:space="preserve">Total </t>
  </si>
  <si>
    <t>Obrero_Guardían</t>
  </si>
  <si>
    <t>V.RESIDUAL</t>
  </si>
  <si>
    <t>PERIODO</t>
  </si>
  <si>
    <t>Ingreso por Ventas</t>
  </si>
  <si>
    <t>Costo de Ventas</t>
  </si>
  <si>
    <t>Utilidad Bruta</t>
  </si>
  <si>
    <t>Gastos Administrativos</t>
  </si>
  <si>
    <t>Gastos de Ventas</t>
  </si>
  <si>
    <t>Utilidad Imponible</t>
  </si>
  <si>
    <t>Impuestos</t>
  </si>
  <si>
    <t>Utilidad Neta</t>
  </si>
  <si>
    <t>MONTO</t>
  </si>
  <si>
    <t>INVERSION</t>
  </si>
  <si>
    <t>INGRESOS</t>
  </si>
  <si>
    <t>EGRESOS</t>
  </si>
  <si>
    <t>DATOS</t>
  </si>
  <si>
    <t>COKr =</t>
  </si>
  <si>
    <t>INDICADORES DE RENTABILIDAD</t>
  </si>
  <si>
    <t>VALOR PRESENTE NETO ECONOMICO</t>
  </si>
  <si>
    <t>soles</t>
  </si>
  <si>
    <t xml:space="preserve">TASA INTERNA DE RETORNO ECONOMICO </t>
  </si>
  <si>
    <t>TIRE  =</t>
  </si>
  <si>
    <t>COSTO VARIABLE</t>
  </si>
  <si>
    <t>COSTO FIJO</t>
  </si>
  <si>
    <t>TOTAL COSTO VARIABLE</t>
  </si>
  <si>
    <t>Depreciaciones</t>
  </si>
  <si>
    <t>TOTAL COSTO FIJO</t>
  </si>
  <si>
    <t>Monto</t>
  </si>
  <si>
    <t>COSTO VARIABLE UNITARIO</t>
  </si>
  <si>
    <t xml:space="preserve">Costo Fijo  </t>
  </si>
  <si>
    <t>CF =</t>
  </si>
  <si>
    <t>PRODUCTO</t>
  </si>
  <si>
    <t>PRECIO</t>
  </si>
  <si>
    <t>CVMe</t>
  </si>
  <si>
    <t>MgCU</t>
  </si>
  <si>
    <t>% del Total
Ventas</t>
  </si>
  <si>
    <t>CVMe = Costo variable Medio(Costo Variable Unitario)</t>
  </si>
  <si>
    <t>MgCU = Margen de Contribución Unitario</t>
  </si>
  <si>
    <t>MARGEN DE CONTRIBUCIÓN PROMEDIO PONDERADO</t>
  </si>
  <si>
    <t>PRODUCTOS</t>
  </si>
  <si>
    <t>PESO</t>
  </si>
  <si>
    <t>MgCU
ponderado</t>
  </si>
  <si>
    <t>MgCU PONDERADO</t>
  </si>
  <si>
    <t xml:space="preserve">   PE =</t>
  </si>
  <si>
    <t>CF</t>
  </si>
  <si>
    <t>PE =</t>
  </si>
  <si>
    <t>Unidades combinadas</t>
  </si>
  <si>
    <t>UNIDAD
DE MEDIDA</t>
  </si>
  <si>
    <t>CANTIDAD
ANUAL</t>
  </si>
  <si>
    <t>CANTIDAD MENSUAL</t>
  </si>
  <si>
    <t>Kgrs</t>
  </si>
  <si>
    <t>PUNTO DE EQUILIBRIO EN SOLES POR PRODUCTO</t>
  </si>
  <si>
    <t>Soles</t>
  </si>
  <si>
    <t>PARTICIPACION ANUAL DE VENTAS POR PRODUCTO</t>
  </si>
  <si>
    <t>% DE VENTAS</t>
  </si>
  <si>
    <t>VENTAS     (Unidades)</t>
  </si>
  <si>
    <t>PE YOGURT</t>
  </si>
  <si>
    <t>PE. Queso (Cantidad) =</t>
  </si>
  <si>
    <t>PE. Queso (Soles) =</t>
  </si>
  <si>
    <t>Soles/año</t>
  </si>
  <si>
    <t>Soles/mes</t>
  </si>
  <si>
    <t>Soles/día</t>
  </si>
  <si>
    <t>PE. Yogurt (Cantidad) =</t>
  </si>
  <si>
    <t>PE. Yogurt (Soles) =</t>
  </si>
  <si>
    <t>Litros/año</t>
  </si>
  <si>
    <t>Litros/mes</t>
  </si>
  <si>
    <t>Litros/día</t>
  </si>
  <si>
    <t>PUNTO DE EQUILIBRIO EN UNIDADES POR PRODUCTO</t>
  </si>
  <si>
    <t>CANTIDAD DIARIA</t>
  </si>
  <si>
    <t>RESUMEN</t>
  </si>
  <si>
    <t xml:space="preserve">        INDICADORES DE RENTABILIDAD</t>
  </si>
  <si>
    <t>AMORT.ANUAL</t>
  </si>
  <si>
    <t>VANE</t>
  </si>
  <si>
    <t>TIRE</t>
  </si>
  <si>
    <t>VIDA UTIL</t>
  </si>
  <si>
    <t>TASA</t>
  </si>
  <si>
    <t xml:space="preserve">TASA  </t>
  </si>
  <si>
    <t>VALOR</t>
  </si>
  <si>
    <t>Aportac.</t>
  </si>
  <si>
    <t>COSTO 
UNITARIO</t>
  </si>
  <si>
    <t>DESCRIPCION /AÑO</t>
  </si>
  <si>
    <t>A. COSTOS DE PRODUCCIÓN</t>
  </si>
  <si>
    <t>TOTAL COSTOS DE PRODUCCIÓN</t>
  </si>
  <si>
    <t>RUBRO/ AÑOS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</si>
  <si>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</si>
  <si>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</si>
  <si>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</si>
  <si>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</si>
  <si>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</si>
  <si>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</si>
  <si>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</si>
  <si>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</si>
  <si>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</si>
  <si>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</si>
  <si>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</si>
  <si>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</si>
  <si>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Materia prima disponible (lt./mes)</t>
  </si>
  <si>
    <t>Elaboracion de yogur (lt.)</t>
  </si>
  <si>
    <t>Total anual</t>
  </si>
  <si>
    <t>Fuente: Elaboracion propia</t>
  </si>
  <si>
    <t>Fuente: Conociendo la Cadena Productiva de Lacteos, SOLID - Peru, 2007.</t>
  </si>
  <si>
    <t>AÑO</t>
  </si>
  <si>
    <t>Yogur (Litros)</t>
  </si>
  <si>
    <t>Ingreso Yogur</t>
  </si>
  <si>
    <t>Precio de yogur (soles/litro)</t>
  </si>
  <si>
    <t>Fuente: Elaboración propia</t>
  </si>
  <si>
    <t>DESCRIPCCION</t>
  </si>
  <si>
    <t>COSTO UNITARIO</t>
  </si>
  <si>
    <t>COSTO TOTAL</t>
  </si>
  <si>
    <t>Insumos</t>
  </si>
  <si>
    <t>Cuajo</t>
  </si>
  <si>
    <t>Pastilla</t>
  </si>
  <si>
    <t>TOTAL POR DIA (S/.)</t>
  </si>
  <si>
    <t>Cantidad</t>
  </si>
  <si>
    <t>Costo Unitario</t>
  </si>
  <si>
    <t>Leche</t>
  </si>
  <si>
    <t>COSTOS DE PRODUCCION DE YOGURT</t>
  </si>
  <si>
    <t>TIPOLOGIA: ACOPIADOR DE LECHE TRANSFORMADOR</t>
  </si>
  <si>
    <t>Cantidad de leche (Lts)</t>
  </si>
  <si>
    <t>INSUMOS</t>
  </si>
  <si>
    <t xml:space="preserve">Sobre </t>
  </si>
  <si>
    <t>Saborizante</t>
  </si>
  <si>
    <t>kilo</t>
  </si>
  <si>
    <t>TOTAL COSTO DE PRODUCCION</t>
  </si>
  <si>
    <t>COSTO DE PRODUCCION (S/.)</t>
  </si>
  <si>
    <t>Costos directos de yogur</t>
  </si>
  <si>
    <t>Costo Total</t>
  </si>
  <si>
    <t>ACTIVOS FIJOS</t>
  </si>
  <si>
    <t>TANGIBLES</t>
  </si>
  <si>
    <t xml:space="preserve">Recipientes de alumino de 80 lt de capacidad </t>
  </si>
  <si>
    <t>Mandiles</t>
  </si>
  <si>
    <t>Protector buconasal y gorras</t>
  </si>
  <si>
    <t>Botas de agua</t>
  </si>
  <si>
    <t>INTANGIBLES</t>
  </si>
  <si>
    <t>CONTRUCCIONES</t>
  </si>
  <si>
    <t>MAQUINARIAS Y EQUIPOS</t>
  </si>
  <si>
    <t>Tasa de Descuento Real</t>
  </si>
  <si>
    <t>Mano de obra indirecta</t>
  </si>
  <si>
    <t>Paila de 50 lt. De capacidad</t>
  </si>
  <si>
    <t>Culer de 80 lt. De capacidad</t>
  </si>
  <si>
    <t>Registro Sanitario</t>
  </si>
  <si>
    <t>INVERSION TOTAL POR APORTES</t>
  </si>
  <si>
    <t>Unidas de Medida</t>
  </si>
  <si>
    <t>Financiamiento</t>
  </si>
  <si>
    <t>Aporte Comunal</t>
  </si>
  <si>
    <t>Valorizado</t>
  </si>
  <si>
    <t>Monetario</t>
  </si>
  <si>
    <t>Mes</t>
  </si>
  <si>
    <t>Mano de Obra</t>
  </si>
  <si>
    <t>Promoción y presentación de productos</t>
  </si>
  <si>
    <t>Fuente: Elaboración Propia</t>
  </si>
  <si>
    <t>Activo fijo</t>
  </si>
  <si>
    <t>Capital de trabajo</t>
  </si>
  <si>
    <t>Recupero de KW</t>
  </si>
  <si>
    <t>Venta de activo fijo</t>
  </si>
  <si>
    <t>Gasto de ventas</t>
  </si>
  <si>
    <t>Costo de produccion(*)</t>
  </si>
  <si>
    <t>Gastos administrativos(**)</t>
  </si>
  <si>
    <t>(*) No se incluye depreciaciones</t>
  </si>
  <si>
    <t>(**)No se incluye amortizacion de intangibles</t>
  </si>
  <si>
    <t>Precio de leche (soles/litro)</t>
  </si>
  <si>
    <t>MANJAR</t>
  </si>
  <si>
    <t>Costo total directo</t>
  </si>
  <si>
    <t>PRODUCCION</t>
  </si>
  <si>
    <t>CANIDAD</t>
  </si>
  <si>
    <t>PE. Manjar (Cantidad) =</t>
  </si>
  <si>
    <t>Kilos/año</t>
  </si>
  <si>
    <t>Kilos/mes</t>
  </si>
  <si>
    <t>Kilos/día</t>
  </si>
  <si>
    <t>PE. Manjar (Soles) =</t>
  </si>
  <si>
    <t>AMORTIZACION DE INTANGIBLES</t>
  </si>
  <si>
    <t>MATERIA PRIMA REQUERIDA   (lt / día)</t>
  </si>
  <si>
    <t>Fuente: Diagnóstico de la Cadena de Lácteos. Soli Perú.2007</t>
  </si>
  <si>
    <t xml:space="preserve">Leche </t>
  </si>
  <si>
    <t>FLUJO DE CAJA ECONOMICO</t>
  </si>
  <si>
    <t>Gastos de acopio de leche</t>
  </si>
  <si>
    <t>Servicios: Agua, luz, gas</t>
  </si>
  <si>
    <t>Mantenimiento y reparaciones.</t>
  </si>
  <si>
    <t>Utiles de escritorio</t>
  </si>
  <si>
    <t>Amortizaciòn de intangibles</t>
  </si>
  <si>
    <t>Produccion de leche/hato:</t>
  </si>
  <si>
    <t>Fuente de Financiamiento</t>
  </si>
  <si>
    <t>Porcentaje</t>
  </si>
  <si>
    <t>Aporte Comunal Valorizado</t>
  </si>
  <si>
    <t>Aporte Comunal Monetario</t>
  </si>
  <si>
    <t>Precio Unitario</t>
  </si>
  <si>
    <t>Equipos y herramientas</t>
  </si>
  <si>
    <t>Porongo de acero inoxidable de 30 Lt. (milkan)</t>
  </si>
  <si>
    <t>Camara de enfriamiento de 500 Litros</t>
  </si>
  <si>
    <t>Tina Quesera</t>
  </si>
  <si>
    <t>Estante de acero inoxidable con 200 tablas</t>
  </si>
  <si>
    <t>Moldes para queso</t>
  </si>
  <si>
    <t>Mesa quesera</t>
  </si>
  <si>
    <t>Cocina a gas semi industrial con 2 hornillas</t>
  </si>
  <si>
    <t xml:space="preserve">Recipiente de transporte </t>
  </si>
  <si>
    <t>Gavetas para transporte de queso</t>
  </si>
  <si>
    <t>Balanza tipo reloj de 2 kg.</t>
  </si>
  <si>
    <t>Jarras de aluminio de 1 litro</t>
  </si>
  <si>
    <t>Olla de aluminio de 50 Litros</t>
  </si>
  <si>
    <t>Recipiente de plastico sanson de 100 Litros</t>
  </si>
  <si>
    <t>Registro de marca (INDECOPI)</t>
  </si>
  <si>
    <t>Nº queso fresco de 150 gr./día</t>
  </si>
  <si>
    <t>40 litros</t>
  </si>
  <si>
    <t>Gas</t>
  </si>
  <si>
    <t>150 litros</t>
  </si>
  <si>
    <t>Nº queso tipo freso en molde/día</t>
  </si>
  <si>
    <t>Nºde litros de yogurt/día</t>
  </si>
  <si>
    <t>COSTOS DE PRODUCCION DE QUESO FRESCO EN MOLDE</t>
  </si>
  <si>
    <t>TIPOLOGIA: PRODUCTOR  MEDIANO - TRANSFORMADOR</t>
  </si>
  <si>
    <t>TIPOLOGIA: PRODUCTOR MEDIANO - TRANSFORMADOR</t>
  </si>
  <si>
    <t>Terreno</t>
  </si>
  <si>
    <t>Registro de contribuyente (RUC)</t>
  </si>
  <si>
    <t>Capacitacion en elaboracion de queso</t>
  </si>
  <si>
    <t>Capacitacion en elaboracion de yogurt</t>
  </si>
  <si>
    <t>Capacitacion en gestion empresarial rural</t>
  </si>
  <si>
    <t>Capacitacion en higiene y manipulacion de alimentos</t>
  </si>
  <si>
    <t>Yogurtera</t>
  </si>
  <si>
    <t>Termometro con rejilla</t>
  </si>
  <si>
    <t>Espatula de aluminio</t>
  </si>
  <si>
    <t>Lactodensimetro</t>
  </si>
  <si>
    <t>Probeta graduada de 250ml</t>
  </si>
  <si>
    <t>Gradilla para tubos de prueba</t>
  </si>
  <si>
    <t xml:space="preserve">Prensa </t>
  </si>
  <si>
    <t xml:space="preserve">Escobas de nylon </t>
  </si>
  <si>
    <t>Escobillas de nylon</t>
  </si>
  <si>
    <t>INVERSION TOTAL</t>
  </si>
  <si>
    <t>Costos directos de queso fresco en molde</t>
  </si>
  <si>
    <t>COSTOS DE PRODUCCION DE QUESO FRESCO DE 150 GR</t>
  </si>
  <si>
    <t>Ingreso Queso Fresco 150 gr.</t>
  </si>
  <si>
    <t>Precio de queso fresco en molde (soles/kilo)</t>
  </si>
  <si>
    <t>Queso fresco 150 gr</t>
  </si>
  <si>
    <t>Precio (150 gr.)</t>
  </si>
  <si>
    <t>Queso fresco en molde (Kg)</t>
  </si>
  <si>
    <t>Rendimiento</t>
  </si>
  <si>
    <t>Queso Fresco 150 gr.</t>
  </si>
  <si>
    <t>Yogurt</t>
  </si>
  <si>
    <t>Queso Fresco en molde</t>
  </si>
  <si>
    <t>Producto</t>
  </si>
  <si>
    <t>Mercado</t>
  </si>
  <si>
    <t>Elaboracion de Queso Fresco en molde (kg)</t>
  </si>
  <si>
    <t>Elaboracion de Queso Fresco       (150 gr.)</t>
  </si>
  <si>
    <t>PRODUCCION QUESO  FRESCO 150gr (Unid / Año)</t>
  </si>
  <si>
    <t>PRODUCCION ANUAL CON PLAN</t>
  </si>
  <si>
    <t>INGRESO ANUAL DE LA PLANTA PROCESADORA CON PLAN</t>
  </si>
  <si>
    <t>PROYECCION DE PRESUPUESTO OPERATIVO CON PLAN</t>
  </si>
  <si>
    <t>PRESUPUESTO PROMOCIONAL CON PLAN</t>
  </si>
  <si>
    <t>Costos directos de queso fresco 150gr</t>
  </si>
  <si>
    <t>• Afiches publicitarios (millar)</t>
  </si>
  <si>
    <t>• Gigantografias (unidad)</t>
  </si>
  <si>
    <t>• Degustaciones (evento)</t>
  </si>
  <si>
    <t>Ingreso Queso Fresco molde</t>
  </si>
  <si>
    <t xml:space="preserve">ESTADO DE GANACIAS Y PERDIDAS CON PLAN </t>
  </si>
  <si>
    <t xml:space="preserve">ESTADO DE GANACIAS Y PERDIDAS SIN PLAN </t>
  </si>
  <si>
    <t>• Etiquetas ( Yogurt)</t>
  </si>
  <si>
    <t>INGRESO ANUAL DE LA PLANTA PROCESADORA SIN PLAN</t>
  </si>
  <si>
    <t>Queso fresco 150gr</t>
  </si>
  <si>
    <t>Queso fresco en molde</t>
  </si>
  <si>
    <t>3.-QUESO FRESCO EN MOLDE</t>
  </si>
  <si>
    <t>1.-QUESO FRESCO 150gr</t>
  </si>
  <si>
    <t>PE  QUESO FRESCO 150gr</t>
  </si>
  <si>
    <t>PE QUESO FRESCO EN MOLDE</t>
  </si>
  <si>
    <t>Ganado Vacuno</t>
  </si>
  <si>
    <t>Ganado vacuno aporte comunal</t>
  </si>
  <si>
    <t>Nº ganado vacuno en ordeño (*).</t>
  </si>
  <si>
    <t>Nº ganado vacuno en ordeño</t>
  </si>
  <si>
    <t>PRODUCCION ANUAL SIN PLAN</t>
  </si>
  <si>
    <t>Intalacion de terreno con avena forrajera 1 año</t>
  </si>
  <si>
    <t>Costo de oportunidad de terreno comunal 1 año</t>
  </si>
  <si>
    <t>Tipo de Ganado</t>
  </si>
  <si>
    <t>Raza</t>
  </si>
  <si>
    <t>Valor/ganado</t>
  </si>
  <si>
    <t>Vacas</t>
  </si>
  <si>
    <t>Brows Swiss</t>
  </si>
  <si>
    <t>Becerros</t>
  </si>
  <si>
    <t>Toretes</t>
  </si>
  <si>
    <t>DESCRIPCION</t>
  </si>
  <si>
    <t>Hectareas</t>
  </si>
  <si>
    <t>Costo/Ha</t>
  </si>
  <si>
    <t xml:space="preserve">Alquiler de Terreno </t>
  </si>
  <si>
    <t>COSTOS DE MANEJO GANADERO DEL ESTABLO DE LA COMUNIDAD</t>
  </si>
  <si>
    <t>Unidad</t>
  </si>
  <si>
    <t>Unitario</t>
  </si>
  <si>
    <t>Costo</t>
  </si>
  <si>
    <t>unidad</t>
  </si>
  <si>
    <t>costo total por año</t>
  </si>
  <si>
    <t>Costo por dia</t>
  </si>
  <si>
    <t>Pro compite</t>
  </si>
  <si>
    <t>Procompite</t>
  </si>
  <si>
    <t>Compra de vacas aporte Procompite</t>
  </si>
  <si>
    <t>APORTES</t>
  </si>
  <si>
    <t>PARTICIPACION PORCENTUAL</t>
  </si>
  <si>
    <t>PRESUPUESTO DE SUELDOS ANUAL CON PLAN</t>
  </si>
  <si>
    <t>PRESUPUESTO DE SUELDOS ANUAL PROYECTADO CON PLAN</t>
  </si>
  <si>
    <t>Envase para un litro</t>
  </si>
  <si>
    <t>envase</t>
  </si>
  <si>
    <t>TRANSPORTE</t>
  </si>
  <si>
    <t>Costo de transporte</t>
  </si>
  <si>
    <t>balon</t>
  </si>
  <si>
    <t>Bolsa impresa</t>
  </si>
  <si>
    <t xml:space="preserve">PRESUPUESTO 0PERATIVO SIN  PLAN DE NEGOCIOS </t>
  </si>
  <si>
    <t xml:space="preserve">Servicios: Agua y luz </t>
  </si>
  <si>
    <t>Gastos movilidad local a ferias</t>
  </si>
  <si>
    <t>Costo de producción del queso fresco 150gr</t>
  </si>
  <si>
    <t>Venta de vacas para carne</t>
  </si>
  <si>
    <t>EVALUACION ECONOMICA CON PLAN</t>
  </si>
  <si>
    <t>EVALUACION ECONOMICA SIN PLAN</t>
  </si>
  <si>
    <t>VAN =</t>
  </si>
  <si>
    <t>TIR=</t>
  </si>
  <si>
    <t>Costos de producción de leche</t>
  </si>
  <si>
    <t>Materia prima disponible (lt./año)</t>
  </si>
  <si>
    <t>CAPITAL DE TRABAJO (30 dias)</t>
  </si>
  <si>
    <t>MATERIA PRIMA REQUERIDA   (lt / año)</t>
  </si>
  <si>
    <t>Dias</t>
  </si>
  <si>
    <t>Responable Ganadero*</t>
  </si>
  <si>
    <t>Comsumo de piedras de sal**</t>
  </si>
  <si>
    <t>Aplicación de vitaminas**</t>
  </si>
  <si>
    <t>Desparacitación**</t>
  </si>
  <si>
    <t>* Pagan a S/. 5.00 nuevos soles el fornal a los niños por cuidar el ganado</t>
  </si>
  <si>
    <t>* Solo cuidan a las 5 vacas que estan en producción</t>
  </si>
  <si>
    <t>Producciòn de yogurt</t>
  </si>
  <si>
    <t>Producciòn de queso fresco en molde</t>
  </si>
  <si>
    <t>Producciòn de queso fresco</t>
  </si>
  <si>
    <t>Instalaciòn de terreno con avena forrajera 1 año</t>
  </si>
  <si>
    <t>Capacitaciòn en elaboraciòn de queso</t>
  </si>
  <si>
    <t>Capacitaciòn en elaboraciòn de yogurt</t>
  </si>
  <si>
    <t>Capacitaciòn en gestiòn empresarial rural</t>
  </si>
  <si>
    <t>Capacitaciòn en higiene y manipulaciòn de alimentos</t>
  </si>
  <si>
    <t>Instalaciòn de Forraje</t>
  </si>
  <si>
    <t>Flujo Neto de Caja con Plan</t>
  </si>
  <si>
    <t>Flujo Neto de Caja sin Plan</t>
  </si>
  <si>
    <t>FLUJO NETO DE CAJA</t>
  </si>
  <si>
    <t>EVALUACION ECONOMICA INCREMENTAL</t>
  </si>
  <si>
    <t>Autoconsumo ( 197lt/día )</t>
  </si>
  <si>
    <t>Fuente: Conociendo la Cadena Productiva de Lacteos, SOLID - Peru, 2007</t>
  </si>
  <si>
    <t>Cantidad de  leche dia         ( lt/dia )</t>
  </si>
  <si>
    <t>Materia prima disponible            ( lt/mes )</t>
  </si>
  <si>
    <t>Rendimiento leche dia           ( lt/dia )</t>
  </si>
  <si>
    <t>Cantidad de  leche dia          ( lt/dia )</t>
  </si>
  <si>
    <t>Rendimiento leche dia          ( lt/dia )</t>
  </si>
  <si>
    <t>Materia prima disponible             ( lt/mes )</t>
  </si>
  <si>
    <t>Nº ganado vacuno en ordeño (*)</t>
  </si>
  <si>
    <t>Produccion total mes        ( lt. )</t>
  </si>
  <si>
    <t>Autoconsumo         ( lt. )</t>
  </si>
  <si>
    <t>Materia prima disponible           ( lt/mes )</t>
  </si>
  <si>
    <t>Produccion total             ( lt. )</t>
  </si>
  <si>
    <t>Autoconsumo          ( lt. )</t>
  </si>
  <si>
    <t>Materia prima disponible          (lt./año)</t>
  </si>
  <si>
    <t>Elaboracion de Queso Fresco           (150 gr.)</t>
  </si>
  <si>
    <t>Elaboracion de yogur          (lt.)</t>
  </si>
  <si>
    <t>Produccion de queso fresco</t>
  </si>
  <si>
    <t>Produccion de queso fresco en molde</t>
  </si>
  <si>
    <t>Produccion de yogurt</t>
  </si>
  <si>
    <t>Precio Queso 150gr</t>
  </si>
  <si>
    <t>Precio Yogurt</t>
  </si>
  <si>
    <t>Precio Queso en molde</t>
  </si>
  <si>
    <t>RESUMEN ESTRUCTURA DE FINANCIAMIENTO</t>
  </si>
  <si>
    <t>TABLA DE DEPREACIONES REAL</t>
  </si>
  <si>
    <t>Inflacion=</t>
  </si>
  <si>
    <t>Depreacion real</t>
  </si>
  <si>
    <t>Factor de Conversaiòn</t>
  </si>
  <si>
    <t>Amortizacion Real</t>
  </si>
  <si>
    <t>FLUJO DE CAJA ECONOMICO CON PLAN</t>
  </si>
  <si>
    <t>FLUJO DE CAJA ECONOMICO SIN PLAN</t>
  </si>
  <si>
    <t>FLUJO DE CAJA ECONOMICO INCREMENTAL</t>
  </si>
  <si>
    <t>Precio Leche</t>
  </si>
  <si>
    <t>PRECIO DE MATERIA PRIMA :LECHE</t>
  </si>
  <si>
    <t>PRECIO DE QUESO FRESCO 150gr</t>
  </si>
  <si>
    <t>PRECIO DE YOGURT</t>
  </si>
  <si>
    <t>PRECIO DE QUESO FRESCO  MOLDE</t>
  </si>
  <si>
    <t>PEC Cachipa =</t>
  </si>
  <si>
    <t>PEC Yogur =</t>
  </si>
  <si>
    <t>PEC Queso =</t>
  </si>
  <si>
    <t>Precio de queso fresco 150 gr (soles/unidad)</t>
  </si>
  <si>
    <t>Unidades/año</t>
  </si>
  <si>
    <t>Unidades/mes</t>
  </si>
  <si>
    <t>Unidades/día</t>
  </si>
  <si>
    <t>Unidades</t>
  </si>
  <si>
    <t>ESTABLO COMUNAL - PRODUCCION DE LECHE 2014 CON PLAN</t>
  </si>
  <si>
    <t>CASA COMUNEROS - PRODUCCION DE LECHE 2014 CON PLAN</t>
  </si>
  <si>
    <t>ESTABLO COMUNAL - PRODUCCION DE LECHE 2015 CON PLAN</t>
  </si>
  <si>
    <t>CASA COMUNEROS - PRODUCCION DE LECHE 2015 ESTIMADA CON PLAN</t>
  </si>
  <si>
    <t>ESTABLO COMUNAL: PRODUCCION DE LECHE ANUAL SIN PLAN</t>
  </si>
  <si>
    <t>PROGRAMA PRODUCCION POR PRODUCTOS 2014 CON PLAN</t>
  </si>
  <si>
    <t>PROGRAMA PRODUCCION POR PRODUCTOS 2015 CON PLAN</t>
  </si>
  <si>
    <t>PROGRAMA PRODUCCION DE CACHIPA SIN PLAN</t>
  </si>
  <si>
    <t>PRODUCCION YOGURT     (litros / Año)</t>
  </si>
  <si>
    <t>PRODUCCION QUESO  FRESCO EN MOLDE    (kilos / Año)</t>
  </si>
  <si>
    <t>ESTRUCTURA DE INVERSION INICIAL CON PLAN</t>
  </si>
  <si>
    <t>TABLA DE DEPRECIACIONES Y VALOR DE RECUPERO</t>
  </si>
  <si>
    <t>TABLA DE AMORTIZACION DE INTANGIBLES REAL</t>
  </si>
  <si>
    <t>PUNTO DE EQULIBRIO PARA LOS TRES PRODUCTOS</t>
  </si>
  <si>
    <t>PUNTO DE EQUILIBRIO COMBINADO</t>
  </si>
  <si>
    <t>Transporte</t>
  </si>
  <si>
    <t>Mano de obra</t>
  </si>
  <si>
    <t>Servicios básicos</t>
  </si>
  <si>
    <t>Mantenimiento y rep.</t>
  </si>
  <si>
    <t>Acopio de leche</t>
  </si>
  <si>
    <t>Promoción</t>
  </si>
  <si>
    <t>COSTOS FIJOS ANUALES</t>
  </si>
  <si>
    <t>Con Plan</t>
  </si>
  <si>
    <t>Sin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</si>
</sst>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89" formatCode="&quot;S/.&quot;\ #,##0.00_);[Red]\(&quot;S/.&quot;\ #,##0.00\)"/>
    <numFmt numFmtId="198" formatCode="_-* #,##0.00\ &quot;pta&quot;_-;\-* #,##0.00\ &quot;pta&quot;_-;_-* &quot;-&quot;??\ &quot;pta&quot;_-;_-@_-"/>
    <numFmt numFmtId="207" formatCode="_-* #,##0.00\ _P_t_s_-;\-* #,##0.00\ _P_t_s_-;_-* &quot;-&quot;??\ _P_t_s_-;_-@_-"/>
    <numFmt numFmtId="208" formatCode="0.0%"/>
    <numFmt numFmtId="209" formatCode="_ * #,##0_ ;_ * \-#,##0_ ;_ * &quot;-&quot;??_ ;_ @_ "/>
    <numFmt numFmtId="210" formatCode="0.0"/>
    <numFmt numFmtId="211" formatCode="0.0000"/>
    <numFmt numFmtId="216" formatCode="_-* #,##0.000\ _P_t_s_-;\-* #,##0.000\ _P_t_s_-;_-* &quot;-&quot;??\ _P_t_s_-;_-@_-"/>
    <numFmt numFmtId="218" formatCode="_-* #,##0\ _P_t_s_-;\-* #,##0\ _P_t_s_-;_-* &quot;-&quot;??\ _P_t_s_-;_-@_-"/>
    <numFmt numFmtId="221" formatCode="#,##0.000"/>
    <numFmt numFmtId="222" formatCode="#,##0.0000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4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3"/>
      <name val="Arial"/>
      <family val="2"/>
    </font>
    <font>
      <b/>
      <sz val="12"/>
      <color indexed="8"/>
      <name val="Arial"/>
      <family val="2"/>
    </font>
    <font>
      <b/>
      <sz val="12"/>
      <color indexed="13"/>
      <name val="Arial"/>
      <family val="2"/>
    </font>
    <font>
      <b/>
      <sz val="11"/>
      <name val="Trebuchet MS"/>
      <family val="2"/>
    </font>
    <font>
      <sz val="10"/>
      <name val="Trebuchet MS"/>
      <family val="2"/>
    </font>
    <font>
      <b/>
      <sz val="9"/>
      <name val="Trebuchet MS"/>
      <family val="2"/>
    </font>
    <font>
      <b/>
      <sz val="10"/>
      <name val="Trebuchet MS"/>
      <family val="2"/>
    </font>
    <font>
      <sz val="10"/>
      <color indexed="10"/>
      <name val="Trebuchet MS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20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9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 applyAlignment="1">
      <alignment horizontal="center"/>
    </xf>
    <xf numFmtId="0" fontId="4" fillId="2" borderId="5" xfId="0" applyFont="1" applyFill="1" applyBorder="1"/>
    <xf numFmtId="0" fontId="2" fillId="2" borderId="5" xfId="0" applyFont="1" applyFill="1" applyBorder="1"/>
    <xf numFmtId="0" fontId="0" fillId="3" borderId="6" xfId="0" applyFill="1" applyBorder="1"/>
    <xf numFmtId="0" fontId="4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1" fontId="0" fillId="0" borderId="8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8" xfId="0" applyBorder="1"/>
    <xf numFmtId="0" fontId="0" fillId="3" borderId="0" xfId="0" applyFill="1"/>
    <xf numFmtId="0" fontId="4" fillId="2" borderId="5" xfId="0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Border="1"/>
    <xf numFmtId="0" fontId="0" fillId="0" borderId="0" xfId="0" applyFill="1" applyBorder="1"/>
    <xf numFmtId="0" fontId="2" fillId="3" borderId="9" xfId="0" applyFont="1" applyFill="1" applyBorder="1"/>
    <xf numFmtId="0" fontId="5" fillId="3" borderId="0" xfId="1" applyFill="1" applyBorder="1" applyAlignment="1" applyProtection="1"/>
    <xf numFmtId="0" fontId="0" fillId="3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3" xfId="0" applyFill="1" applyBorder="1"/>
    <xf numFmtId="0" fontId="0" fillId="3" borderId="4" xfId="0" applyFill="1" applyBorder="1"/>
    <xf numFmtId="10" fontId="0" fillId="3" borderId="12" xfId="3" applyNumberFormat="1" applyFont="1" applyFill="1" applyBorder="1" applyAlignment="1">
      <alignment horizontal="right"/>
    </xf>
    <xf numFmtId="9" fontId="0" fillId="3" borderId="13" xfId="3" applyNumberFormat="1" applyFont="1" applyFill="1" applyBorder="1" applyAlignment="1">
      <alignment horizontal="right"/>
    </xf>
    <xf numFmtId="209" fontId="0" fillId="3" borderId="13" xfId="2" applyNumberFormat="1" applyFont="1" applyFill="1" applyBorder="1" applyAlignment="1">
      <alignment horizontal="right"/>
    </xf>
    <xf numFmtId="10" fontId="0" fillId="3" borderId="14" xfId="3" applyNumberFormat="1" applyFont="1" applyFill="1" applyBorder="1" applyAlignment="1">
      <alignment horizontal="right"/>
    </xf>
    <xf numFmtId="0" fontId="2" fillId="0" borderId="0" xfId="0" applyFont="1" applyFill="1" applyBorder="1"/>
    <xf numFmtId="1" fontId="0" fillId="0" borderId="0" xfId="0" applyNumberFormat="1"/>
    <xf numFmtId="1" fontId="2" fillId="0" borderId="0" xfId="0" applyNumberFormat="1" applyFont="1" applyFill="1" applyBorder="1"/>
    <xf numFmtId="0" fontId="10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0" fontId="1" fillId="0" borderId="0" xfId="0" applyFont="1" applyFill="1" applyBorder="1"/>
    <xf numFmtId="0" fontId="14" fillId="3" borderId="0" xfId="0" applyFont="1" applyFill="1"/>
    <xf numFmtId="0" fontId="8" fillId="3" borderId="0" xfId="0" applyFont="1" applyFill="1"/>
    <xf numFmtId="0" fontId="14" fillId="3" borderId="0" xfId="0" applyFont="1" applyFill="1" applyAlignment="1">
      <alignment horizontal="center"/>
    </xf>
    <xf numFmtId="3" fontId="0" fillId="3" borderId="15" xfId="0" applyNumberFormat="1" applyFill="1" applyBorder="1" applyAlignment="1">
      <alignment horizontal="center"/>
    </xf>
    <xf numFmtId="0" fontId="0" fillId="3" borderId="16" xfId="0" applyFill="1" applyBorder="1"/>
    <xf numFmtId="0" fontId="2" fillId="3" borderId="3" xfId="0" applyFont="1" applyFill="1" applyBorder="1"/>
    <xf numFmtId="4" fontId="0" fillId="3" borderId="0" xfId="0" applyNumberFormat="1" applyFill="1" applyBorder="1"/>
    <xf numFmtId="0" fontId="15" fillId="3" borderId="0" xfId="0" applyFont="1" applyFill="1" applyBorder="1"/>
    <xf numFmtId="0" fontId="0" fillId="3" borderId="0" xfId="0" applyFill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0" fillId="3" borderId="18" xfId="0" applyFill="1" applyBorder="1"/>
    <xf numFmtId="0" fontId="12" fillId="3" borderId="9" xfId="0" applyFont="1" applyFill="1" applyBorder="1"/>
    <xf numFmtId="0" fontId="12" fillId="3" borderId="0" xfId="0" applyFont="1" applyFill="1" applyBorder="1"/>
    <xf numFmtId="0" fontId="12" fillId="3" borderId="10" xfId="0" applyFont="1" applyFill="1" applyBorder="1"/>
    <xf numFmtId="0" fontId="2" fillId="3" borderId="0" xfId="0" applyFont="1" applyFill="1" applyBorder="1"/>
    <xf numFmtId="0" fontId="12" fillId="3" borderId="18" xfId="0" applyFont="1" applyFill="1" applyBorder="1"/>
    <xf numFmtId="0" fontId="12" fillId="3" borderId="19" xfId="0" applyFont="1" applyFill="1" applyBorder="1"/>
    <xf numFmtId="0" fontId="12" fillId="3" borderId="20" xfId="0" applyFont="1" applyFill="1" applyBorder="1"/>
    <xf numFmtId="0" fontId="12" fillId="3" borderId="21" xfId="0" applyFont="1" applyFill="1" applyBorder="1"/>
    <xf numFmtId="0" fontId="12" fillId="3" borderId="22" xfId="0" applyFont="1" applyFill="1" applyBorder="1"/>
    <xf numFmtId="0" fontId="8" fillId="3" borderId="0" xfId="0" applyFont="1" applyFill="1" applyBorder="1" applyAlignment="1">
      <alignment horizontal="right"/>
    </xf>
    <xf numFmtId="10" fontId="18" fillId="3" borderId="0" xfId="3" applyNumberFormat="1" applyFont="1" applyFill="1" applyBorder="1" applyAlignment="1">
      <alignment horizontal="left"/>
    </xf>
    <xf numFmtId="0" fontId="8" fillId="3" borderId="19" xfId="0" applyFont="1" applyFill="1" applyBorder="1" applyAlignment="1">
      <alignment horizontal="right"/>
    </xf>
    <xf numFmtId="0" fontId="8" fillId="3" borderId="19" xfId="0" applyFont="1" applyFill="1" applyBorder="1" applyAlignment="1">
      <alignment horizontal="left"/>
    </xf>
    <xf numFmtId="10" fontId="19" fillId="3" borderId="19" xfId="3" applyNumberFormat="1" applyFont="1" applyFill="1" applyBorder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17" fillId="3" borderId="0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right"/>
    </xf>
    <xf numFmtId="3" fontId="18" fillId="3" borderId="0" xfId="0" applyNumberFormat="1" applyFont="1" applyFill="1" applyBorder="1" applyAlignment="1">
      <alignment horizontal="left"/>
    </xf>
    <xf numFmtId="189" fontId="12" fillId="3" borderId="0" xfId="0" applyNumberFormat="1" applyFont="1" applyFill="1" applyBorder="1"/>
    <xf numFmtId="10" fontId="12" fillId="3" borderId="0" xfId="0" applyNumberFormat="1" applyFont="1" applyFill="1" applyBorder="1"/>
    <xf numFmtId="0" fontId="0" fillId="3" borderId="9" xfId="0" applyFill="1" applyBorder="1"/>
    <xf numFmtId="0" fontId="2" fillId="3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23" xfId="0" applyFont="1" applyFill="1" applyBorder="1"/>
    <xf numFmtId="0" fontId="7" fillId="3" borderId="18" xfId="0" applyFont="1" applyFill="1" applyBorder="1"/>
    <xf numFmtId="3" fontId="2" fillId="2" borderId="5" xfId="0" applyNumberFormat="1" applyFont="1" applyFill="1" applyBorder="1"/>
    <xf numFmtId="1" fontId="2" fillId="2" borderId="5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211" fontId="2" fillId="3" borderId="0" xfId="0" applyNumberFormat="1" applyFont="1" applyFill="1" applyBorder="1"/>
    <xf numFmtId="4" fontId="0" fillId="0" borderId="0" xfId="0" applyNumberFormat="1" applyFill="1" applyBorder="1"/>
    <xf numFmtId="4" fontId="15" fillId="0" borderId="0" xfId="0" applyNumberFormat="1" applyFont="1" applyFill="1" applyBorder="1"/>
    <xf numFmtId="0" fontId="2" fillId="4" borderId="5" xfId="0" applyFont="1" applyFill="1" applyBorder="1"/>
    <xf numFmtId="4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 wrapText="1"/>
    </xf>
    <xf numFmtId="0" fontId="0" fillId="3" borderId="23" xfId="0" applyFill="1" applyBorder="1"/>
    <xf numFmtId="0" fontId="0" fillId="0" borderId="0" xfId="0" applyFill="1" applyBorder="1" applyAlignment="1"/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3" fontId="0" fillId="0" borderId="1" xfId="0" applyNumberFormat="1" applyBorder="1"/>
    <xf numFmtId="0" fontId="0" fillId="3" borderId="21" xfId="0" applyFill="1" applyBorder="1"/>
    <xf numFmtId="1" fontId="0" fillId="3" borderId="6" xfId="0" applyNumberFormat="1" applyFill="1" applyBorder="1"/>
    <xf numFmtId="3" fontId="7" fillId="0" borderId="0" xfId="0" applyNumberFormat="1" applyFont="1" applyFill="1"/>
    <xf numFmtId="0" fontId="2" fillId="2" borderId="26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3" fontId="2" fillId="2" borderId="24" xfId="0" applyNumberFormat="1" applyFont="1" applyFill="1" applyBorder="1"/>
    <xf numFmtId="1" fontId="2" fillId="2" borderId="25" xfId="0" applyNumberFormat="1" applyFont="1" applyFill="1" applyBorder="1"/>
    <xf numFmtId="0" fontId="2" fillId="2" borderId="27" xfId="0" applyFont="1" applyFill="1" applyBorder="1" applyAlignment="1">
      <alignment horizontal="center"/>
    </xf>
    <xf numFmtId="1" fontId="2" fillId="2" borderId="27" xfId="0" applyNumberFormat="1" applyFont="1" applyFill="1" applyBorder="1"/>
    <xf numFmtId="3" fontId="0" fillId="3" borderId="6" xfId="0" applyNumberFormat="1" applyFill="1" applyBorder="1"/>
    <xf numFmtId="2" fontId="0" fillId="3" borderId="0" xfId="0" applyNumberFormat="1" applyFill="1" applyBorder="1"/>
    <xf numFmtId="208" fontId="0" fillId="3" borderId="0" xfId="3" applyNumberFormat="1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13" xfId="0" applyFill="1" applyBorder="1"/>
    <xf numFmtId="1" fontId="0" fillId="3" borderId="1" xfId="0" applyNumberFormat="1" applyFill="1" applyBorder="1"/>
    <xf numFmtId="1" fontId="0" fillId="3" borderId="2" xfId="0" applyNumberFormat="1" applyFill="1" applyBorder="1"/>
    <xf numFmtId="0" fontId="6" fillId="3" borderId="11" xfId="0" applyFont="1" applyFill="1" applyBorder="1" applyAlignment="1">
      <alignment horizontal="left"/>
    </xf>
    <xf numFmtId="1" fontId="0" fillId="3" borderId="28" xfId="0" applyNumberFormat="1" applyFill="1" applyBorder="1"/>
    <xf numFmtId="0" fontId="0" fillId="3" borderId="28" xfId="0" applyFill="1" applyBorder="1"/>
    <xf numFmtId="1" fontId="0" fillId="3" borderId="12" xfId="0" applyNumberFormat="1" applyFill="1" applyBorder="1"/>
    <xf numFmtId="0" fontId="6" fillId="3" borderId="3" xfId="0" applyFont="1" applyFill="1" applyBorder="1"/>
    <xf numFmtId="1" fontId="0" fillId="3" borderId="13" xfId="0" applyNumberFormat="1" applyFill="1" applyBorder="1"/>
    <xf numFmtId="1" fontId="0" fillId="3" borderId="29" xfId="0" applyNumberFormat="1" applyFill="1" applyBorder="1"/>
    <xf numFmtId="1" fontId="0" fillId="3" borderId="30" xfId="0" applyNumberFormat="1" applyFill="1" applyBorder="1"/>
    <xf numFmtId="0" fontId="0" fillId="3" borderId="1" xfId="0" applyFill="1" applyBorder="1" applyAlignment="1">
      <alignment horizontal="center"/>
    </xf>
    <xf numFmtId="0" fontId="4" fillId="2" borderId="2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/>
    <xf numFmtId="0" fontId="0" fillId="3" borderId="28" xfId="0" applyFill="1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" fontId="0" fillId="0" borderId="33" xfId="0" applyNumberForma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3" fontId="0" fillId="3" borderId="15" xfId="0" applyNumberFormat="1" applyFill="1" applyBorder="1"/>
    <xf numFmtId="3" fontId="0" fillId="3" borderId="36" xfId="0" applyNumberFormat="1" applyFill="1" applyBorder="1"/>
    <xf numFmtId="3" fontId="0" fillId="3" borderId="1" xfId="0" applyNumberFormat="1" applyFill="1" applyBorder="1"/>
    <xf numFmtId="3" fontId="2" fillId="2" borderId="27" xfId="0" applyNumberFormat="1" applyFont="1" applyFill="1" applyBorder="1"/>
    <xf numFmtId="0" fontId="2" fillId="2" borderId="24" xfId="0" applyFont="1" applyFill="1" applyBorder="1"/>
    <xf numFmtId="3" fontId="2" fillId="2" borderId="25" xfId="0" applyNumberFormat="1" applyFont="1" applyFill="1" applyBorder="1"/>
    <xf numFmtId="3" fontId="2" fillId="2" borderId="25" xfId="0" applyNumberFormat="1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4" fillId="2" borderId="29" xfId="0" applyFont="1" applyFill="1" applyBorder="1" applyAlignment="1">
      <alignment horizontal="center" vertical="center" wrapText="1"/>
    </xf>
    <xf numFmtId="1" fontId="0" fillId="0" borderId="13" xfId="0" applyNumberFormat="1" applyBorder="1"/>
    <xf numFmtId="1" fontId="0" fillId="0" borderId="37" xfId="0" applyNumberFormat="1" applyBorder="1"/>
    <xf numFmtId="2" fontId="0" fillId="3" borderId="28" xfId="0" applyNumberFormat="1" applyFill="1" applyBorder="1" applyAlignment="1">
      <alignment horizontal="center"/>
    </xf>
    <xf numFmtId="1" fontId="0" fillId="3" borderId="28" xfId="3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1" fontId="0" fillId="3" borderId="2" xfId="3" applyNumberFormat="1" applyFont="1" applyFill="1" applyBorder="1" applyAlignment="1">
      <alignment horizontal="center"/>
    </xf>
    <xf numFmtId="1" fontId="0" fillId="3" borderId="14" xfId="0" applyNumberFormat="1" applyFill="1" applyBorder="1"/>
    <xf numFmtId="0" fontId="0" fillId="2" borderId="25" xfId="0" applyFill="1" applyBorder="1"/>
    <xf numFmtId="1" fontId="2" fillId="2" borderId="25" xfId="0" applyNumberFormat="1" applyFont="1" applyFill="1" applyBorder="1" applyAlignment="1">
      <alignment horizontal="center"/>
    </xf>
    <xf numFmtId="1" fontId="2" fillId="2" borderId="32" xfId="0" applyNumberFormat="1" applyFont="1" applyFill="1" applyBorder="1"/>
    <xf numFmtId="0" fontId="0" fillId="0" borderId="38" xfId="0" applyBorder="1"/>
    <xf numFmtId="1" fontId="0" fillId="0" borderId="39" xfId="0" applyNumberFormat="1" applyBorder="1"/>
    <xf numFmtId="1" fontId="2" fillId="2" borderId="27" xfId="0" applyNumberFormat="1" applyFont="1" applyFill="1" applyBorder="1" applyAlignment="1">
      <alignment horizontal="center"/>
    </xf>
    <xf numFmtId="0" fontId="21" fillId="0" borderId="0" xfId="0" applyFont="1"/>
    <xf numFmtId="1" fontId="2" fillId="3" borderId="1" xfId="0" applyNumberFormat="1" applyFont="1" applyFill="1" applyBorder="1"/>
    <xf numFmtId="0" fontId="2" fillId="3" borderId="4" xfId="0" applyFont="1" applyFill="1" applyBorder="1"/>
    <xf numFmtId="1" fontId="2" fillId="3" borderId="2" xfId="0" applyNumberFormat="1" applyFont="1" applyFill="1" applyBorder="1" applyAlignment="1">
      <alignment horizontal="center"/>
    </xf>
    <xf numFmtId="207" fontId="1" fillId="0" borderId="13" xfId="2" applyBorder="1"/>
    <xf numFmtId="0" fontId="2" fillId="0" borderId="28" xfId="0" applyFont="1" applyFill="1" applyBorder="1"/>
    <xf numFmtId="2" fontId="0" fillId="3" borderId="1" xfId="0" applyNumberFormat="1" applyFill="1" applyBorder="1"/>
    <xf numFmtId="0" fontId="2" fillId="2" borderId="2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9" fontId="0" fillId="0" borderId="0" xfId="0" applyNumberFormat="1"/>
    <xf numFmtId="0" fontId="4" fillId="2" borderId="8" xfId="0" applyFont="1" applyFill="1" applyBorder="1" applyAlignment="1">
      <alignment horizontal="center" vertical="center"/>
    </xf>
    <xf numFmtId="0" fontId="12" fillId="3" borderId="23" xfId="0" applyFont="1" applyFill="1" applyBorder="1"/>
    <xf numFmtId="0" fontId="8" fillId="3" borderId="21" xfId="0" applyFont="1" applyFill="1" applyBorder="1" applyAlignment="1">
      <alignment horizontal="right"/>
    </xf>
    <xf numFmtId="10" fontId="18" fillId="3" borderId="21" xfId="3" applyNumberFormat="1" applyFont="1" applyFill="1" applyBorder="1" applyAlignment="1">
      <alignment horizontal="left"/>
    </xf>
    <xf numFmtId="0" fontId="0" fillId="0" borderId="11" xfId="0" applyBorder="1"/>
    <xf numFmtId="1" fontId="0" fillId="0" borderId="28" xfId="0" applyNumberFormat="1" applyBorder="1"/>
    <xf numFmtId="9" fontId="0" fillId="0" borderId="12" xfId="0" applyNumberFormat="1" applyBorder="1"/>
    <xf numFmtId="0" fontId="7" fillId="0" borderId="3" xfId="0" applyFont="1" applyBorder="1"/>
    <xf numFmtId="9" fontId="0" fillId="0" borderId="13" xfId="0" applyNumberFormat="1" applyBorder="1"/>
    <xf numFmtId="0" fontId="7" fillId="0" borderId="40" xfId="0" applyFont="1" applyBorder="1"/>
    <xf numFmtId="1" fontId="0" fillId="0" borderId="29" xfId="0" applyNumberFormat="1" applyBorder="1"/>
    <xf numFmtId="9" fontId="0" fillId="0" borderId="30" xfId="0" applyNumberFormat="1" applyBorder="1"/>
    <xf numFmtId="0" fontId="21" fillId="0" borderId="3" xfId="0" applyFont="1" applyFill="1" applyBorder="1"/>
    <xf numFmtId="0" fontId="7" fillId="3" borderId="3" xfId="0" applyFont="1" applyFill="1" applyBorder="1"/>
    <xf numFmtId="0" fontId="2" fillId="0" borderId="11" xfId="0" applyFont="1" applyFill="1" applyBorder="1"/>
    <xf numFmtId="0" fontId="2" fillId="0" borderId="4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1" fontId="0" fillId="0" borderId="0" xfId="3" applyNumberFormat="1" applyFont="1" applyFill="1" applyBorder="1" applyAlignment="1">
      <alignment horizontal="center"/>
    </xf>
    <xf numFmtId="1" fontId="0" fillId="0" borderId="0" xfId="0" applyNumberFormat="1" applyFill="1" applyBorder="1"/>
    <xf numFmtId="0" fontId="2" fillId="0" borderId="38" xfId="0" applyFont="1" applyFill="1" applyBorder="1"/>
    <xf numFmtId="2" fontId="0" fillId="3" borderId="37" xfId="0" applyNumberFormat="1" applyFill="1" applyBorder="1" applyAlignment="1">
      <alignment horizontal="center"/>
    </xf>
    <xf numFmtId="1" fontId="0" fillId="3" borderId="37" xfId="3" applyNumberFormat="1" applyFont="1" applyFill="1" applyBorder="1" applyAlignment="1">
      <alignment horizontal="center"/>
    </xf>
    <xf numFmtId="1" fontId="0" fillId="3" borderId="37" xfId="0" applyNumberFormat="1" applyFill="1" applyBorder="1"/>
    <xf numFmtId="1" fontId="0" fillId="3" borderId="39" xfId="0" applyNumberFormat="1" applyFill="1" applyBorder="1"/>
    <xf numFmtId="0" fontId="2" fillId="0" borderId="3" xfId="0" applyFont="1" applyFill="1" applyBorder="1"/>
    <xf numFmtId="2" fontId="0" fillId="3" borderId="1" xfId="0" applyNumberFormat="1" applyFill="1" applyBorder="1" applyAlignment="1">
      <alignment horizontal="center"/>
    </xf>
    <xf numFmtId="1" fontId="0" fillId="3" borderId="1" xfId="3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9" xfId="0" applyBorder="1"/>
    <xf numFmtId="0" fontId="0" fillId="0" borderId="18" xfId="0" applyBorder="1"/>
    <xf numFmtId="1" fontId="2" fillId="0" borderId="0" xfId="0" applyNumberFormat="1" applyFont="1" applyFill="1" applyBorder="1" applyAlignment="1">
      <alignment horizontal="center" vertical="center"/>
    </xf>
    <xf numFmtId="0" fontId="2" fillId="3" borderId="40" xfId="0" applyFont="1" applyFill="1" applyBorder="1"/>
    <xf numFmtId="0" fontId="7" fillId="0" borderId="1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" fontId="7" fillId="0" borderId="37" xfId="0" applyNumberFormat="1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1" fontId="7" fillId="0" borderId="32" xfId="0" applyNumberFormat="1" applyFont="1" applyBorder="1" applyAlignment="1">
      <alignment horizontal="center"/>
    </xf>
    <xf numFmtId="1" fontId="7" fillId="0" borderId="33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2" fillId="2" borderId="11" xfId="0" applyFont="1" applyFill="1" applyBorder="1" applyAlignment="1">
      <alignment horizontal="center" vertical="center" wrapText="1"/>
    </xf>
    <xf numFmtId="0" fontId="22" fillId="2" borderId="28" xfId="0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horizontal="center" vertical="center" wrapText="1"/>
    </xf>
    <xf numFmtId="207" fontId="23" fillId="0" borderId="13" xfId="2" applyFont="1" applyFill="1" applyBorder="1"/>
    <xf numFmtId="207" fontId="21" fillId="0" borderId="13" xfId="2" applyFont="1" applyFill="1" applyBorder="1"/>
    <xf numFmtId="207" fontId="23" fillId="2" borderId="30" xfId="2" applyFont="1" applyFill="1" applyBorder="1"/>
    <xf numFmtId="3" fontId="4" fillId="0" borderId="3" xfId="0" applyNumberFormat="1" applyFont="1" applyFill="1" applyBorder="1"/>
    <xf numFmtId="210" fontId="0" fillId="0" borderId="13" xfId="0" applyNumberFormat="1" applyBorder="1"/>
    <xf numFmtId="0" fontId="4" fillId="0" borderId="3" xfId="0" applyFont="1" applyFill="1" applyBorder="1"/>
    <xf numFmtId="0" fontId="4" fillId="3" borderId="38" xfId="0" applyFont="1" applyFill="1" applyBorder="1"/>
    <xf numFmtId="3" fontId="4" fillId="0" borderId="4" xfId="0" applyNumberFormat="1" applyFont="1" applyFill="1" applyBorder="1"/>
    <xf numFmtId="210" fontId="0" fillId="0" borderId="14" xfId="0" applyNumberFormat="1" applyBorder="1"/>
    <xf numFmtId="208" fontId="0" fillId="3" borderId="13" xfId="3" applyNumberFormat="1" applyFont="1" applyFill="1" applyBorder="1"/>
    <xf numFmtId="208" fontId="0" fillId="3" borderId="1" xfId="0" applyNumberFormat="1" applyFill="1" applyBorder="1"/>
    <xf numFmtId="211" fontId="0" fillId="3" borderId="13" xfId="0" applyNumberFormat="1" applyFill="1" applyBorder="1"/>
    <xf numFmtId="0" fontId="21" fillId="0" borderId="0" xfId="0" applyFont="1" applyFill="1"/>
    <xf numFmtId="43" fontId="21" fillId="0" borderId="0" xfId="0" applyNumberFormat="1" applyFont="1" applyFill="1"/>
    <xf numFmtId="10" fontId="0" fillId="0" borderId="13" xfId="0" applyNumberFormat="1" applyBorder="1" applyAlignment="1">
      <alignment horizontal="right"/>
    </xf>
    <xf numFmtId="10" fontId="0" fillId="0" borderId="13" xfId="0" applyNumberFormat="1" applyBorder="1"/>
    <xf numFmtId="0" fontId="0" fillId="0" borderId="40" xfId="0" applyBorder="1"/>
    <xf numFmtId="3" fontId="0" fillId="0" borderId="29" xfId="0" applyNumberFormat="1" applyBorder="1"/>
    <xf numFmtId="10" fontId="0" fillId="0" borderId="30" xfId="0" applyNumberFormat="1" applyBorder="1"/>
    <xf numFmtId="10" fontId="0" fillId="0" borderId="39" xfId="0" applyNumberFormat="1" applyBorder="1"/>
    <xf numFmtId="0" fontId="0" fillId="0" borderId="3" xfId="0" applyFill="1" applyBorder="1"/>
    <xf numFmtId="3" fontId="0" fillId="0" borderId="1" xfId="0" applyNumberFormat="1" applyFill="1" applyBorder="1"/>
    <xf numFmtId="10" fontId="0" fillId="0" borderId="13" xfId="0" applyNumberFormat="1" applyFill="1" applyBorder="1"/>
    <xf numFmtId="3" fontId="2" fillId="0" borderId="1" xfId="0" applyNumberFormat="1" applyFont="1" applyBorder="1"/>
    <xf numFmtId="10" fontId="2" fillId="0" borderId="13" xfId="0" applyNumberFormat="1" applyFont="1" applyBorder="1"/>
    <xf numFmtId="0" fontId="0" fillId="0" borderId="40" xfId="0" applyFill="1" applyBorder="1"/>
    <xf numFmtId="3" fontId="0" fillId="0" borderId="29" xfId="0" applyNumberFormat="1" applyFill="1" applyBorder="1"/>
    <xf numFmtId="10" fontId="0" fillId="0" borderId="30" xfId="0" applyNumberFormat="1" applyFill="1" applyBorder="1"/>
    <xf numFmtId="210" fontId="2" fillId="3" borderId="13" xfId="0" applyNumberFormat="1" applyFont="1" applyFill="1" applyBorder="1" applyAlignment="1">
      <alignment horizontal="right"/>
    </xf>
    <xf numFmtId="0" fontId="2" fillId="0" borderId="3" xfId="0" applyFont="1" applyBorder="1"/>
    <xf numFmtId="3" fontId="7" fillId="0" borderId="1" xfId="0" applyNumberFormat="1" applyFont="1" applyBorder="1"/>
    <xf numFmtId="10" fontId="7" fillId="0" borderId="13" xfId="0" applyNumberFormat="1" applyFont="1" applyBorder="1"/>
    <xf numFmtId="0" fontId="4" fillId="3" borderId="1" xfId="0" applyFont="1" applyFill="1" applyBorder="1"/>
    <xf numFmtId="0" fontId="6" fillId="0" borderId="1" xfId="0" applyFont="1" applyFill="1" applyBorder="1"/>
    <xf numFmtId="0" fontId="6" fillId="3" borderId="1" xfId="0" applyFont="1" applyFill="1" applyBorder="1" applyAlignment="1">
      <alignment horizontal="right"/>
    </xf>
    <xf numFmtId="0" fontId="6" fillId="3" borderId="1" xfId="0" applyFont="1" applyFill="1" applyBorder="1"/>
    <xf numFmtId="1" fontId="6" fillId="3" borderId="1" xfId="0" applyNumberFormat="1" applyFont="1" applyFill="1" applyBorder="1" applyAlignment="1">
      <alignment horizontal="right"/>
    </xf>
    <xf numFmtId="1" fontId="6" fillId="3" borderId="1" xfId="0" applyNumberFormat="1" applyFont="1" applyFill="1" applyBorder="1"/>
    <xf numFmtId="210" fontId="0" fillId="0" borderId="1" xfId="0" applyNumberForma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210" fontId="0" fillId="3" borderId="1" xfId="0" applyNumberForma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0" fillId="0" borderId="29" xfId="0" applyNumberFormat="1" applyBorder="1"/>
    <xf numFmtId="0" fontId="27" fillId="0" borderId="11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1" fontId="27" fillId="0" borderId="37" xfId="0" applyNumberFormat="1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40" xfId="0" applyFont="1" applyBorder="1" applyAlignment="1">
      <alignment horizontal="center"/>
    </xf>
    <xf numFmtId="1" fontId="27" fillId="0" borderId="39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7" fillId="0" borderId="39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/>
    </xf>
    <xf numFmtId="3" fontId="2" fillId="3" borderId="1" xfId="0" applyNumberFormat="1" applyFont="1" applyFill="1" applyBorder="1"/>
    <xf numFmtId="0" fontId="0" fillId="0" borderId="1" xfId="0" applyFill="1" applyBorder="1"/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center" vertical="center"/>
    </xf>
    <xf numFmtId="0" fontId="7" fillId="3" borderId="38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vertical="center"/>
    </xf>
    <xf numFmtId="1" fontId="0" fillId="0" borderId="28" xfId="0" applyNumberFormat="1" applyFill="1" applyBorder="1"/>
    <xf numFmtId="1" fontId="7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10" fontId="0" fillId="0" borderId="1" xfId="0" applyNumberFormat="1" applyFill="1" applyBorder="1" applyAlignment="1">
      <alignment horizontal="center"/>
    </xf>
    <xf numFmtId="210" fontId="0" fillId="3" borderId="1" xfId="0" applyNumberFormat="1" applyFill="1" applyBorder="1"/>
    <xf numFmtId="0" fontId="2" fillId="5" borderId="42" xfId="0" applyFont="1" applyFill="1" applyBorder="1"/>
    <xf numFmtId="0" fontId="0" fillId="5" borderId="17" xfId="0" applyFill="1" applyBorder="1"/>
    <xf numFmtId="207" fontId="0" fillId="3" borderId="1" xfId="2" applyFont="1" applyFill="1" applyBorder="1" applyAlignment="1">
      <alignment horizontal="center"/>
    </xf>
    <xf numFmtId="1" fontId="7" fillId="0" borderId="7" xfId="0" applyNumberFormat="1" applyFont="1" applyBorder="1"/>
    <xf numFmtId="0" fontId="2" fillId="0" borderId="40" xfId="0" applyFont="1" applyFill="1" applyBorder="1"/>
    <xf numFmtId="2" fontId="0" fillId="3" borderId="29" xfId="0" applyNumberFormat="1" applyFill="1" applyBorder="1" applyAlignment="1">
      <alignment horizontal="center"/>
    </xf>
    <xf numFmtId="1" fontId="0" fillId="3" borderId="29" xfId="3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9" fontId="0" fillId="0" borderId="28" xfId="0" applyNumberFormat="1" applyFill="1" applyBorder="1"/>
    <xf numFmtId="9" fontId="0" fillId="0" borderId="12" xfId="0" applyNumberFormat="1" applyFill="1" applyBorder="1"/>
    <xf numFmtId="9" fontId="0" fillId="0" borderId="1" xfId="0" applyNumberFormat="1" applyFill="1" applyBorder="1"/>
    <xf numFmtId="9" fontId="0" fillId="0" borderId="13" xfId="0" applyNumberFormat="1" applyFill="1" applyBorder="1"/>
    <xf numFmtId="0" fontId="2" fillId="2" borderId="41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1" xfId="0" applyFont="1" applyFill="1" applyBorder="1"/>
    <xf numFmtId="0" fontId="2" fillId="2" borderId="32" xfId="0" applyFont="1" applyFill="1" applyBorder="1"/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29" xfId="0" applyBorder="1"/>
    <xf numFmtId="0" fontId="2" fillId="6" borderId="25" xfId="0" applyFont="1" applyFill="1" applyBorder="1" applyAlignment="1">
      <alignment horizontal="center" vertical="center"/>
    </xf>
    <xf numFmtId="1" fontId="2" fillId="6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/>
    </xf>
    <xf numFmtId="0" fontId="0" fillId="3" borderId="38" xfId="0" applyFill="1" applyBorder="1"/>
    <xf numFmtId="1" fontId="0" fillId="0" borderId="37" xfId="0" applyNumberForma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0" fillId="3" borderId="37" xfId="0" applyNumberFormat="1" applyFill="1" applyBorder="1" applyAlignment="1">
      <alignment horizontal="center"/>
    </xf>
    <xf numFmtId="0" fontId="4" fillId="3" borderId="3" xfId="0" applyFont="1" applyFill="1" applyBorder="1"/>
    <xf numFmtId="0" fontId="6" fillId="3" borderId="13" xfId="0" applyFont="1" applyFill="1" applyBorder="1"/>
    <xf numFmtId="0" fontId="6" fillId="3" borderId="13" xfId="0" applyFont="1" applyFill="1" applyBorder="1" applyAlignment="1">
      <alignment horizontal="right"/>
    </xf>
    <xf numFmtId="0" fontId="6" fillId="0" borderId="3" xfId="0" applyFont="1" applyFill="1" applyBorder="1"/>
    <xf numFmtId="0" fontId="6" fillId="3" borderId="3" xfId="0" applyFont="1" applyFill="1" applyBorder="1" applyAlignment="1">
      <alignment horizontal="left"/>
    </xf>
    <xf numFmtId="1" fontId="6" fillId="3" borderId="13" xfId="0" applyNumberFormat="1" applyFont="1" applyFill="1" applyBorder="1"/>
    <xf numFmtId="0" fontId="0" fillId="0" borderId="0" xfId="0" applyFont="1" applyFill="1" applyBorder="1"/>
    <xf numFmtId="0" fontId="7" fillId="0" borderId="38" xfId="0" applyFont="1" applyFill="1" applyBorder="1"/>
    <xf numFmtId="0" fontId="0" fillId="0" borderId="37" xfId="0" applyFill="1" applyBorder="1"/>
    <xf numFmtId="0" fontId="0" fillId="0" borderId="39" xfId="0" applyFill="1" applyBorder="1"/>
    <xf numFmtId="0" fontId="7" fillId="0" borderId="3" xfId="0" applyFont="1" applyFill="1" applyBorder="1"/>
    <xf numFmtId="0" fontId="7" fillId="0" borderId="1" xfId="0" applyFont="1" applyFill="1" applyBorder="1"/>
    <xf numFmtId="0" fontId="0" fillId="0" borderId="13" xfId="0" applyFill="1" applyBorder="1"/>
    <xf numFmtId="0" fontId="0" fillId="0" borderId="13" xfId="0" applyBorder="1"/>
    <xf numFmtId="0" fontId="2" fillId="7" borderId="41" xfId="0" applyFont="1" applyFill="1" applyBorder="1" applyAlignment="1">
      <alignment horizontal="center"/>
    </xf>
    <xf numFmtId="0" fontId="2" fillId="7" borderId="34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2" fillId="7" borderId="32" xfId="0" applyFont="1" applyFill="1" applyBorder="1"/>
    <xf numFmtId="0" fontId="2" fillId="7" borderId="33" xfId="0" applyFont="1" applyFill="1" applyBorder="1"/>
    <xf numFmtId="0" fontId="7" fillId="0" borderId="11" xfId="0" applyFont="1" applyBorder="1"/>
    <xf numFmtId="0" fontId="0" fillId="0" borderId="12" xfId="0" applyBorder="1"/>
    <xf numFmtId="0" fontId="0" fillId="0" borderId="30" xfId="0" applyBorder="1"/>
    <xf numFmtId="1" fontId="7" fillId="3" borderId="1" xfId="0" applyNumberFormat="1" applyFont="1" applyFill="1" applyBorder="1" applyAlignment="1">
      <alignment horizontal="right"/>
    </xf>
    <xf numFmtId="0" fontId="0" fillId="0" borderId="28" xfId="0" applyFill="1" applyBorder="1"/>
    <xf numFmtId="0" fontId="0" fillId="0" borderId="29" xfId="0" applyFill="1" applyBorder="1"/>
    <xf numFmtId="0" fontId="7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9" fontId="2" fillId="0" borderId="0" xfId="0" applyNumberFormat="1" applyFont="1" applyFill="1" applyBorder="1"/>
    <xf numFmtId="208" fontId="0" fillId="0" borderId="12" xfId="0" applyNumberFormat="1" applyBorder="1"/>
    <xf numFmtId="208" fontId="0" fillId="0" borderId="13" xfId="0" applyNumberFormat="1" applyBorder="1"/>
    <xf numFmtId="208" fontId="0" fillId="0" borderId="14" xfId="0" applyNumberFormat="1" applyBorder="1"/>
    <xf numFmtId="9" fontId="2" fillId="2" borderId="27" xfId="0" applyNumberFormat="1" applyFont="1" applyFill="1" applyBorder="1"/>
    <xf numFmtId="0" fontId="7" fillId="0" borderId="4" xfId="0" applyFont="1" applyBorder="1"/>
    <xf numFmtId="0" fontId="6" fillId="0" borderId="1" xfId="0" applyFont="1" applyFill="1" applyBorder="1" applyAlignment="1">
      <alignment horizontal="right"/>
    </xf>
    <xf numFmtId="1" fontId="0" fillId="0" borderId="1" xfId="0" applyNumberFormat="1" applyFill="1" applyBorder="1"/>
    <xf numFmtId="2" fontId="0" fillId="0" borderId="1" xfId="0" applyNumberFormat="1" applyFill="1" applyBorder="1"/>
    <xf numFmtId="0" fontId="4" fillId="3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/>
    <xf numFmtId="1" fontId="4" fillId="8" borderId="1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1" fontId="6" fillId="3" borderId="2" xfId="0" applyNumberFormat="1" applyFont="1" applyFill="1" applyBorder="1"/>
    <xf numFmtId="0" fontId="0" fillId="0" borderId="2" xfId="0" applyFill="1" applyBorder="1"/>
    <xf numFmtId="0" fontId="0" fillId="0" borderId="14" xfId="0" applyFill="1" applyBorder="1"/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left" indent="1"/>
    </xf>
    <xf numFmtId="0" fontId="4" fillId="8" borderId="25" xfId="0" applyFont="1" applyFill="1" applyBorder="1"/>
    <xf numFmtId="1" fontId="4" fillId="8" borderId="25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/>
    </xf>
    <xf numFmtId="0" fontId="4" fillId="8" borderId="3" xfId="0" applyFont="1" applyFill="1" applyBorder="1"/>
    <xf numFmtId="0" fontId="4" fillId="8" borderId="3" xfId="0" applyFont="1" applyFill="1" applyBorder="1" applyAlignment="1">
      <alignment horizontal="center"/>
    </xf>
    <xf numFmtId="0" fontId="6" fillId="8" borderId="1" xfId="0" applyFont="1" applyFill="1" applyBorder="1"/>
    <xf numFmtId="0" fontId="2" fillId="8" borderId="1" xfId="0" applyFont="1" applyFill="1" applyBorder="1"/>
    <xf numFmtId="0" fontId="2" fillId="8" borderId="13" xfId="0" applyFont="1" applyFill="1" applyBorder="1"/>
    <xf numFmtId="1" fontId="2" fillId="8" borderId="1" xfId="0" applyNumberFormat="1" applyFont="1" applyFill="1" applyBorder="1"/>
    <xf numFmtId="0" fontId="4" fillId="0" borderId="11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justify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/>
    <xf numFmtId="0" fontId="2" fillId="8" borderId="25" xfId="0" applyFont="1" applyFill="1" applyBorder="1"/>
    <xf numFmtId="0" fontId="2" fillId="8" borderId="27" xfId="0" applyFont="1" applyFill="1" applyBorder="1"/>
    <xf numFmtId="1" fontId="2" fillId="8" borderId="25" xfId="0" applyNumberFormat="1" applyFont="1" applyFill="1" applyBorder="1"/>
    <xf numFmtId="1" fontId="2" fillId="8" borderId="12" xfId="0" applyNumberFormat="1" applyFont="1" applyFill="1" applyBorder="1" applyAlignment="1">
      <alignment vertical="center"/>
    </xf>
    <xf numFmtId="208" fontId="2" fillId="8" borderId="30" xfId="3" applyNumberFormat="1" applyFont="1" applyFill="1" applyBorder="1" applyAlignment="1">
      <alignment vertical="center"/>
    </xf>
    <xf numFmtId="1" fontId="0" fillId="0" borderId="28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/>
    <xf numFmtId="1" fontId="2" fillId="2" borderId="33" xfId="0" applyNumberFormat="1" applyFont="1" applyFill="1" applyBorder="1"/>
    <xf numFmtId="1" fontId="27" fillId="0" borderId="28" xfId="0" applyNumberFormat="1" applyFont="1" applyBorder="1" applyAlignment="1">
      <alignment horizontal="center"/>
    </xf>
    <xf numFmtId="1" fontId="27" fillId="0" borderId="12" xfId="0" applyNumberFormat="1" applyFont="1" applyBorder="1" applyAlignment="1">
      <alignment horizontal="center"/>
    </xf>
    <xf numFmtId="0" fontId="7" fillId="0" borderId="1" xfId="0" applyFont="1" applyBorder="1"/>
    <xf numFmtId="207" fontId="7" fillId="0" borderId="1" xfId="2" applyFont="1" applyBorder="1"/>
    <xf numFmtId="207" fontId="7" fillId="0" borderId="1" xfId="2" applyFont="1" applyFill="1" applyBorder="1"/>
    <xf numFmtId="207" fontId="2" fillId="0" borderId="13" xfId="2" applyFont="1" applyBorder="1"/>
    <xf numFmtId="207" fontId="7" fillId="0" borderId="13" xfId="2" applyFont="1" applyBorder="1"/>
    <xf numFmtId="207" fontId="7" fillId="0" borderId="1" xfId="2" applyFont="1" applyFill="1" applyBorder="1" applyAlignment="1">
      <alignment vertical="center"/>
    </xf>
    <xf numFmtId="207" fontId="2" fillId="0" borderId="39" xfId="2" applyFont="1" applyFill="1" applyBorder="1" applyAlignment="1">
      <alignment horizontal="center" vertical="center" wrapText="1"/>
    </xf>
    <xf numFmtId="0" fontId="22" fillId="2" borderId="24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 wrapText="1"/>
    </xf>
    <xf numFmtId="207" fontId="2" fillId="0" borderId="12" xfId="2" applyFont="1" applyFill="1" applyBorder="1"/>
    <xf numFmtId="207" fontId="23" fillId="0" borderId="14" xfId="2" applyFont="1" applyFill="1" applyBorder="1"/>
    <xf numFmtId="207" fontId="2" fillId="2" borderId="27" xfId="2" applyFont="1" applyFill="1" applyBorder="1"/>
    <xf numFmtId="207" fontId="23" fillId="2" borderId="33" xfId="2" applyFont="1" applyFill="1" applyBorder="1"/>
    <xf numFmtId="207" fontId="23" fillId="0" borderId="12" xfId="2" applyFont="1" applyFill="1" applyBorder="1"/>
    <xf numFmtId="207" fontId="23" fillId="0" borderId="30" xfId="2" applyFont="1" applyFill="1" applyBorder="1"/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/>
    <xf numFmtId="0" fontId="2" fillId="6" borderId="27" xfId="0" applyFont="1" applyFill="1" applyBorder="1"/>
    <xf numFmtId="1" fontId="2" fillId="6" borderId="33" xfId="0" applyNumberFormat="1" applyFont="1" applyFill="1" applyBorder="1"/>
    <xf numFmtId="0" fontId="2" fillId="6" borderId="24" xfId="0" applyFont="1" applyFill="1" applyBorder="1"/>
    <xf numFmtId="0" fontId="2" fillId="6" borderId="25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12" fillId="2" borderId="4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/>
    </xf>
    <xf numFmtId="1" fontId="2" fillId="3" borderId="28" xfId="0" applyNumberFormat="1" applyFont="1" applyFill="1" applyBorder="1" applyAlignment="1">
      <alignment horizontal="center"/>
    </xf>
    <xf numFmtId="0" fontId="0" fillId="0" borderId="12" xfId="0" applyFill="1" applyBorder="1"/>
    <xf numFmtId="0" fontId="7" fillId="3" borderId="3" xfId="0" applyFont="1" applyFill="1" applyBorder="1" applyAlignment="1">
      <alignment horizontal="left"/>
    </xf>
    <xf numFmtId="3" fontId="2" fillId="3" borderId="11" xfId="0" applyNumberFormat="1" applyFont="1" applyFill="1" applyBorder="1" applyAlignment="1">
      <alignment horizontal="left"/>
    </xf>
    <xf numFmtId="3" fontId="7" fillId="3" borderId="3" xfId="0" applyNumberFormat="1" applyFont="1" applyFill="1" applyBorder="1" applyAlignment="1">
      <alignment horizontal="left"/>
    </xf>
    <xf numFmtId="1" fontId="7" fillId="3" borderId="1" xfId="0" applyNumberFormat="1" applyFont="1" applyFill="1" applyBorder="1"/>
    <xf numFmtId="3" fontId="0" fillId="3" borderId="3" xfId="0" applyNumberFormat="1" applyFill="1" applyBorder="1" applyAlignment="1">
      <alignment horizontal="left"/>
    </xf>
    <xf numFmtId="3" fontId="2" fillId="2" borderId="31" xfId="0" applyNumberFormat="1" applyFont="1" applyFill="1" applyBorder="1"/>
    <xf numFmtId="0" fontId="7" fillId="3" borderId="31" xfId="0" applyFont="1" applyFill="1" applyBorder="1" applyAlignment="1">
      <alignment horizontal="left"/>
    </xf>
    <xf numFmtId="1" fontId="2" fillId="2" borderId="17" xfId="0" applyNumberFormat="1" applyFont="1" applyFill="1" applyBorder="1"/>
    <xf numFmtId="3" fontId="0" fillId="3" borderId="4" xfId="0" applyNumberFormat="1" applyFill="1" applyBorder="1" applyAlignment="1">
      <alignment horizontal="left"/>
    </xf>
    <xf numFmtId="3" fontId="2" fillId="3" borderId="38" xfId="0" applyNumberFormat="1" applyFont="1" applyFill="1" applyBorder="1" applyAlignment="1">
      <alignment horizontal="left"/>
    </xf>
    <xf numFmtId="3" fontId="0" fillId="3" borderId="3" xfId="0" applyNumberFormat="1" applyFill="1" applyBorder="1"/>
    <xf numFmtId="0" fontId="2" fillId="3" borderId="38" xfId="0" applyFont="1" applyFill="1" applyBorder="1" applyAlignment="1">
      <alignment horizontal="left"/>
    </xf>
    <xf numFmtId="1" fontId="2" fillId="3" borderId="37" xfId="0" applyNumberFormat="1" applyFont="1" applyFill="1" applyBorder="1" applyAlignment="1">
      <alignment horizontal="center"/>
    </xf>
    <xf numFmtId="3" fontId="0" fillId="0" borderId="4" xfId="0" applyNumberFormat="1" applyFill="1" applyBorder="1"/>
    <xf numFmtId="1" fontId="0" fillId="3" borderId="2" xfId="0" applyNumberFormat="1" applyFill="1" applyBorder="1" applyAlignment="1">
      <alignment horizontal="right"/>
    </xf>
    <xf numFmtId="0" fontId="11" fillId="0" borderId="4" xfId="1" applyFont="1" applyFill="1" applyBorder="1" applyAlignment="1" applyProtection="1"/>
    <xf numFmtId="3" fontId="0" fillId="3" borderId="4" xfId="0" applyNumberFormat="1" applyFill="1" applyBorder="1"/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210" fontId="2" fillId="3" borderId="14" xfId="0" applyNumberFormat="1" applyFont="1" applyFill="1" applyBorder="1" applyAlignment="1">
      <alignment horizontal="right"/>
    </xf>
    <xf numFmtId="4" fontId="0" fillId="3" borderId="3" xfId="0" applyNumberFormat="1" applyFill="1" applyBorder="1" applyAlignment="1">
      <alignment horizontal="left"/>
    </xf>
    <xf numFmtId="3" fontId="0" fillId="3" borderId="13" xfId="0" applyNumberFormat="1" applyFill="1" applyBorder="1" applyAlignment="1">
      <alignment horizontal="center"/>
    </xf>
    <xf numFmtId="3" fontId="2" fillId="8" borderId="2" xfId="0" applyNumberFormat="1" applyFont="1" applyFill="1" applyBorder="1" applyAlignment="1">
      <alignment horizontal="center"/>
    </xf>
    <xf numFmtId="3" fontId="2" fillId="8" borderId="14" xfId="0" applyNumberFormat="1" applyFont="1" applyFill="1" applyBorder="1" applyAlignment="1">
      <alignment horizontal="center"/>
    </xf>
    <xf numFmtId="4" fontId="2" fillId="8" borderId="31" xfId="0" applyNumberFormat="1" applyFont="1" applyFill="1" applyBorder="1" applyAlignment="1">
      <alignment horizontal="center"/>
    </xf>
    <xf numFmtId="3" fontId="2" fillId="8" borderId="32" xfId="0" applyNumberFormat="1" applyFont="1" applyFill="1" applyBorder="1"/>
    <xf numFmtId="3" fontId="2" fillId="8" borderId="32" xfId="0" applyNumberFormat="1" applyFont="1" applyFill="1" applyBorder="1" applyAlignment="1">
      <alignment horizontal="center"/>
    </xf>
    <xf numFmtId="3" fontId="2" fillId="8" borderId="33" xfId="0" applyNumberFormat="1" applyFont="1" applyFill="1" applyBorder="1" applyAlignment="1">
      <alignment horizontal="center"/>
    </xf>
    <xf numFmtId="4" fontId="0" fillId="3" borderId="11" xfId="0" applyNumberFormat="1" applyFill="1" applyBorder="1" applyAlignment="1">
      <alignment horizontal="left"/>
    </xf>
    <xf numFmtId="3" fontId="0" fillId="3" borderId="28" xfId="0" applyNumberFormat="1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4" fontId="0" fillId="3" borderId="40" xfId="0" applyNumberFormat="1" applyFill="1" applyBorder="1" applyAlignment="1">
      <alignment horizontal="left"/>
    </xf>
    <xf numFmtId="3" fontId="0" fillId="3" borderId="29" xfId="0" applyNumberFormat="1" applyFill="1" applyBorder="1" applyAlignment="1">
      <alignment horizontal="center"/>
    </xf>
    <xf numFmtId="3" fontId="0" fillId="3" borderId="30" xfId="0" applyNumberFormat="1" applyFill="1" applyBorder="1" applyAlignment="1">
      <alignment horizontal="center"/>
    </xf>
    <xf numFmtId="1" fontId="7" fillId="3" borderId="13" xfId="0" applyNumberFormat="1" applyFont="1" applyFill="1" applyBorder="1" applyAlignment="1">
      <alignment horizontal="right"/>
    </xf>
    <xf numFmtId="1" fontId="7" fillId="3" borderId="32" xfId="0" applyNumberFormat="1" applyFont="1" applyFill="1" applyBorder="1" applyAlignment="1">
      <alignment horizontal="right"/>
    </xf>
    <xf numFmtId="1" fontId="7" fillId="3" borderId="33" xfId="0" applyNumberFormat="1" applyFont="1" applyFill="1" applyBorder="1" applyAlignment="1">
      <alignment horizontal="right"/>
    </xf>
    <xf numFmtId="1" fontId="7" fillId="3" borderId="13" xfId="0" applyNumberFormat="1" applyFont="1" applyFill="1" applyBorder="1"/>
    <xf numFmtId="0" fontId="2" fillId="2" borderId="17" xfId="0" applyFont="1" applyFill="1" applyBorder="1" applyAlignment="1">
      <alignment horizontal="center"/>
    </xf>
    <xf numFmtId="1" fontId="7" fillId="0" borderId="13" xfId="0" applyNumberFormat="1" applyFont="1" applyFill="1" applyBorder="1" applyAlignment="1">
      <alignment horizontal="right"/>
    </xf>
    <xf numFmtId="1" fontId="2" fillId="3" borderId="13" xfId="0" applyNumberFormat="1" applyFont="1" applyFill="1" applyBorder="1"/>
    <xf numFmtId="0" fontId="0" fillId="3" borderId="40" xfId="0" applyFill="1" applyBorder="1"/>
    <xf numFmtId="0" fontId="4" fillId="2" borderId="31" xfId="0" applyFont="1" applyFill="1" applyBorder="1"/>
    <xf numFmtId="0" fontId="2" fillId="3" borderId="11" xfId="0" applyFont="1" applyFill="1" applyBorder="1"/>
    <xf numFmtId="1" fontId="2" fillId="3" borderId="28" xfId="0" applyNumberFormat="1" applyFont="1" applyFill="1" applyBorder="1"/>
    <xf numFmtId="1" fontId="2" fillId="3" borderId="12" xfId="0" applyNumberFormat="1" applyFont="1" applyFill="1" applyBorder="1"/>
    <xf numFmtId="0" fontId="0" fillId="3" borderId="29" xfId="0" applyFill="1" applyBorder="1"/>
    <xf numFmtId="0" fontId="2" fillId="2" borderId="26" xfId="0" applyFont="1" applyFill="1" applyBorder="1" applyAlignment="1">
      <alignment horizontal="center" vertical="center"/>
    </xf>
    <xf numFmtId="9" fontId="2" fillId="2" borderId="33" xfId="0" applyNumberFormat="1" applyFont="1" applyFill="1" applyBorder="1"/>
    <xf numFmtId="0" fontId="4" fillId="2" borderId="41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/>
    </xf>
    <xf numFmtId="0" fontId="0" fillId="2" borderId="32" xfId="0" applyFill="1" applyBorder="1"/>
    <xf numFmtId="2" fontId="0" fillId="2" borderId="32" xfId="0" applyNumberFormat="1" applyFill="1" applyBorder="1"/>
    <xf numFmtId="208" fontId="0" fillId="2" borderId="33" xfId="3" applyNumberFormat="1" applyFont="1" applyFill="1" applyBorder="1"/>
    <xf numFmtId="0" fontId="7" fillId="3" borderId="11" xfId="0" applyFont="1" applyFill="1" applyBorder="1"/>
    <xf numFmtId="210" fontId="0" fillId="3" borderId="28" xfId="0" applyNumberFormat="1" applyFill="1" applyBorder="1"/>
    <xf numFmtId="2" fontId="0" fillId="3" borderId="28" xfId="0" applyNumberFormat="1" applyFill="1" applyBorder="1"/>
    <xf numFmtId="207" fontId="0" fillId="3" borderId="28" xfId="2" applyFont="1" applyFill="1" applyBorder="1" applyAlignment="1">
      <alignment horizontal="center"/>
    </xf>
    <xf numFmtId="208" fontId="0" fillId="3" borderId="12" xfId="3" applyNumberFormat="1" applyFont="1" applyFill="1" applyBorder="1"/>
    <xf numFmtId="0" fontId="7" fillId="3" borderId="40" xfId="0" applyFont="1" applyFill="1" applyBorder="1"/>
    <xf numFmtId="210" fontId="0" fillId="3" borderId="29" xfId="0" applyNumberFormat="1" applyFill="1" applyBorder="1"/>
    <xf numFmtId="2" fontId="0" fillId="3" borderId="29" xfId="0" applyNumberFormat="1" applyFill="1" applyBorder="1"/>
    <xf numFmtId="207" fontId="0" fillId="3" borderId="29" xfId="2" applyFont="1" applyFill="1" applyBorder="1" applyAlignment="1">
      <alignment horizontal="center"/>
    </xf>
    <xf numFmtId="208" fontId="0" fillId="3" borderId="30" xfId="3" applyNumberFormat="1" applyFont="1" applyFill="1" applyBorder="1"/>
    <xf numFmtId="211" fontId="2" fillId="2" borderId="33" xfId="0" applyNumberFormat="1" applyFont="1" applyFill="1" applyBorder="1"/>
    <xf numFmtId="208" fontId="0" fillId="3" borderId="28" xfId="0" applyNumberFormat="1" applyFill="1" applyBorder="1"/>
    <xf numFmtId="211" fontId="0" fillId="3" borderId="12" xfId="0" applyNumberFormat="1" applyFill="1" applyBorder="1"/>
    <xf numFmtId="208" fontId="0" fillId="3" borderId="29" xfId="0" applyNumberFormat="1" applyFill="1" applyBorder="1"/>
    <xf numFmtId="211" fontId="0" fillId="3" borderId="30" xfId="0" applyNumberFormat="1" applyFill="1" applyBorder="1"/>
    <xf numFmtId="1" fontId="0" fillId="0" borderId="37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right"/>
    </xf>
    <xf numFmtId="1" fontId="6" fillId="3" borderId="14" xfId="0" applyNumberFormat="1" applyFont="1" applyFill="1" applyBorder="1"/>
    <xf numFmtId="0" fontId="2" fillId="6" borderId="41" xfId="0" applyFont="1" applyFill="1" applyBorder="1" applyAlignment="1">
      <alignment horizontal="center"/>
    </xf>
    <xf numFmtId="0" fontId="2" fillId="6" borderId="34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31" xfId="0" applyFont="1" applyFill="1" applyBorder="1"/>
    <xf numFmtId="1" fontId="2" fillId="6" borderId="32" xfId="0" applyNumberFormat="1" applyFont="1" applyFill="1" applyBorder="1"/>
    <xf numFmtId="1" fontId="0" fillId="0" borderId="12" xfId="0" applyNumberFormat="1" applyBorder="1"/>
    <xf numFmtId="1" fontId="0" fillId="0" borderId="30" xfId="0" applyNumberFormat="1" applyBorder="1"/>
    <xf numFmtId="0" fontId="0" fillId="0" borderId="44" xfId="0" applyFill="1" applyBorder="1"/>
    <xf numFmtId="3" fontId="7" fillId="3" borderId="40" xfId="0" applyNumberFormat="1" applyFont="1" applyFill="1" applyBorder="1"/>
    <xf numFmtId="1" fontId="0" fillId="0" borderId="39" xfId="0" applyNumberFormat="1" applyFill="1" applyBorder="1" applyAlignment="1">
      <alignment horizontal="center"/>
    </xf>
    <xf numFmtId="210" fontId="0" fillId="0" borderId="13" xfId="0" applyNumberForma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1" fontId="2" fillId="0" borderId="14" xfId="0" applyNumberFormat="1" applyFont="1" applyFill="1" applyBorder="1" applyAlignment="1">
      <alignment horizontal="center"/>
    </xf>
    <xf numFmtId="1" fontId="0" fillId="3" borderId="39" xfId="0" applyNumberFormat="1" applyFill="1" applyBorder="1" applyAlignment="1">
      <alignment horizontal="center"/>
    </xf>
    <xf numFmtId="210" fontId="0" fillId="3" borderId="13" xfId="0" applyNumberFormat="1" applyFill="1" applyBorder="1" applyAlignment="1">
      <alignment horizontal="center"/>
    </xf>
    <xf numFmtId="1" fontId="2" fillId="3" borderId="14" xfId="0" applyNumberFormat="1" applyFont="1" applyFill="1" applyBorder="1" applyAlignment="1">
      <alignment horizontal="center"/>
    </xf>
    <xf numFmtId="1" fontId="27" fillId="0" borderId="32" xfId="0" applyNumberFormat="1" applyFont="1" applyBorder="1" applyAlignment="1">
      <alignment horizontal="center"/>
    </xf>
    <xf numFmtId="1" fontId="27" fillId="0" borderId="33" xfId="0" applyNumberFormat="1" applyFont="1" applyBorder="1" applyAlignment="1">
      <alignment horizontal="center"/>
    </xf>
    <xf numFmtId="0" fontId="2" fillId="2" borderId="26" xfId="0" applyFont="1" applyFill="1" applyBorder="1" applyAlignment="1">
      <alignment horizontal="center" vertical="center" wrapText="1"/>
    </xf>
    <xf numFmtId="3" fontId="2" fillId="3" borderId="28" xfId="0" applyNumberFormat="1" applyFont="1" applyFill="1" applyBorder="1"/>
    <xf numFmtId="3" fontId="0" fillId="3" borderId="34" xfId="0" applyNumberFormat="1" applyFill="1" applyBorder="1"/>
    <xf numFmtId="3" fontId="0" fillId="3" borderId="28" xfId="0" applyNumberFormat="1" applyFill="1" applyBorder="1"/>
    <xf numFmtId="3" fontId="0" fillId="3" borderId="12" xfId="0" applyNumberFormat="1" applyFill="1" applyBorder="1"/>
    <xf numFmtId="3" fontId="0" fillId="3" borderId="13" xfId="0" applyNumberFormat="1" applyFill="1" applyBorder="1"/>
    <xf numFmtId="0" fontId="7" fillId="3" borderId="31" xfId="0" applyFont="1" applyFill="1" applyBorder="1"/>
    <xf numFmtId="3" fontId="0" fillId="3" borderId="32" xfId="0" applyNumberFormat="1" applyFill="1" applyBorder="1"/>
    <xf numFmtId="3" fontId="0" fillId="3" borderId="32" xfId="0" applyNumberFormat="1" applyFill="1" applyBorder="1" applyAlignment="1">
      <alignment horizontal="center"/>
    </xf>
    <xf numFmtId="3" fontId="0" fillId="3" borderId="29" xfId="0" applyNumberFormat="1" applyFill="1" applyBorder="1"/>
    <xf numFmtId="3" fontId="0" fillId="3" borderId="33" xfId="0" applyNumberFormat="1" applyFill="1" applyBorder="1"/>
    <xf numFmtId="0" fontId="0" fillId="9" borderId="0" xfId="0" applyFill="1"/>
    <xf numFmtId="0" fontId="2" fillId="9" borderId="0" xfId="0" applyFont="1" applyFill="1" applyBorder="1"/>
    <xf numFmtId="0" fontId="7" fillId="9" borderId="0" xfId="0" applyFont="1" applyFill="1"/>
    <xf numFmtId="208" fontId="26" fillId="9" borderId="0" xfId="3" applyNumberFormat="1" applyFont="1" applyFill="1" applyBorder="1" applyAlignment="1">
      <alignment horizontal="center"/>
    </xf>
    <xf numFmtId="1" fontId="2" fillId="9" borderId="0" xfId="0" applyNumberFormat="1" applyFont="1" applyFill="1" applyBorder="1"/>
    <xf numFmtId="0" fontId="7" fillId="9" borderId="0" xfId="0" applyFont="1" applyFill="1" applyBorder="1"/>
    <xf numFmtId="0" fontId="0" fillId="9" borderId="0" xfId="0" applyFill="1" applyBorder="1"/>
    <xf numFmtId="0" fontId="0" fillId="9" borderId="0" xfId="0" applyFill="1" applyBorder="1" applyAlignment="1">
      <alignment horizontal="left"/>
    </xf>
    <xf numFmtId="9" fontId="0" fillId="9" borderId="0" xfId="0" applyNumberFormat="1" applyFill="1" applyBorder="1"/>
    <xf numFmtId="0" fontId="7" fillId="9" borderId="0" xfId="0" applyFont="1" applyFill="1" applyBorder="1" applyAlignment="1">
      <alignment horizontal="left"/>
    </xf>
    <xf numFmtId="1" fontId="27" fillId="9" borderId="0" xfId="0" applyNumberFormat="1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 vertical="center" wrapText="1"/>
    </xf>
    <xf numFmtId="1" fontId="0" fillId="9" borderId="0" xfId="0" applyNumberFormat="1" applyFill="1" applyBorder="1"/>
    <xf numFmtId="0" fontId="21" fillId="9" borderId="0" xfId="0" applyFont="1" applyFill="1"/>
    <xf numFmtId="0" fontId="21" fillId="9" borderId="0" xfId="0" applyFont="1" applyFill="1" applyAlignment="1">
      <alignment horizontal="right"/>
    </xf>
    <xf numFmtId="0" fontId="24" fillId="9" borderId="0" xfId="0" applyFont="1" applyFill="1"/>
    <xf numFmtId="43" fontId="0" fillId="9" borderId="0" xfId="0" applyNumberFormat="1" applyFill="1"/>
    <xf numFmtId="0" fontId="21" fillId="9" borderId="0" xfId="0" applyFont="1" applyFill="1" applyAlignment="1">
      <alignment horizontal="left"/>
    </xf>
    <xf numFmtId="0" fontId="21" fillId="9" borderId="0" xfId="0" applyFont="1" applyFill="1" applyAlignment="1">
      <alignment horizontal="center"/>
    </xf>
    <xf numFmtId="3" fontId="7" fillId="9" borderId="21" xfId="0" applyNumberFormat="1" applyFont="1" applyFill="1" applyBorder="1" applyAlignment="1"/>
    <xf numFmtId="3" fontId="0" fillId="9" borderId="0" xfId="0" applyNumberFormat="1" applyFill="1"/>
    <xf numFmtId="3" fontId="7" fillId="9" borderId="0" xfId="0" applyNumberFormat="1" applyFont="1" applyFill="1" applyBorder="1" applyAlignment="1">
      <alignment horizontal="left"/>
    </xf>
    <xf numFmtId="1" fontId="0" fillId="0" borderId="13" xfId="0" applyNumberFormat="1" applyFill="1" applyBorder="1"/>
    <xf numFmtId="1" fontId="0" fillId="0" borderId="14" xfId="0" applyNumberFormat="1" applyBorder="1"/>
    <xf numFmtId="0" fontId="2" fillId="2" borderId="27" xfId="0" applyFont="1" applyFill="1" applyBorder="1"/>
    <xf numFmtId="207" fontId="26" fillId="9" borderId="0" xfId="2" applyFont="1" applyFill="1" applyBorder="1"/>
    <xf numFmtId="0" fontId="0" fillId="9" borderId="0" xfId="0" applyFill="1" applyBorder="1" applyAlignment="1"/>
    <xf numFmtId="1" fontId="0" fillId="9" borderId="0" xfId="0" applyNumberFormat="1" applyFill="1"/>
    <xf numFmtId="0" fontId="4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 vertical="center"/>
    </xf>
    <xf numFmtId="1" fontId="2" fillId="9" borderId="0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right"/>
    </xf>
    <xf numFmtId="0" fontId="0" fillId="9" borderId="19" xfId="0" applyFill="1" applyBorder="1" applyAlignment="1">
      <alignment horizontal="center"/>
    </xf>
    <xf numFmtId="0" fontId="0" fillId="9" borderId="19" xfId="0" applyFill="1" applyBorder="1"/>
    <xf numFmtId="0" fontId="0" fillId="9" borderId="0" xfId="0" applyFill="1" applyAlignment="1">
      <alignment horizontal="right"/>
    </xf>
    <xf numFmtId="0" fontId="4" fillId="9" borderId="0" xfId="0" applyFont="1" applyFill="1" applyBorder="1" applyAlignment="1"/>
    <xf numFmtId="10" fontId="0" fillId="0" borderId="0" xfId="3" applyNumberFormat="1" applyFont="1"/>
    <xf numFmtId="10" fontId="0" fillId="0" borderId="13" xfId="3" applyNumberFormat="1" applyFont="1" applyBorder="1"/>
    <xf numFmtId="3" fontId="0" fillId="0" borderId="37" xfId="0" applyNumberFormat="1" applyBorder="1"/>
    <xf numFmtId="10" fontId="0" fillId="0" borderId="39" xfId="0" applyNumberFormat="1" applyBorder="1" applyAlignment="1">
      <alignment horizontal="right"/>
    </xf>
    <xf numFmtId="3" fontId="0" fillId="0" borderId="28" xfId="0" applyNumberFormat="1" applyBorder="1"/>
    <xf numFmtId="10" fontId="0" fillId="0" borderId="12" xfId="0" applyNumberFormat="1" applyBorder="1"/>
    <xf numFmtId="2" fontId="0" fillId="0" borderId="38" xfId="0" applyNumberFormat="1" applyBorder="1"/>
    <xf numFmtId="10" fontId="0" fillId="0" borderId="10" xfId="3" applyNumberFormat="1" applyFont="1" applyBorder="1"/>
    <xf numFmtId="210" fontId="0" fillId="0" borderId="3" xfId="0" applyNumberFormat="1" applyBorder="1"/>
    <xf numFmtId="210" fontId="2" fillId="3" borderId="30" xfId="0" applyNumberFormat="1" applyFont="1" applyFill="1" applyBorder="1"/>
    <xf numFmtId="3" fontId="7" fillId="9" borderId="0" xfId="0" applyNumberFormat="1" applyFont="1" applyFill="1" applyBorder="1" applyAlignment="1">
      <alignment horizontal="left"/>
    </xf>
    <xf numFmtId="0" fontId="2" fillId="0" borderId="5" xfId="0" applyFont="1" applyBorder="1"/>
    <xf numFmtId="0" fontId="4" fillId="3" borderId="13" xfId="0" applyFont="1" applyFill="1" applyBorder="1" applyAlignment="1">
      <alignment horizontal="right"/>
    </xf>
    <xf numFmtId="1" fontId="6" fillId="3" borderId="13" xfId="0" applyNumberFormat="1" applyFont="1" applyFill="1" applyBorder="1" applyAlignment="1">
      <alignment horizontal="right"/>
    </xf>
    <xf numFmtId="1" fontId="4" fillId="3" borderId="13" xfId="0" applyNumberFormat="1" applyFont="1" applyFill="1" applyBorder="1" applyAlignment="1">
      <alignment horizontal="right"/>
    </xf>
    <xf numFmtId="1" fontId="4" fillId="2" borderId="27" xfId="0" applyNumberFormat="1" applyFont="1" applyFill="1" applyBorder="1" applyAlignment="1">
      <alignment horizontal="right"/>
    </xf>
    <xf numFmtId="3" fontId="7" fillId="9" borderId="0" xfId="0" applyNumberFormat="1" applyFont="1" applyFill="1" applyBorder="1" applyAlignment="1"/>
    <xf numFmtId="221" fontId="7" fillId="9" borderId="0" xfId="0" applyNumberFormat="1" applyFont="1" applyFill="1" applyBorder="1" applyAlignment="1">
      <alignment horizontal="left"/>
    </xf>
    <xf numFmtId="3" fontId="7" fillId="9" borderId="1" xfId="0" applyNumberFormat="1" applyFont="1" applyFill="1" applyBorder="1" applyAlignment="1">
      <alignment horizontal="left"/>
    </xf>
    <xf numFmtId="222" fontId="7" fillId="9" borderId="1" xfId="0" applyNumberFormat="1" applyFont="1" applyFill="1" applyBorder="1" applyAlignment="1">
      <alignment horizontal="center"/>
    </xf>
    <xf numFmtId="3" fontId="7" fillId="9" borderId="24" xfId="0" applyNumberFormat="1" applyFont="1" applyFill="1" applyBorder="1" applyAlignment="1">
      <alignment horizontal="left"/>
    </xf>
    <xf numFmtId="3" fontId="7" fillId="9" borderId="25" xfId="0" applyNumberFormat="1" applyFont="1" applyFill="1" applyBorder="1" applyAlignment="1">
      <alignment horizontal="left"/>
    </xf>
    <xf numFmtId="3" fontId="7" fillId="9" borderId="27" xfId="0" applyNumberFormat="1" applyFont="1" applyFill="1" applyBorder="1" applyAlignment="1">
      <alignment horizontal="left"/>
    </xf>
    <xf numFmtId="3" fontId="2" fillId="7" borderId="24" xfId="0" applyNumberFormat="1" applyFont="1" applyFill="1" applyBorder="1" applyAlignment="1">
      <alignment horizontal="left"/>
    </xf>
    <xf numFmtId="3" fontId="2" fillId="7" borderId="25" xfId="0" applyNumberFormat="1" applyFont="1" applyFill="1" applyBorder="1" applyAlignment="1">
      <alignment horizontal="center"/>
    </xf>
    <xf numFmtId="3" fontId="2" fillId="7" borderId="27" xfId="0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left"/>
    </xf>
    <xf numFmtId="3" fontId="2" fillId="7" borderId="1" xfId="0" applyNumberFormat="1" applyFont="1" applyFill="1" applyBorder="1" applyAlignment="1">
      <alignment horizontal="center"/>
    </xf>
    <xf numFmtId="0" fontId="12" fillId="10" borderId="9" xfId="0" applyFont="1" applyFill="1" applyBorder="1"/>
    <xf numFmtId="0" fontId="12" fillId="10" borderId="0" xfId="0" applyFont="1" applyFill="1" applyBorder="1"/>
    <xf numFmtId="0" fontId="12" fillId="10" borderId="10" xfId="0" applyFont="1" applyFill="1" applyBorder="1"/>
    <xf numFmtId="1" fontId="2" fillId="0" borderId="0" xfId="0" applyNumberFormat="1" applyFont="1"/>
    <xf numFmtId="10" fontId="2" fillId="0" borderId="0" xfId="3" applyNumberFormat="1" applyFont="1"/>
    <xf numFmtId="0" fontId="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2" fillId="3" borderId="23" xfId="0" applyFont="1" applyFill="1" applyBorder="1"/>
    <xf numFmtId="0" fontId="5" fillId="3" borderId="21" xfId="1" applyFill="1" applyBorder="1" applyAlignment="1" applyProtection="1"/>
    <xf numFmtId="0" fontId="0" fillId="3" borderId="22" xfId="0" applyFill="1" applyBorder="1"/>
    <xf numFmtId="0" fontId="2" fillId="7" borderId="42" xfId="0" applyFont="1" applyFill="1" applyBorder="1"/>
    <xf numFmtId="0" fontId="2" fillId="7" borderId="45" xfId="0" applyFont="1" applyFill="1" applyBorder="1"/>
    <xf numFmtId="0" fontId="2" fillId="7" borderId="17" xfId="0" applyFont="1" applyFill="1" applyBorder="1"/>
    <xf numFmtId="209" fontId="0" fillId="3" borderId="46" xfId="2" applyNumberFormat="1" applyFont="1" applyFill="1" applyBorder="1"/>
    <xf numFmtId="0" fontId="0" fillId="3" borderId="46" xfId="0" applyFill="1" applyBorder="1"/>
    <xf numFmtId="10" fontId="0" fillId="3" borderId="46" xfId="0" applyNumberFormat="1" applyFill="1" applyBorder="1"/>
    <xf numFmtId="218" fontId="0" fillId="3" borderId="30" xfId="2" applyNumberFormat="1" applyFont="1" applyFill="1" applyBorder="1"/>
    <xf numFmtId="0" fontId="2" fillId="11" borderId="42" xfId="0" applyFont="1" applyFill="1" applyBorder="1"/>
    <xf numFmtId="0" fontId="2" fillId="11" borderId="45" xfId="0" applyFont="1" applyFill="1" applyBorder="1"/>
    <xf numFmtId="0" fontId="0" fillId="11" borderId="17" xfId="0" applyFill="1" applyBorder="1"/>
    <xf numFmtId="0" fontId="4" fillId="0" borderId="38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justify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right" vertical="center" wrapText="1"/>
    </xf>
    <xf numFmtId="0" fontId="12" fillId="5" borderId="9" xfId="0" applyFont="1" applyFill="1" applyBorder="1"/>
    <xf numFmtId="0" fontId="12" fillId="5" borderId="0" xfId="0" applyFont="1" applyFill="1" applyBorder="1"/>
    <xf numFmtId="0" fontId="12" fillId="5" borderId="10" xfId="0" applyFont="1" applyFill="1" applyBorder="1"/>
    <xf numFmtId="0" fontId="12" fillId="12" borderId="9" xfId="0" applyFont="1" applyFill="1" applyBorder="1"/>
    <xf numFmtId="0" fontId="12" fillId="12" borderId="0" xfId="0" applyFont="1" applyFill="1" applyBorder="1"/>
    <xf numFmtId="0" fontId="12" fillId="12" borderId="10" xfId="0" applyFont="1" applyFill="1" applyBorder="1"/>
    <xf numFmtId="216" fontId="7" fillId="0" borderId="1" xfId="2" applyNumberFormat="1" applyFont="1" applyFill="1" applyBorder="1"/>
    <xf numFmtId="218" fontId="7" fillId="0" borderId="1" xfId="2" applyNumberFormat="1" applyFont="1" applyFill="1" applyBorder="1"/>
    <xf numFmtId="0" fontId="2" fillId="6" borderId="1" xfId="0" applyFont="1" applyFill="1" applyBorder="1"/>
    <xf numFmtId="0" fontId="2" fillId="3" borderId="42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26" xfId="0" applyFont="1" applyFill="1" applyBorder="1" applyAlignment="1">
      <alignment horizontal="center"/>
    </xf>
    <xf numFmtId="0" fontId="9" fillId="3" borderId="18" xfId="1" applyFont="1" applyFill="1" applyBorder="1" applyAlignment="1" applyProtection="1">
      <alignment horizontal="center"/>
    </xf>
    <xf numFmtId="0" fontId="9" fillId="3" borderId="19" xfId="1" applyFont="1" applyFill="1" applyBorder="1" applyAlignment="1" applyProtection="1">
      <alignment horizontal="center"/>
    </xf>
    <xf numFmtId="0" fontId="9" fillId="3" borderId="20" xfId="1" applyFont="1" applyFill="1" applyBorder="1" applyAlignment="1" applyProtection="1">
      <alignment horizontal="center"/>
    </xf>
    <xf numFmtId="0" fontId="9" fillId="3" borderId="9" xfId="1" applyFont="1" applyFill="1" applyBorder="1" applyAlignment="1" applyProtection="1">
      <alignment horizontal="center"/>
    </xf>
    <xf numFmtId="0" fontId="9" fillId="3" borderId="0" xfId="1" applyFont="1" applyFill="1" applyBorder="1" applyAlignment="1" applyProtection="1">
      <alignment horizontal="center"/>
    </xf>
    <xf numFmtId="0" fontId="9" fillId="3" borderId="10" xfId="1" applyFont="1" applyFill="1" applyBorder="1" applyAlignment="1" applyProtection="1">
      <alignment horizontal="center"/>
    </xf>
    <xf numFmtId="0" fontId="2" fillId="5" borderId="42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11" borderId="42" xfId="0" applyFont="1" applyFill="1" applyBorder="1" applyAlignment="1">
      <alignment horizontal="center"/>
    </xf>
    <xf numFmtId="0" fontId="2" fillId="11" borderId="45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2" borderId="42" xfId="0" applyFont="1" applyFill="1" applyBorder="1" applyAlignment="1">
      <alignment horizontal="center"/>
    </xf>
    <xf numFmtId="0" fontId="2" fillId="12" borderId="4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3" borderId="42" xfId="0" applyFont="1" applyFill="1" applyBorder="1" applyAlignment="1">
      <alignment horizontal="center"/>
    </xf>
    <xf numFmtId="0" fontId="2" fillId="13" borderId="45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2" fillId="6" borderId="42" xfId="0" applyFont="1" applyFill="1" applyBorder="1" applyAlignment="1">
      <alignment horizontal="center"/>
    </xf>
    <xf numFmtId="0" fontId="2" fillId="6" borderId="49" xfId="0" applyFont="1" applyFill="1" applyBorder="1" applyAlignment="1">
      <alignment horizontal="center"/>
    </xf>
    <xf numFmtId="0" fontId="0" fillId="0" borderId="50" xfId="0" applyFill="1" applyBorder="1" applyAlignment="1">
      <alignment horizontal="left"/>
    </xf>
    <xf numFmtId="0" fontId="0" fillId="0" borderId="51" xfId="0" applyFill="1" applyBorder="1" applyAlignment="1">
      <alignment horizontal="left"/>
    </xf>
    <xf numFmtId="0" fontId="0" fillId="0" borderId="52" xfId="0" applyFill="1" applyBorder="1" applyAlignment="1">
      <alignment horizontal="left"/>
    </xf>
    <xf numFmtId="0" fontId="0" fillId="0" borderId="53" xfId="0" applyFill="1" applyBorder="1" applyAlignment="1">
      <alignment horizontal="left"/>
    </xf>
    <xf numFmtId="0" fontId="0" fillId="0" borderId="47" xfId="0" applyFill="1" applyBorder="1" applyAlignment="1">
      <alignment horizontal="left"/>
    </xf>
    <xf numFmtId="0" fontId="0" fillId="0" borderId="48" xfId="0" applyFill="1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10" borderId="42" xfId="0" applyFont="1" applyFill="1" applyBorder="1" applyAlignment="1">
      <alignment horizontal="center"/>
    </xf>
    <xf numFmtId="0" fontId="2" fillId="10" borderId="4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8" fillId="10" borderId="42" xfId="0" applyFont="1" applyFill="1" applyBorder="1" applyAlignment="1">
      <alignment horizontal="center"/>
    </xf>
    <xf numFmtId="0" fontId="28" fillId="10" borderId="45" xfId="0" applyFont="1" applyFill="1" applyBorder="1" applyAlignment="1">
      <alignment horizontal="center"/>
    </xf>
    <xf numFmtId="0" fontId="28" fillId="10" borderId="17" xfId="0" applyFont="1" applyFill="1" applyBorder="1" applyAlignment="1">
      <alignment horizontal="center"/>
    </xf>
    <xf numFmtId="0" fontId="4" fillId="3" borderId="52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3" xfId="0" applyFont="1" applyFill="1" applyBorder="1" applyAlignment="1">
      <alignment horizontal="left"/>
    </xf>
    <xf numFmtId="0" fontId="4" fillId="2" borderId="42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4" fillId="2" borderId="4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2" fillId="8" borderId="50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8" borderId="51" xfId="0" applyFont="1" applyFill="1" applyBorder="1" applyAlignment="1">
      <alignment horizontal="center" vertical="center"/>
    </xf>
    <xf numFmtId="1" fontId="2" fillId="8" borderId="28" xfId="0" applyNumberFormat="1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47" xfId="0" applyFont="1" applyFill="1" applyBorder="1" applyAlignment="1">
      <alignment horizontal="center" vertical="center"/>
    </xf>
    <xf numFmtId="0" fontId="2" fillId="8" borderId="56" xfId="0" applyFont="1" applyFill="1" applyBorder="1" applyAlignment="1">
      <alignment horizontal="center" vertical="center"/>
    </xf>
    <xf numFmtId="0" fontId="2" fillId="8" borderId="48" xfId="0" applyFont="1" applyFill="1" applyBorder="1" applyAlignment="1">
      <alignment horizontal="center" vertical="center"/>
    </xf>
    <xf numFmtId="208" fontId="2" fillId="8" borderId="29" xfId="3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3" fontId="7" fillId="9" borderId="21" xfId="0" applyNumberFormat="1" applyFont="1" applyFill="1" applyBorder="1" applyAlignment="1">
      <alignment horizontal="left"/>
    </xf>
    <xf numFmtId="3" fontId="2" fillId="5" borderId="42" xfId="0" applyNumberFormat="1" applyFont="1" applyFill="1" applyBorder="1" applyAlignment="1">
      <alignment horizontal="center"/>
    </xf>
    <xf numFmtId="3" fontId="2" fillId="5" borderId="45" xfId="0" applyNumberFormat="1" applyFont="1" applyFill="1" applyBorder="1" applyAlignment="1">
      <alignment horizontal="center"/>
    </xf>
    <xf numFmtId="3" fontId="2" fillId="5" borderId="17" xfId="0" applyNumberFormat="1" applyFont="1" applyFill="1" applyBorder="1" applyAlignment="1">
      <alignment horizontal="center"/>
    </xf>
    <xf numFmtId="4" fontId="25" fillId="3" borderId="0" xfId="0" applyNumberFormat="1" applyFont="1" applyFill="1" applyBorder="1" applyAlignment="1">
      <alignment horizontal="center"/>
    </xf>
    <xf numFmtId="4" fontId="2" fillId="8" borderId="41" xfId="0" applyNumberFormat="1" applyFont="1" applyFill="1" applyBorder="1" applyAlignment="1">
      <alignment horizontal="center" vertical="center"/>
    </xf>
    <xf numFmtId="4" fontId="2" fillId="8" borderId="3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8" fillId="5" borderId="42" xfId="0" applyFont="1" applyFill="1" applyBorder="1" applyAlignment="1">
      <alignment horizontal="center"/>
    </xf>
    <xf numFmtId="0" fontId="8" fillId="5" borderId="45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center"/>
    </xf>
    <xf numFmtId="4" fontId="25" fillId="5" borderId="0" xfId="0" applyNumberFormat="1" applyFont="1" applyFill="1" applyBorder="1" applyAlignment="1">
      <alignment horizontal="center"/>
    </xf>
    <xf numFmtId="4" fontId="2" fillId="8" borderId="28" xfId="0" applyNumberFormat="1" applyFont="1" applyFill="1" applyBorder="1" applyAlignment="1">
      <alignment horizontal="center"/>
    </xf>
    <xf numFmtId="4" fontId="2" fillId="8" borderId="12" xfId="0" applyNumberFormat="1" applyFont="1" applyFill="1" applyBorder="1" applyAlignment="1">
      <alignment horizontal="center"/>
    </xf>
    <xf numFmtId="0" fontId="20" fillId="5" borderId="42" xfId="0" applyFont="1" applyFill="1" applyBorder="1" applyAlignment="1">
      <alignment horizontal="center"/>
    </xf>
    <xf numFmtId="0" fontId="20" fillId="5" borderId="45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23" fillId="0" borderId="52" xfId="0" applyFont="1" applyFill="1" applyBorder="1" applyAlignment="1">
      <alignment horizontal="right"/>
    </xf>
    <xf numFmtId="0" fontId="23" fillId="0" borderId="54" xfId="0" applyFont="1" applyFill="1" applyBorder="1" applyAlignment="1">
      <alignment horizontal="right"/>
    </xf>
    <xf numFmtId="0" fontId="23" fillId="0" borderId="53" xfId="0" applyFont="1" applyFill="1" applyBorder="1" applyAlignment="1">
      <alignment horizontal="right"/>
    </xf>
    <xf numFmtId="0" fontId="23" fillId="2" borderId="47" xfId="0" applyFont="1" applyFill="1" applyBorder="1" applyAlignment="1">
      <alignment horizontal="center"/>
    </xf>
    <xf numFmtId="0" fontId="23" fillId="2" borderId="56" xfId="0" applyFont="1" applyFill="1" applyBorder="1" applyAlignment="1">
      <alignment horizontal="center"/>
    </xf>
    <xf numFmtId="0" fontId="23" fillId="2" borderId="48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left"/>
    </xf>
    <xf numFmtId="0" fontId="2" fillId="0" borderId="54" xfId="0" applyFont="1" applyFill="1" applyBorder="1" applyAlignment="1">
      <alignment horizontal="left"/>
    </xf>
    <xf numFmtId="0" fontId="2" fillId="0" borderId="53" xfId="0" applyFont="1" applyFill="1" applyBorder="1" applyAlignment="1">
      <alignment horizontal="left"/>
    </xf>
    <xf numFmtId="0" fontId="23" fillId="0" borderId="50" xfId="0" applyFont="1" applyFill="1" applyBorder="1" applyAlignment="1">
      <alignment horizontal="right"/>
    </xf>
    <xf numFmtId="0" fontId="23" fillId="0" borderId="55" xfId="0" applyFont="1" applyFill="1" applyBorder="1" applyAlignment="1">
      <alignment horizontal="right"/>
    </xf>
    <xf numFmtId="0" fontId="23" fillId="0" borderId="51" xfId="0" applyFont="1" applyFill="1" applyBorder="1" applyAlignment="1">
      <alignment horizontal="right"/>
    </xf>
    <xf numFmtId="0" fontId="23" fillId="0" borderId="47" xfId="0" applyFont="1" applyFill="1" applyBorder="1" applyAlignment="1">
      <alignment horizontal="right"/>
    </xf>
    <xf numFmtId="0" fontId="23" fillId="0" borderId="56" xfId="0" applyFont="1" applyFill="1" applyBorder="1" applyAlignment="1">
      <alignment horizontal="right"/>
    </xf>
    <xf numFmtId="0" fontId="23" fillId="0" borderId="48" xfId="0" applyFont="1" applyFill="1" applyBorder="1" applyAlignment="1">
      <alignment horizontal="right"/>
    </xf>
    <xf numFmtId="0" fontId="23" fillId="2" borderId="18" xfId="0" applyFont="1" applyFill="1" applyBorder="1" applyAlignment="1">
      <alignment horizontal="right"/>
    </xf>
    <xf numFmtId="0" fontId="23" fillId="2" borderId="19" xfId="0" applyFont="1" applyFill="1" applyBorder="1" applyAlignment="1">
      <alignment horizontal="right"/>
    </xf>
    <xf numFmtId="0" fontId="23" fillId="2" borderId="58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2" fillId="2" borderId="25" xfId="0" applyFont="1" applyFill="1" applyBorder="1" applyAlignment="1">
      <alignment horizontal="right"/>
    </xf>
    <xf numFmtId="0" fontId="23" fillId="0" borderId="59" xfId="0" applyFont="1" applyFill="1" applyBorder="1" applyAlignment="1">
      <alignment horizontal="right"/>
    </xf>
    <xf numFmtId="0" fontId="23" fillId="0" borderId="60" xfId="0" applyFont="1" applyFill="1" applyBorder="1" applyAlignment="1">
      <alignment horizontal="right"/>
    </xf>
    <xf numFmtId="0" fontId="23" fillId="0" borderId="61" xfId="0" applyFont="1" applyFill="1" applyBorder="1" applyAlignment="1">
      <alignment horizontal="right"/>
    </xf>
    <xf numFmtId="0" fontId="22" fillId="0" borderId="50" xfId="0" applyFont="1" applyFill="1" applyBorder="1" applyAlignment="1">
      <alignment horizontal="left" vertical="center" wrapText="1"/>
    </xf>
    <xf numFmtId="0" fontId="22" fillId="0" borderId="55" xfId="0" applyFont="1" applyFill="1" applyBorder="1" applyAlignment="1">
      <alignment horizontal="left" vertical="center" wrapText="1"/>
    </xf>
    <xf numFmtId="0" fontId="22" fillId="0" borderId="51" xfId="0" applyFont="1" applyFill="1" applyBorder="1" applyAlignment="1">
      <alignment horizontal="left" vertical="center" wrapText="1"/>
    </xf>
    <xf numFmtId="0" fontId="2" fillId="0" borderId="52" xfId="0" applyFont="1" applyBorder="1" applyAlignment="1">
      <alignment horizontal="left"/>
    </xf>
    <xf numFmtId="0" fontId="2" fillId="0" borderId="54" xfId="0" applyFont="1" applyBorder="1" applyAlignment="1">
      <alignment horizontal="left"/>
    </xf>
    <xf numFmtId="0" fontId="2" fillId="0" borderId="53" xfId="0" applyFont="1" applyBorder="1" applyAlignment="1">
      <alignment horizontal="left"/>
    </xf>
    <xf numFmtId="3" fontId="7" fillId="9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6" borderId="42" xfId="0" applyFont="1" applyFill="1" applyBorder="1" applyAlignment="1">
      <alignment horizontal="left"/>
    </xf>
    <xf numFmtId="0" fontId="2" fillId="6" borderId="45" xfId="0" applyFont="1" applyFill="1" applyBorder="1" applyAlignment="1">
      <alignment horizontal="left"/>
    </xf>
    <xf numFmtId="0" fontId="2" fillId="6" borderId="49" xfId="0" applyFont="1" applyFill="1" applyBorder="1" applyAlignment="1">
      <alignment horizontal="left"/>
    </xf>
    <xf numFmtId="0" fontId="8" fillId="12" borderId="42" xfId="0" applyFont="1" applyFill="1" applyBorder="1" applyAlignment="1">
      <alignment horizontal="center"/>
    </xf>
    <xf numFmtId="0" fontId="8" fillId="12" borderId="45" xfId="0" applyFont="1" applyFill="1" applyBorder="1" applyAlignment="1">
      <alignment horizontal="center"/>
    </xf>
    <xf numFmtId="0" fontId="8" fillId="12" borderId="1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5" borderId="42" xfId="0" applyFont="1" applyFill="1" applyBorder="1" applyAlignment="1">
      <alignment horizontal="center"/>
    </xf>
    <xf numFmtId="0" fontId="10" fillId="5" borderId="45" xfId="0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8" fillId="5" borderId="23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8" fillId="5" borderId="22" xfId="0" applyFont="1" applyFill="1" applyBorder="1" applyAlignment="1">
      <alignment horizontal="center"/>
    </xf>
    <xf numFmtId="0" fontId="16" fillId="0" borderId="42" xfId="0" applyFont="1" applyFill="1" applyBorder="1" applyAlignment="1">
      <alignment horizontal="center"/>
    </xf>
    <xf numFmtId="0" fontId="16" fillId="0" borderId="45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8" fillId="12" borderId="23" xfId="0" applyFont="1" applyFill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8" fillId="12" borderId="22" xfId="0" applyFont="1" applyFill="1" applyBorder="1" applyAlignment="1">
      <alignment horizontal="center"/>
    </xf>
    <xf numFmtId="0" fontId="8" fillId="10" borderId="23" xfId="0" applyFont="1" applyFill="1" applyBorder="1" applyAlignment="1">
      <alignment horizontal="center"/>
    </xf>
    <xf numFmtId="0" fontId="8" fillId="10" borderId="21" xfId="0" applyFont="1" applyFill="1" applyBorder="1" applyAlignment="1">
      <alignment horizontal="center"/>
    </xf>
    <xf numFmtId="0" fontId="8" fillId="10" borderId="22" xfId="0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2" fillId="7" borderId="4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sensib.!$C$8</c:f>
              <c:strCache>
                <c:ptCount val="1"/>
                <c:pt idx="0">
                  <c:v>VANE</c:v>
                </c:pt>
              </c:strCache>
            </c:strRef>
          </c:tx>
          <c:cat>
            <c:numRef>
              <c:f>sensib.!$B$9:$B$15</c:f>
              <c:numCache>
                <c:formatCode>General</c:formatCode>
                <c:ptCount val="7"/>
              </c:numCache>
            </c:numRef>
          </c:cat>
          <c:val>
            <c:numRef>
              <c:f>sensib.!$C$9:$C$15</c:f>
              <c:numCache>
                <c:formatCode>#,##0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F-403E-9F01-9A86AC01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47871"/>
        <c:axId val="1"/>
      </c:lineChart>
      <c:catAx>
        <c:axId val="1851847871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51847871"/>
        <c:crosses val="autoZero"/>
        <c:crossBetween val="between"/>
      </c:valAx>
      <c:spPr>
        <a:solidFill>
          <a:sysClr val="window" lastClr="FFFFFF">
            <a:lumMod val="65000"/>
          </a:sysClr>
        </a:solidFill>
      </c:spPr>
    </c:plotArea>
    <c:legend>
      <c:legendPos val="r"/>
      <c:overlay val="0"/>
    </c:legend>
    <c:plotVisOnly val="1"/>
    <c:dispBlanksAs val="gap"/>
    <c:showDLblsOverMax val="0"/>
  </c:chart>
  <c:spPr>
    <a:gradFill flip="none" rotWithShape="1">
      <a:gsLst>
        <a:gs pos="0">
          <a:srgbClr val="FFEFD1"/>
        </a:gs>
        <a:gs pos="64999">
          <a:srgbClr val="F0EBD5"/>
        </a:gs>
        <a:gs pos="100000">
          <a:srgbClr val="D1C39F"/>
        </a:gs>
      </a:gsLst>
      <a:lin ang="5400000" scaled="1"/>
      <a:tileRect/>
    </a:gradFill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sensib.!$D$8</c:f>
              <c:strCache>
                <c:ptCount val="1"/>
                <c:pt idx="0">
                  <c:v>TIRE</c:v>
                </c:pt>
              </c:strCache>
            </c:strRef>
          </c:tx>
          <c:cat>
            <c:numRef>
              <c:f>sensib.!$B$9:$B$15</c:f>
              <c:numCache>
                <c:formatCode>General</c:formatCode>
                <c:ptCount val="7"/>
              </c:numCache>
            </c:numRef>
          </c:cat>
          <c:val>
            <c:numRef>
              <c:f>sensib.!$D$9:$D$15</c:f>
              <c:numCache>
                <c:formatCode>0.00%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C-43AF-99D2-E795AE98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38719"/>
        <c:axId val="1"/>
      </c:lineChart>
      <c:catAx>
        <c:axId val="1851838719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51838719"/>
        <c:crosses val="autoZero"/>
        <c:crossBetween val="between"/>
      </c:valAx>
      <c:spPr>
        <a:solidFill>
          <a:srgbClr val="4F81BD">
            <a:lumMod val="60000"/>
            <a:lumOff val="40000"/>
          </a:srgbClr>
        </a:solidFill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sensib.!$C$26</c:f>
              <c:strCache>
                <c:ptCount val="1"/>
                <c:pt idx="0">
                  <c:v>VANE</c:v>
                </c:pt>
              </c:strCache>
            </c:strRef>
          </c:tx>
          <c:cat>
            <c:numRef>
              <c:f>sensib.!$B$27:$B$33</c:f>
              <c:numCache>
                <c:formatCode>General</c:formatCode>
                <c:ptCount val="7"/>
              </c:numCache>
            </c:numRef>
          </c:cat>
          <c:val>
            <c:numRef>
              <c:f>sensib.!$C$27:$C$33</c:f>
              <c:numCache>
                <c:formatCode>#,##0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2-4A13-A289-EB52E5018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49119"/>
        <c:axId val="1"/>
      </c:lineChart>
      <c:catAx>
        <c:axId val="1851849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51849119"/>
        <c:crosses val="autoZero"/>
        <c:crossBetween val="between"/>
      </c:valAx>
      <c:spPr>
        <a:solidFill>
          <a:sysClr val="window" lastClr="FFFFFF">
            <a:lumMod val="65000"/>
          </a:sysClr>
        </a:solidFill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FFEFD1"/>
        </a:gs>
        <a:gs pos="64999">
          <a:srgbClr val="F0EBD5"/>
        </a:gs>
        <a:gs pos="100000">
          <a:srgbClr val="D1C39F"/>
        </a:gs>
      </a:gsLst>
      <a:lin ang="5400000" scaled="1"/>
    </a:gra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sensib.!$D$26</c:f>
              <c:strCache>
                <c:ptCount val="1"/>
                <c:pt idx="0">
                  <c:v>TIRE</c:v>
                </c:pt>
              </c:strCache>
            </c:strRef>
          </c:tx>
          <c:cat>
            <c:numRef>
              <c:f>sensib.!$B$27:$B$33</c:f>
              <c:numCache>
                <c:formatCode>General</c:formatCode>
                <c:ptCount val="7"/>
              </c:numCache>
            </c:numRef>
          </c:cat>
          <c:val>
            <c:numRef>
              <c:f>sensib.!$D$27:$D$33</c:f>
              <c:numCache>
                <c:formatCode>0.00%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A-4819-B08F-BCFCC598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39551"/>
        <c:axId val="1"/>
      </c:lineChart>
      <c:catAx>
        <c:axId val="1851839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51839551"/>
        <c:crosses val="autoZero"/>
        <c:crossBetween val="between"/>
      </c:valAx>
      <c:spPr>
        <a:solidFill>
          <a:srgbClr val="4F81BD">
            <a:lumMod val="60000"/>
            <a:lumOff val="40000"/>
          </a:srgbClr>
        </a:solidFill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sensib.!$C$43</c:f>
              <c:strCache>
                <c:ptCount val="1"/>
                <c:pt idx="0">
                  <c:v>VANE</c:v>
                </c:pt>
              </c:strCache>
            </c:strRef>
          </c:tx>
          <c:cat>
            <c:numRef>
              <c:f>sensib.!$B$44:$B$50</c:f>
              <c:numCache>
                <c:formatCode>0.0</c:formatCode>
                <c:ptCount val="7"/>
                <c:pt idx="0" formatCode="General">
                  <c:v>2.4</c:v>
                </c:pt>
                <c:pt idx="1">
                  <c:v>3</c:v>
                </c:pt>
                <c:pt idx="2" formatCode="General">
                  <c:v>3.5</c:v>
                </c:pt>
                <c:pt idx="3">
                  <c:v>3.75</c:v>
                </c:pt>
                <c:pt idx="4" formatCode="General">
                  <c:v>4</c:v>
                </c:pt>
                <c:pt idx="5">
                  <c:v>4.25</c:v>
                </c:pt>
                <c:pt idx="6" formatCode="General">
                  <c:v>4.5</c:v>
                </c:pt>
              </c:numCache>
            </c:numRef>
          </c:cat>
          <c:val>
            <c:numRef>
              <c:f>sensib.!$C$44:$C$50</c:f>
              <c:numCache>
                <c:formatCode>#,##0</c:formatCode>
                <c:ptCount val="7"/>
                <c:pt idx="0">
                  <c:v>0</c:v>
                </c:pt>
                <c:pt idx="1">
                  <c:v>124807.78707985414</c:v>
                </c:pt>
                <c:pt idx="2">
                  <c:v>230326.64172553955</c:v>
                </c:pt>
                <c:pt idx="3">
                  <c:v>283086.06904838234</c:v>
                </c:pt>
                <c:pt idx="4" formatCode="0">
                  <c:v>335423.30750449537</c:v>
                </c:pt>
                <c:pt idx="5">
                  <c:v>388604.92369406787</c:v>
                </c:pt>
                <c:pt idx="6">
                  <c:v>441364.35101691051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7-4FE0-A4F0-4F3DD55AE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50783"/>
        <c:axId val="1"/>
      </c:lineChart>
      <c:catAx>
        <c:axId val="1851850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51850783"/>
        <c:crosses val="autoZero"/>
        <c:crossBetween val="between"/>
      </c:valAx>
      <c:spPr>
        <a:solidFill>
          <a:schemeClr val="bg1">
            <a:lumMod val="6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FFEFD1"/>
        </a:gs>
        <a:gs pos="64999">
          <a:srgbClr val="F0EBD5"/>
        </a:gs>
        <a:gs pos="100000">
          <a:srgbClr val="D1C39F"/>
        </a:gs>
      </a:gsLst>
      <a:lin ang="5400000" scaled="1"/>
    </a:gra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sensib.!$D$43</c:f>
              <c:strCache>
                <c:ptCount val="1"/>
                <c:pt idx="0">
                  <c:v>TIRE</c:v>
                </c:pt>
              </c:strCache>
            </c:strRef>
          </c:tx>
          <c:cat>
            <c:numRef>
              <c:f>sensib.!$B$44:$B$50</c:f>
              <c:numCache>
                <c:formatCode>0.0</c:formatCode>
                <c:ptCount val="7"/>
                <c:pt idx="0" formatCode="General">
                  <c:v>2.4</c:v>
                </c:pt>
                <c:pt idx="1">
                  <c:v>3</c:v>
                </c:pt>
                <c:pt idx="2" formatCode="General">
                  <c:v>3.5</c:v>
                </c:pt>
                <c:pt idx="3">
                  <c:v>3.75</c:v>
                </c:pt>
                <c:pt idx="4" formatCode="General">
                  <c:v>4</c:v>
                </c:pt>
                <c:pt idx="5">
                  <c:v>4.25</c:v>
                </c:pt>
                <c:pt idx="6" formatCode="General">
                  <c:v>4.5</c:v>
                </c:pt>
              </c:numCache>
            </c:numRef>
          </c:cat>
          <c:val>
            <c:numRef>
              <c:f>sensib.!$D$44:$D$50</c:f>
              <c:numCache>
                <c:formatCode>0.00%</c:formatCode>
                <c:ptCount val="7"/>
                <c:pt idx="0">
                  <c:v>8.9999999999958127E-2</c:v>
                </c:pt>
                <c:pt idx="1">
                  <c:v>0.25877620005258106</c:v>
                </c:pt>
                <c:pt idx="2">
                  <c:v>0.3875879815924958</c:v>
                </c:pt>
                <c:pt idx="3">
                  <c:v>0.44905578182937078</c:v>
                </c:pt>
                <c:pt idx="4">
                  <c:v>0.50871650824142667</c:v>
                </c:pt>
                <c:pt idx="5">
                  <c:v>0.567943558726002</c:v>
                </c:pt>
                <c:pt idx="6">
                  <c:v>0.62583931395790293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6-4D06-8E9B-92B9C655A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369471"/>
        <c:axId val="1"/>
      </c:lineChart>
      <c:catAx>
        <c:axId val="1846369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46369471"/>
        <c:crosses val="autoZero"/>
        <c:crossBetween val="between"/>
      </c:valAx>
      <c:spPr>
        <a:solidFill>
          <a:srgbClr val="4F81BD">
            <a:lumMod val="60000"/>
            <a:lumOff val="40000"/>
          </a:srgbClr>
        </a:solidFill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sensib.!$C$57</c:f>
              <c:strCache>
                <c:ptCount val="1"/>
                <c:pt idx="0">
                  <c:v>VANE</c:v>
                </c:pt>
              </c:strCache>
            </c:strRef>
          </c:tx>
          <c:cat>
            <c:numRef>
              <c:f>sensib.!$B$58:$B$64</c:f>
              <c:numCache>
                <c:formatCode>General</c:formatCode>
                <c:ptCount val="7"/>
                <c:pt idx="0">
                  <c:v>3.5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</c:numCache>
            </c:numRef>
          </c:cat>
          <c:val>
            <c:numRef>
              <c:f>sensib.!$C$58:$C$64</c:f>
              <c:numCache>
                <c:formatCode>#,##0</c:formatCode>
                <c:ptCount val="7"/>
                <c:pt idx="0">
                  <c:v>0</c:v>
                </c:pt>
                <c:pt idx="1">
                  <c:v>268916.39428167604</c:v>
                </c:pt>
                <c:pt idx="2">
                  <c:v>291226.09497819259</c:v>
                </c:pt>
                <c:pt idx="3">
                  <c:v>313535.79567470879</c:v>
                </c:pt>
                <c:pt idx="4">
                  <c:v>335423.30750449537</c:v>
                </c:pt>
                <c:pt idx="5">
                  <c:v>358155.19706774165</c:v>
                </c:pt>
                <c:pt idx="6">
                  <c:v>380464.89776425797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8-4378-AC89-E655C1B1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965583"/>
        <c:axId val="1"/>
      </c:lineChart>
      <c:catAx>
        <c:axId val="1855965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855965583"/>
        <c:crosses val="autoZero"/>
        <c:crossBetween val="between"/>
      </c:valAx>
      <c:spPr>
        <a:solidFill>
          <a:schemeClr val="bg1">
            <a:lumMod val="65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FFEFD1"/>
        </a:gs>
        <a:gs pos="64999">
          <a:srgbClr val="F0EBD5"/>
        </a:gs>
        <a:gs pos="100000">
          <a:srgbClr val="D1C39F"/>
        </a:gs>
      </a:gsLst>
      <a:lin ang="5400000" scaled="1"/>
    </a:gradFill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sensib.!$D$57</c:f>
              <c:strCache>
                <c:ptCount val="1"/>
                <c:pt idx="0">
                  <c:v>TIRE</c:v>
                </c:pt>
              </c:strCache>
            </c:strRef>
          </c:tx>
          <c:cat>
            <c:numRef>
              <c:f>sensib.!$B$58:$B$64</c:f>
              <c:numCache>
                <c:formatCode>General</c:formatCode>
                <c:ptCount val="7"/>
                <c:pt idx="0">
                  <c:v>3.5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</c:numCache>
            </c:numRef>
          </c:cat>
          <c:val>
            <c:numRef>
              <c:f>sensib.!$D$58:$D$64</c:f>
              <c:numCache>
                <c:formatCode>0.00%</c:formatCode>
                <c:ptCount val="7"/>
                <c:pt idx="0">
                  <c:v>8.9999999999958016E-2</c:v>
                </c:pt>
                <c:pt idx="1">
                  <c:v>0.43270161102221449</c:v>
                </c:pt>
                <c:pt idx="2">
                  <c:v>0.45840363468020356</c:v>
                </c:pt>
                <c:pt idx="3">
                  <c:v>0.48385767601419655</c:v>
                </c:pt>
                <c:pt idx="4">
                  <c:v>0.50871650824142667</c:v>
                </c:pt>
                <c:pt idx="5">
                  <c:v>0.53410314467036157</c:v>
                </c:pt>
                <c:pt idx="6">
                  <c:v>0.55892990291625921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E-4C42-A93A-C34F6A3D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961839"/>
        <c:axId val="1"/>
      </c:lineChart>
      <c:catAx>
        <c:axId val="1855961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55961839"/>
        <c:crosses val="autoZero"/>
        <c:crossBetween val="between"/>
      </c:valAx>
      <c:spPr>
        <a:solidFill>
          <a:schemeClr val="accent1">
            <a:lumMod val="60000"/>
            <a:lumOff val="4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8</xdr:col>
      <xdr:colOff>0</xdr:colOff>
      <xdr:row>2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14D03EA4-24A7-4DAE-8EF6-644838955C0F}"/>
            </a:ext>
          </a:extLst>
        </xdr:cNvPr>
        <xdr:cNvSpPr>
          <a:spLocks noChangeArrowheads="1"/>
        </xdr:cNvSpPr>
      </xdr:nvSpPr>
      <xdr:spPr bwMode="auto">
        <a:xfrm>
          <a:off x="95250" y="19050"/>
          <a:ext cx="6438900" cy="371475"/>
        </a:xfrm>
        <a:prstGeom prst="rect">
          <a:avLst/>
        </a:prstGeom>
        <a:gradFill rotWithShape="0">
          <a:gsLst>
            <a:gs pos="0">
              <a:srgbClr val="FF9900"/>
            </a:gs>
            <a:gs pos="100000">
              <a:srgbClr val="FFCC99"/>
            </a:gs>
          </a:gsLst>
          <a:lin ang="0" scaled="1"/>
        </a:gradFill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P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EVALUACION ECONOMICA Y FINANCIERA </a:t>
          </a:r>
        </a:p>
        <a:p>
          <a:pPr algn="ctr" rtl="0">
            <a:defRPr sz="1000"/>
          </a:pPr>
          <a:r>
            <a:rPr lang="es-PE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(En soles )</a:t>
          </a:r>
          <a:endParaRPr lang="es-PE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2</xdr:row>
      <xdr:rowOff>28575</xdr:rowOff>
    </xdr:from>
    <xdr:to>
      <xdr:col>10</xdr:col>
      <xdr:colOff>714375</xdr:colOff>
      <xdr:row>17</xdr:row>
      <xdr:rowOff>152400</xdr:rowOff>
    </xdr:to>
    <xdr:graphicFrame macro="">
      <xdr:nvGraphicFramePr>
        <xdr:cNvPr id="1068412" name="20 Gráfico">
          <a:extLst>
            <a:ext uri="{FF2B5EF4-FFF2-40B4-BE49-F238E27FC236}">
              <a16:creationId xmlns:a16="http://schemas.microsoft.com/office/drawing/2014/main" id="{B7E48723-D599-46A1-8D10-7BD879344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</xdr:row>
      <xdr:rowOff>28575</xdr:rowOff>
    </xdr:from>
    <xdr:to>
      <xdr:col>17</xdr:col>
      <xdr:colOff>152400</xdr:colOff>
      <xdr:row>17</xdr:row>
      <xdr:rowOff>152400</xdr:rowOff>
    </xdr:to>
    <xdr:graphicFrame macro="">
      <xdr:nvGraphicFramePr>
        <xdr:cNvPr id="1068413" name="21 Gráfico">
          <a:extLst>
            <a:ext uri="{FF2B5EF4-FFF2-40B4-BE49-F238E27FC236}">
              <a16:creationId xmlns:a16="http://schemas.microsoft.com/office/drawing/2014/main" id="{57F28991-20CF-4773-A21B-49FEF201E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657225</xdr:colOff>
      <xdr:row>19</xdr:row>
      <xdr:rowOff>0</xdr:rowOff>
    </xdr:from>
    <xdr:to>
      <xdr:col>10</xdr:col>
      <xdr:colOff>657225</xdr:colOff>
      <xdr:row>34</xdr:row>
      <xdr:rowOff>123825</xdr:rowOff>
    </xdr:to>
    <xdr:graphicFrame macro="">
      <xdr:nvGraphicFramePr>
        <xdr:cNvPr id="1068414" name="22 Gráfico">
          <a:extLst>
            <a:ext uri="{FF2B5EF4-FFF2-40B4-BE49-F238E27FC236}">
              <a16:creationId xmlns:a16="http://schemas.microsoft.com/office/drawing/2014/main" id="{8164FE3A-441C-4506-9D30-D6CFF0B1F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19</xdr:row>
      <xdr:rowOff>95250</xdr:rowOff>
    </xdr:from>
    <xdr:to>
      <xdr:col>17</xdr:col>
      <xdr:colOff>76200</xdr:colOff>
      <xdr:row>35</xdr:row>
      <xdr:rowOff>0</xdr:rowOff>
    </xdr:to>
    <xdr:graphicFrame macro="">
      <xdr:nvGraphicFramePr>
        <xdr:cNvPr id="1068415" name="23 Gráfico">
          <a:extLst>
            <a:ext uri="{FF2B5EF4-FFF2-40B4-BE49-F238E27FC236}">
              <a16:creationId xmlns:a16="http://schemas.microsoft.com/office/drawing/2014/main" id="{423E2CAB-C5DA-4261-A7AF-FBEA68E52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742950</xdr:colOff>
      <xdr:row>35</xdr:row>
      <xdr:rowOff>133350</xdr:rowOff>
    </xdr:from>
    <xdr:to>
      <xdr:col>10</xdr:col>
      <xdr:colOff>742950</xdr:colOff>
      <xdr:row>47</xdr:row>
      <xdr:rowOff>104775</xdr:rowOff>
    </xdr:to>
    <xdr:graphicFrame macro="">
      <xdr:nvGraphicFramePr>
        <xdr:cNvPr id="1068416" name="24 Gráfico">
          <a:extLst>
            <a:ext uri="{FF2B5EF4-FFF2-40B4-BE49-F238E27FC236}">
              <a16:creationId xmlns:a16="http://schemas.microsoft.com/office/drawing/2014/main" id="{7EFE0906-DBFA-4DEE-8B82-70F2BAC5E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142875</xdr:colOff>
      <xdr:row>35</xdr:row>
      <xdr:rowOff>95250</xdr:rowOff>
    </xdr:from>
    <xdr:to>
      <xdr:col>17</xdr:col>
      <xdr:colOff>142875</xdr:colOff>
      <xdr:row>47</xdr:row>
      <xdr:rowOff>66675</xdr:rowOff>
    </xdr:to>
    <xdr:graphicFrame macro="">
      <xdr:nvGraphicFramePr>
        <xdr:cNvPr id="1068417" name="25 Gráfico">
          <a:extLst>
            <a:ext uri="{FF2B5EF4-FFF2-40B4-BE49-F238E27FC236}">
              <a16:creationId xmlns:a16="http://schemas.microsoft.com/office/drawing/2014/main" id="{3F9B1B3F-C4DB-4559-AC64-3DE266352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11</xdr:col>
      <xdr:colOff>0</xdr:colOff>
      <xdr:row>67</xdr:row>
      <xdr:rowOff>133350</xdr:rowOff>
    </xdr:to>
    <xdr:graphicFrame macro="">
      <xdr:nvGraphicFramePr>
        <xdr:cNvPr id="1068418" name="26 Gráfico">
          <a:extLst>
            <a:ext uri="{FF2B5EF4-FFF2-40B4-BE49-F238E27FC236}">
              <a16:creationId xmlns:a16="http://schemas.microsoft.com/office/drawing/2014/main" id="{40CBFE99-C38A-4C34-A088-71491A22B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52</xdr:row>
      <xdr:rowOff>0</xdr:rowOff>
    </xdr:from>
    <xdr:to>
      <xdr:col>17</xdr:col>
      <xdr:colOff>0</xdr:colOff>
      <xdr:row>67</xdr:row>
      <xdr:rowOff>133350</xdr:rowOff>
    </xdr:to>
    <xdr:graphicFrame macro="">
      <xdr:nvGraphicFramePr>
        <xdr:cNvPr id="1068419" name="27 Gráfico">
          <a:extLst>
            <a:ext uri="{FF2B5EF4-FFF2-40B4-BE49-F238E27FC236}">
              <a16:creationId xmlns:a16="http://schemas.microsoft.com/office/drawing/2014/main" id="{6A4FEEBF-4BF3-41BA-BFBF-1692B4F77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G20" sqref="G20"/>
    </sheetView>
  </sheetViews>
  <sheetFormatPr defaultColWidth="11.42578125" defaultRowHeight="12.75" x14ac:dyDescent="0.2"/>
  <cols>
    <col min="1" max="1" width="11.42578125" style="19"/>
    <col min="2" max="3" width="10" style="19" customWidth="1"/>
    <col min="4" max="4" width="13.28515625" style="19" customWidth="1"/>
    <col min="5" max="5" width="9.85546875" style="19" customWidth="1"/>
    <col min="6" max="6" width="3.140625" style="19" customWidth="1"/>
    <col min="7" max="7" width="41.28515625" style="19" customWidth="1"/>
    <col min="8" max="8" width="9.5703125" style="19" customWidth="1"/>
    <col min="9" max="16384" width="11.42578125" style="19"/>
  </cols>
  <sheetData>
    <row r="2" spans="2:8" ht="18" customHeight="1" x14ac:dyDescent="0.2"/>
    <row r="3" spans="2:8" ht="13.5" thickBot="1" x14ac:dyDescent="0.25"/>
    <row r="4" spans="2:8" ht="13.5" thickBot="1" x14ac:dyDescent="0.25">
      <c r="B4" s="630"/>
      <c r="C4" s="631"/>
      <c r="D4" s="631"/>
      <c r="E4" s="632"/>
      <c r="G4" s="633" t="s">
        <v>7</v>
      </c>
      <c r="H4" s="634"/>
    </row>
    <row r="5" spans="2:8" x14ac:dyDescent="0.2">
      <c r="B5" s="604"/>
      <c r="C5" s="605"/>
      <c r="D5" s="99"/>
      <c r="E5" s="606"/>
      <c r="G5" s="28" t="s">
        <v>198</v>
      </c>
      <c r="H5" s="31">
        <v>0.09</v>
      </c>
    </row>
    <row r="6" spans="2:8" ht="15.75" x14ac:dyDescent="0.25">
      <c r="B6" s="638" t="s">
        <v>8</v>
      </c>
      <c r="C6" s="639"/>
      <c r="D6" s="639"/>
      <c r="E6" s="640"/>
      <c r="G6" s="29" t="s">
        <v>9</v>
      </c>
      <c r="H6" s="32">
        <v>0.09</v>
      </c>
    </row>
    <row r="7" spans="2:8" x14ac:dyDescent="0.2">
      <c r="B7" s="24"/>
      <c r="C7" s="25"/>
      <c r="D7" s="26"/>
      <c r="E7" s="27"/>
      <c r="G7" s="29" t="s">
        <v>10</v>
      </c>
      <c r="H7" s="32">
        <v>0.3</v>
      </c>
    </row>
    <row r="8" spans="2:8" ht="12.75" customHeight="1" x14ac:dyDescent="0.25">
      <c r="B8" s="638" t="s">
        <v>11</v>
      </c>
      <c r="C8" s="639"/>
      <c r="D8" s="639"/>
      <c r="E8" s="640"/>
      <c r="G8" s="29" t="s">
        <v>12</v>
      </c>
      <c r="H8" s="33">
        <v>6</v>
      </c>
    </row>
    <row r="9" spans="2:8" ht="12.75" customHeight="1" thickBot="1" x14ac:dyDescent="0.3">
      <c r="B9" s="635" t="s">
        <v>13</v>
      </c>
      <c r="C9" s="636"/>
      <c r="D9" s="636"/>
      <c r="E9" s="637"/>
      <c r="G9" s="30" t="s">
        <v>14</v>
      </c>
      <c r="H9" s="34">
        <v>0.03</v>
      </c>
    </row>
    <row r="10" spans="2:8" ht="13.5" thickBot="1" x14ac:dyDescent="0.25">
      <c r="G10" s="46" t="s">
        <v>291</v>
      </c>
      <c r="H10" s="250">
        <v>11</v>
      </c>
    </row>
    <row r="11" spans="2:8" ht="13.5" thickBot="1" x14ac:dyDescent="0.25">
      <c r="B11" s="607" t="s">
        <v>132</v>
      </c>
      <c r="C11" s="608"/>
      <c r="D11" s="608"/>
      <c r="E11" s="609"/>
      <c r="G11" s="46" t="s">
        <v>166</v>
      </c>
      <c r="H11" s="250">
        <v>4</v>
      </c>
    </row>
    <row r="12" spans="2:8" ht="13.5" thickBot="1" x14ac:dyDescent="0.25">
      <c r="G12" s="169" t="s">
        <v>434</v>
      </c>
      <c r="H12" s="445">
        <v>1.5</v>
      </c>
    </row>
    <row r="13" spans="2:8" ht="13.5" thickBot="1" x14ac:dyDescent="0.25">
      <c r="B13" s="79" t="s">
        <v>368</v>
      </c>
      <c r="C13" s="610">
        <f>E.ECON!D11</f>
        <v>332448.27013884502</v>
      </c>
      <c r="D13" s="94" t="s">
        <v>431</v>
      </c>
      <c r="E13" s="526">
        <f>P.E!D37</f>
        <v>1318.7125276987094</v>
      </c>
      <c r="G13" s="211" t="s">
        <v>222</v>
      </c>
      <c r="H13" s="578">
        <v>1</v>
      </c>
    </row>
    <row r="14" spans="2:8" x14ac:dyDescent="0.2">
      <c r="B14" s="76"/>
      <c r="C14" s="611"/>
      <c r="D14" s="76" t="s">
        <v>432</v>
      </c>
      <c r="E14" s="123">
        <f>P.E!D50</f>
        <v>6237.1538472236243</v>
      </c>
      <c r="G14" s="26"/>
      <c r="H14" s="26"/>
    </row>
    <row r="15" spans="2:8" ht="13.5" thickBot="1" x14ac:dyDescent="0.25">
      <c r="B15" s="80" t="s">
        <v>369</v>
      </c>
      <c r="C15" s="612">
        <f>E.ECON!D15</f>
        <v>0.50520949308523244</v>
      </c>
      <c r="D15" s="51" t="s">
        <v>433</v>
      </c>
      <c r="E15" s="613">
        <f>P.E!D62</f>
        <v>9673.9529058978624</v>
      </c>
    </row>
  </sheetData>
  <scenarios current="1" show="1" sqref="C13 C15">
    <scenario name="optimista" locked="1" count="4" user="Economia" comment="Creado por Economia el 29/03/2014">
      <inputCells r="H10" val="12" numFmtId="198"/>
      <inputCells r="H11" val="4.5" numFmtId="198"/>
      <inputCells r="H12" val="1.7" numFmtId="198"/>
      <inputCells r="H13" val="0.9" numFmtId="198"/>
    </scenario>
    <scenario name="pesimista" locked="1" count="4" user="Economia" comment="Creado por Economia el 29/03/2014">
      <inputCells r="H10" val="10" numFmtId="198"/>
      <inputCells r="H11" val="3.5" numFmtId="198"/>
      <inputCells r="H12" val="1.2" numFmtId="198"/>
      <inputCells r="H13" val="1.5" numFmtId="198"/>
    </scenario>
  </scenarios>
  <mergeCells count="5">
    <mergeCell ref="B4:E4"/>
    <mergeCell ref="G4:H4"/>
    <mergeCell ref="B9:E9"/>
    <mergeCell ref="B6:E6"/>
    <mergeCell ref="B8:E8"/>
  </mergeCells>
  <phoneticPr fontId="3" type="noConversion"/>
  <pageMargins left="0.75" right="0.75" top="1" bottom="1" header="0" footer="0"/>
  <pageSetup paperSize="9" orientation="portrait" horizontalDpi="4294967293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G19"/>
  <sheetViews>
    <sheetView workbookViewId="0">
      <selection activeCell="B2" sqref="B2:F18"/>
    </sheetView>
  </sheetViews>
  <sheetFormatPr defaultColWidth="11.42578125" defaultRowHeight="15" x14ac:dyDescent="0.3"/>
  <cols>
    <col min="1" max="1" width="6.5703125" style="167" customWidth="1"/>
    <col min="2" max="2" width="22.140625" style="167" customWidth="1"/>
    <col min="3" max="3" width="8.42578125" style="167" customWidth="1"/>
    <col min="4" max="4" width="11.140625" style="167" customWidth="1"/>
    <col min="5" max="5" width="15" style="167" customWidth="1"/>
    <col min="6" max="6" width="13.140625" style="167" bestFit="1" customWidth="1"/>
    <col min="7" max="7" width="7.140625" style="167" bestFit="1" customWidth="1"/>
    <col min="8" max="8" width="8.28515625" style="167" customWidth="1"/>
    <col min="9" max="9" width="2.7109375" style="167" customWidth="1"/>
    <col min="10" max="10" width="20.85546875" style="167" customWidth="1"/>
    <col min="11" max="11" width="11.42578125" style="167"/>
    <col min="12" max="12" width="18" style="167" customWidth="1"/>
    <col min="13" max="13" width="18.42578125" style="167" bestFit="1" customWidth="1"/>
    <col min="14" max="16384" width="11.42578125" style="167"/>
  </cols>
  <sheetData>
    <row r="1" spans="2:7" ht="15.75" thickBot="1" x14ac:dyDescent="0.35"/>
    <row r="2" spans="2:7" ht="17.25" thickBot="1" x14ac:dyDescent="0.35">
      <c r="B2" s="721" t="s">
        <v>269</v>
      </c>
      <c r="C2" s="722"/>
      <c r="D2" s="722"/>
      <c r="E2" s="722"/>
      <c r="F2" s="723"/>
    </row>
    <row r="3" spans="2:7" x14ac:dyDescent="0.3">
      <c r="B3" s="546" t="s">
        <v>270</v>
      </c>
      <c r="C3" s="546"/>
      <c r="D3" s="546"/>
      <c r="E3" s="546"/>
      <c r="F3" s="546"/>
    </row>
    <row r="4" spans="2:7" ht="15.75" thickBot="1" x14ac:dyDescent="0.35">
      <c r="B4" s="547" t="s">
        <v>242</v>
      </c>
      <c r="C4" s="546" t="s">
        <v>266</v>
      </c>
      <c r="D4" s="546"/>
      <c r="E4" s="548"/>
      <c r="F4" s="546"/>
    </row>
    <row r="5" spans="2:7" x14ac:dyDescent="0.3">
      <c r="B5" s="219" t="s">
        <v>168</v>
      </c>
      <c r="C5" s="220" t="s">
        <v>16</v>
      </c>
      <c r="D5" s="220" t="s">
        <v>3</v>
      </c>
      <c r="E5" s="220" t="s">
        <v>169</v>
      </c>
      <c r="F5" s="221" t="s">
        <v>170</v>
      </c>
    </row>
    <row r="6" spans="2:7" x14ac:dyDescent="0.3">
      <c r="B6" s="724" t="s">
        <v>171</v>
      </c>
      <c r="C6" s="725"/>
      <c r="D6" s="725"/>
      <c r="E6" s="725"/>
      <c r="F6" s="222">
        <f>SUM(F7:F11)</f>
        <v>162.15999999999997</v>
      </c>
    </row>
    <row r="7" spans="2:7" x14ac:dyDescent="0.3">
      <c r="B7" s="337" t="s">
        <v>235</v>
      </c>
      <c r="C7" s="338" t="s">
        <v>17</v>
      </c>
      <c r="D7" s="404">
        <v>150</v>
      </c>
      <c r="E7" s="401">
        <f>Precio_leche__soles_litro</f>
        <v>1</v>
      </c>
      <c r="F7" s="223">
        <f t="shared" ref="F7:F12" si="0">+E7*D7</f>
        <v>150</v>
      </c>
    </row>
    <row r="8" spans="2:7" x14ac:dyDescent="0.3">
      <c r="B8" s="337" t="s">
        <v>172</v>
      </c>
      <c r="C8" s="338" t="s">
        <v>173</v>
      </c>
      <c r="D8" s="404">
        <v>2</v>
      </c>
      <c r="E8" s="401">
        <f>138/100</f>
        <v>1.38</v>
      </c>
      <c r="F8" s="223">
        <f t="shared" si="0"/>
        <v>2.76</v>
      </c>
    </row>
    <row r="9" spans="2:7" x14ac:dyDescent="0.3">
      <c r="B9" s="337" t="s">
        <v>19</v>
      </c>
      <c r="C9" s="338" t="s">
        <v>5</v>
      </c>
      <c r="D9" s="404">
        <v>1.5</v>
      </c>
      <c r="E9" s="401">
        <v>0.8</v>
      </c>
      <c r="F9" s="223">
        <f t="shared" si="0"/>
        <v>1.2000000000000002</v>
      </c>
    </row>
    <row r="10" spans="2:7" x14ac:dyDescent="0.3">
      <c r="B10" s="337" t="s">
        <v>20</v>
      </c>
      <c r="C10" s="338" t="s">
        <v>5</v>
      </c>
      <c r="D10" s="404">
        <v>0.2</v>
      </c>
      <c r="E10" s="401">
        <v>6</v>
      </c>
      <c r="F10" s="223">
        <f t="shared" si="0"/>
        <v>1.2000000000000002</v>
      </c>
    </row>
    <row r="11" spans="2:7" x14ac:dyDescent="0.3">
      <c r="B11" s="337" t="s">
        <v>265</v>
      </c>
      <c r="C11" s="338" t="s">
        <v>359</v>
      </c>
      <c r="D11" s="404">
        <v>0.2</v>
      </c>
      <c r="E11" s="401">
        <v>35</v>
      </c>
      <c r="F11" s="223">
        <f t="shared" si="0"/>
        <v>7</v>
      </c>
    </row>
    <row r="12" spans="2:7" x14ac:dyDescent="0.3">
      <c r="B12" s="337" t="s">
        <v>360</v>
      </c>
      <c r="C12" s="338" t="s">
        <v>345</v>
      </c>
      <c r="D12" s="404">
        <f>F16</f>
        <v>21</v>
      </c>
      <c r="E12" s="401">
        <v>0.15</v>
      </c>
      <c r="F12" s="223">
        <f t="shared" si="0"/>
        <v>3.15</v>
      </c>
    </row>
    <row r="13" spans="2:7" x14ac:dyDescent="0.3">
      <c r="B13" s="732" t="s">
        <v>357</v>
      </c>
      <c r="C13" s="733"/>
      <c r="D13" s="733"/>
      <c r="E13" s="734"/>
      <c r="F13" s="222">
        <f>F14</f>
        <v>2.1</v>
      </c>
    </row>
    <row r="14" spans="2:7" ht="15.75" thickBot="1" x14ac:dyDescent="0.35">
      <c r="B14" s="337" t="s">
        <v>358</v>
      </c>
      <c r="C14" s="338" t="s">
        <v>184</v>
      </c>
      <c r="D14" s="401">
        <f>F16</f>
        <v>21</v>
      </c>
      <c r="E14" s="401">
        <v>0.1</v>
      </c>
      <c r="F14" s="223">
        <f>+E14*D14</f>
        <v>2.1</v>
      </c>
    </row>
    <row r="15" spans="2:7" x14ac:dyDescent="0.3">
      <c r="B15" s="735" t="s">
        <v>174</v>
      </c>
      <c r="C15" s="736"/>
      <c r="D15" s="736"/>
      <c r="E15" s="737"/>
      <c r="F15" s="413">
        <f>F6+F13</f>
        <v>164.25999999999996</v>
      </c>
      <c r="G15" s="234"/>
    </row>
    <row r="16" spans="2:7" ht="15.75" thickBot="1" x14ac:dyDescent="0.35">
      <c r="B16" s="738" t="s">
        <v>267</v>
      </c>
      <c r="C16" s="739"/>
      <c r="D16" s="739"/>
      <c r="E16" s="740"/>
      <c r="F16" s="414">
        <v>21</v>
      </c>
      <c r="G16" s="235"/>
    </row>
    <row r="17" spans="2:6" ht="15.75" thickBot="1" x14ac:dyDescent="0.35">
      <c r="B17" s="741" t="s">
        <v>176</v>
      </c>
      <c r="C17" s="742"/>
      <c r="D17" s="742"/>
      <c r="E17" s="743"/>
      <c r="F17" s="412">
        <f>+F15/F16</f>
        <v>7.8219047619047597</v>
      </c>
    </row>
    <row r="18" spans="2:6" x14ac:dyDescent="0.3">
      <c r="B18" s="542" t="s">
        <v>234</v>
      </c>
      <c r="C18" s="546"/>
      <c r="D18" s="546"/>
      <c r="E18" s="546"/>
      <c r="F18" s="546"/>
    </row>
    <row r="19" spans="2:6" x14ac:dyDescent="0.3">
      <c r="B19" s="546"/>
      <c r="C19" s="546"/>
      <c r="D19" s="546"/>
      <c r="E19" s="546"/>
      <c r="F19" s="546"/>
    </row>
  </sheetData>
  <mergeCells count="6">
    <mergeCell ref="B15:E15"/>
    <mergeCell ref="B16:E16"/>
    <mergeCell ref="B17:E17"/>
    <mergeCell ref="B2:F2"/>
    <mergeCell ref="B6:E6"/>
    <mergeCell ref="B13:E13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F18"/>
  <sheetViews>
    <sheetView workbookViewId="0">
      <selection activeCell="G22" sqref="G22"/>
    </sheetView>
  </sheetViews>
  <sheetFormatPr defaultRowHeight="12.75" x14ac:dyDescent="0.2"/>
  <cols>
    <col min="1" max="1" width="11.42578125" customWidth="1"/>
    <col min="2" max="2" width="19.85546875" customWidth="1"/>
    <col min="3" max="3" width="8.140625" customWidth="1"/>
    <col min="4" max="4" width="11.28515625" customWidth="1"/>
    <col min="5" max="5" width="10" customWidth="1"/>
    <col min="6" max="6" width="11" customWidth="1"/>
    <col min="7" max="256" width="11.42578125" customWidth="1"/>
  </cols>
  <sheetData>
    <row r="1" spans="2:6" ht="13.5" thickBot="1" x14ac:dyDescent="0.25"/>
    <row r="2" spans="2:6" ht="17.25" thickBot="1" x14ac:dyDescent="0.35">
      <c r="B2" s="721" t="s">
        <v>178</v>
      </c>
      <c r="C2" s="722"/>
      <c r="D2" s="722"/>
      <c r="E2" s="722"/>
      <c r="F2" s="723"/>
    </row>
    <row r="3" spans="2:6" ht="15" x14ac:dyDescent="0.3">
      <c r="B3" s="546" t="s">
        <v>179</v>
      </c>
      <c r="C3" s="546"/>
      <c r="D3" s="546"/>
      <c r="E3" s="546"/>
      <c r="F3" s="546"/>
    </row>
    <row r="4" spans="2:6" ht="15.75" thickBot="1" x14ac:dyDescent="0.35">
      <c r="B4" s="550" t="s">
        <v>180</v>
      </c>
      <c r="C4" s="551">
        <v>100</v>
      </c>
      <c r="D4" s="546"/>
      <c r="E4" s="546"/>
      <c r="F4" s="546"/>
    </row>
    <row r="5" spans="2:6" ht="30.75" thickBot="1" x14ac:dyDescent="0.25">
      <c r="B5" s="406" t="s">
        <v>168</v>
      </c>
      <c r="C5" s="407" t="s">
        <v>16</v>
      </c>
      <c r="D5" s="407" t="s">
        <v>3</v>
      </c>
      <c r="E5" s="407" t="s">
        <v>169</v>
      </c>
      <c r="F5" s="408" t="s">
        <v>170</v>
      </c>
    </row>
    <row r="6" spans="2:6" ht="15" x14ac:dyDescent="0.2">
      <c r="B6" s="751" t="s">
        <v>181</v>
      </c>
      <c r="C6" s="752"/>
      <c r="D6" s="752"/>
      <c r="E6" s="753"/>
      <c r="F6" s="405">
        <f>SUM(F7:F11)</f>
        <v>190.2</v>
      </c>
    </row>
    <row r="7" spans="2:6" x14ac:dyDescent="0.2">
      <c r="B7" s="184" t="s">
        <v>177</v>
      </c>
      <c r="C7" s="399" t="s">
        <v>17</v>
      </c>
      <c r="D7" s="400">
        <v>100</v>
      </c>
      <c r="E7" s="400">
        <f>Precio_leche__soles_litro</f>
        <v>1</v>
      </c>
      <c r="F7" s="171">
        <f>+E7*D7</f>
        <v>100</v>
      </c>
    </row>
    <row r="8" spans="2:6" x14ac:dyDescent="0.2">
      <c r="B8" s="184" t="s">
        <v>21</v>
      </c>
      <c r="C8" s="399" t="s">
        <v>18</v>
      </c>
      <c r="D8" s="400">
        <v>10</v>
      </c>
      <c r="E8" s="401">
        <v>2.2000000000000002</v>
      </c>
      <c r="F8" s="171">
        <f>+E8*D8</f>
        <v>22</v>
      </c>
    </row>
    <row r="9" spans="2:6" x14ac:dyDescent="0.2">
      <c r="B9" s="184" t="s">
        <v>22</v>
      </c>
      <c r="C9" s="399" t="s">
        <v>182</v>
      </c>
      <c r="D9" s="400">
        <v>0.2</v>
      </c>
      <c r="E9" s="628">
        <v>58</v>
      </c>
      <c r="F9" s="171">
        <f>+E9*D9</f>
        <v>11.600000000000001</v>
      </c>
    </row>
    <row r="10" spans="2:6" x14ac:dyDescent="0.2">
      <c r="B10" s="184" t="s">
        <v>183</v>
      </c>
      <c r="C10" s="399" t="s">
        <v>184</v>
      </c>
      <c r="D10" s="400">
        <v>0.1</v>
      </c>
      <c r="E10" s="628">
        <v>76</v>
      </c>
      <c r="F10" s="171">
        <f>+E10*D10</f>
        <v>7.6000000000000005</v>
      </c>
    </row>
    <row r="11" spans="2:6" x14ac:dyDescent="0.2">
      <c r="B11" s="184" t="s">
        <v>355</v>
      </c>
      <c r="C11" s="399" t="s">
        <v>356</v>
      </c>
      <c r="D11" s="400">
        <v>98</v>
      </c>
      <c r="E11" s="401">
        <v>0.5</v>
      </c>
      <c r="F11" s="171">
        <f>+E11*D11</f>
        <v>49</v>
      </c>
    </row>
    <row r="12" spans="2:6" x14ac:dyDescent="0.2">
      <c r="B12" s="754" t="s">
        <v>357</v>
      </c>
      <c r="C12" s="755"/>
      <c r="D12" s="755"/>
      <c r="E12" s="756"/>
      <c r="F12" s="402">
        <f>F13</f>
        <v>9.8000000000000007</v>
      </c>
    </row>
    <row r="13" spans="2:6" ht="13.5" thickBot="1" x14ac:dyDescent="0.25">
      <c r="B13" s="184" t="s">
        <v>358</v>
      </c>
      <c r="C13" s="399" t="s">
        <v>17</v>
      </c>
      <c r="D13" s="400">
        <f>F15</f>
        <v>98</v>
      </c>
      <c r="E13" s="401">
        <v>0.1</v>
      </c>
      <c r="F13" s="403">
        <f>D13*E13</f>
        <v>9.8000000000000007</v>
      </c>
    </row>
    <row r="14" spans="2:6" x14ac:dyDescent="0.2">
      <c r="B14" s="744" t="s">
        <v>185</v>
      </c>
      <c r="C14" s="745"/>
      <c r="D14" s="745"/>
      <c r="E14" s="745"/>
      <c r="F14" s="409">
        <f>F6+F12</f>
        <v>200</v>
      </c>
    </row>
    <row r="15" spans="2:6" ht="15.75" thickBot="1" x14ac:dyDescent="0.35">
      <c r="B15" s="748" t="s">
        <v>268</v>
      </c>
      <c r="C15" s="749"/>
      <c r="D15" s="749"/>
      <c r="E15" s="750"/>
      <c r="F15" s="410">
        <v>98</v>
      </c>
    </row>
    <row r="16" spans="2:6" ht="13.5" thickBot="1" x14ac:dyDescent="0.25">
      <c r="B16" s="746" t="s">
        <v>186</v>
      </c>
      <c r="C16" s="747"/>
      <c r="D16" s="747"/>
      <c r="E16" s="747"/>
      <c r="F16" s="411">
        <f>+F14/98</f>
        <v>2.0408163265306123</v>
      </c>
    </row>
    <row r="17" spans="2:6" x14ac:dyDescent="0.2">
      <c r="B17" s="542" t="s">
        <v>234</v>
      </c>
      <c r="C17" s="533"/>
      <c r="D17" s="533"/>
      <c r="E17" s="533"/>
      <c r="F17" s="533"/>
    </row>
    <row r="18" spans="2:6" ht="15" x14ac:dyDescent="0.3">
      <c r="B18" s="546"/>
      <c r="C18" s="533"/>
      <c r="D18" s="533"/>
      <c r="E18" s="533"/>
      <c r="F18" s="549"/>
    </row>
  </sheetData>
  <mergeCells count="6">
    <mergeCell ref="B2:F2"/>
    <mergeCell ref="B14:E14"/>
    <mergeCell ref="B16:E16"/>
    <mergeCell ref="B15:E15"/>
    <mergeCell ref="B6:E6"/>
    <mergeCell ref="B12:E12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L71"/>
  <sheetViews>
    <sheetView tabSelected="1" workbookViewId="0">
      <selection activeCell="J19" sqref="J19"/>
    </sheetView>
  </sheetViews>
  <sheetFormatPr defaultColWidth="11.42578125" defaultRowHeight="12.75" x14ac:dyDescent="0.2"/>
  <cols>
    <col min="1" max="1" width="1.7109375" style="21" customWidth="1"/>
    <col min="2" max="2" width="36.85546875" style="21" customWidth="1"/>
    <col min="3" max="3" width="10.42578125" style="21" customWidth="1"/>
    <col min="4" max="4" width="9.28515625" style="21" customWidth="1"/>
    <col min="5" max="5" width="8.5703125" style="21" customWidth="1"/>
    <col min="6" max="6" width="8" style="21" customWidth="1"/>
    <col min="7" max="7" width="9.140625" style="21" customWidth="1"/>
    <col min="8" max="8" width="9.28515625" style="21" customWidth="1"/>
    <col min="9" max="9" width="11.42578125" style="21"/>
    <col min="10" max="10" width="18.28515625" style="21" customWidth="1"/>
    <col min="11" max="11" width="11" style="21" customWidth="1"/>
    <col min="12" max="12" width="10.42578125" style="21" customWidth="1"/>
    <col min="13" max="16384" width="11.42578125" style="21"/>
  </cols>
  <sheetData>
    <row r="1" spans="2:12" ht="13.5" thickBot="1" x14ac:dyDescent="0.25"/>
    <row r="2" spans="2:12" ht="18.75" thickBot="1" x14ac:dyDescent="0.3">
      <c r="B2" s="769" t="s">
        <v>306</v>
      </c>
      <c r="C2" s="770"/>
      <c r="D2" s="770"/>
      <c r="E2" s="770"/>
      <c r="F2" s="770"/>
      <c r="G2" s="770"/>
      <c r="H2" s="771"/>
    </row>
    <row r="3" spans="2:12" ht="18" x14ac:dyDescent="0.25">
      <c r="B3" s="758" t="s">
        <v>28</v>
      </c>
      <c r="C3" s="758"/>
      <c r="D3" s="758"/>
      <c r="E3" s="758"/>
      <c r="F3" s="758"/>
      <c r="G3" s="758"/>
    </row>
    <row r="4" spans="2:12" ht="18.75" thickBot="1" x14ac:dyDescent="0.3">
      <c r="B4" s="38"/>
      <c r="C4" s="38"/>
      <c r="D4" s="38"/>
      <c r="E4" s="38"/>
      <c r="F4" s="38"/>
      <c r="G4" s="38"/>
    </row>
    <row r="5" spans="2:12" ht="13.5" thickBot="1" x14ac:dyDescent="0.25">
      <c r="B5" s="104" t="s">
        <v>142</v>
      </c>
      <c r="C5" s="105">
        <v>1</v>
      </c>
      <c r="D5" s="105">
        <v>2</v>
      </c>
      <c r="E5" s="105">
        <v>3</v>
      </c>
      <c r="F5" s="105">
        <v>4</v>
      </c>
      <c r="G5" s="105">
        <v>5</v>
      </c>
      <c r="H5" s="464">
        <v>6</v>
      </c>
    </row>
    <row r="6" spans="2:12" x14ac:dyDescent="0.2">
      <c r="B6" s="437" t="s">
        <v>143</v>
      </c>
      <c r="C6" s="438"/>
      <c r="D6" s="438"/>
      <c r="E6" s="438"/>
      <c r="F6" s="438"/>
      <c r="G6" s="438"/>
      <c r="H6" s="336"/>
    </row>
    <row r="7" spans="2:12" x14ac:dyDescent="0.2">
      <c r="B7" s="426" t="s">
        <v>308</v>
      </c>
      <c r="C7" s="294">
        <f>CUCACHIPA!$F$15*INGR!C11</f>
        <v>95125.504499999981</v>
      </c>
      <c r="D7" s="294">
        <f>CUCACHIPA!$F$15*INGR!D11</f>
        <v>111535.55369999997</v>
      </c>
      <c r="E7" s="294">
        <f>CUCACHIPA!$F$15*INGR!E11</f>
        <v>112561.68079403997</v>
      </c>
      <c r="F7" s="294">
        <f>CUCACHIPA!$F$15*INGR!F11</f>
        <v>113597.24825734516</v>
      </c>
      <c r="G7" s="294">
        <f>CUCACHIPA!$F$15*INGR!G11</f>
        <v>114642.34294131275</v>
      </c>
      <c r="H7" s="465">
        <f>CUCACHIPA!$F$15*INGR!H11</f>
        <v>115697.05249637284</v>
      </c>
    </row>
    <row r="8" spans="2:12" x14ac:dyDescent="0.2">
      <c r="B8" s="426" t="s">
        <v>187</v>
      </c>
      <c r="C8" s="294">
        <f>CUYOGUR!$F$16*INGR!C5</f>
        <v>118950.00000000003</v>
      </c>
      <c r="D8" s="294">
        <f>CUYOGUR!$F$16*INGR!D5</f>
        <v>139470.00000000003</v>
      </c>
      <c r="E8" s="294">
        <f>CUYOGUR!$F$16*INGR!E5</f>
        <v>140753.12400000004</v>
      </c>
      <c r="F8" s="294">
        <f>CUYOGUR!$F$16*INGR!F5</f>
        <v>142048.05274080005</v>
      </c>
      <c r="G8" s="294">
        <f>CUYOGUR!$F$16*INGR!G5</f>
        <v>143354.89482601543</v>
      </c>
      <c r="H8" s="465">
        <f>CUYOGUR!$F$16*INGR!H5</f>
        <v>144673.75985841479</v>
      </c>
      <c r="J8" s="761" t="s">
        <v>460</v>
      </c>
      <c r="K8" s="761"/>
      <c r="L8" s="761"/>
    </row>
    <row r="9" spans="2:12" x14ac:dyDescent="0.2">
      <c r="B9" s="426" t="s">
        <v>288</v>
      </c>
      <c r="C9" s="294">
        <f>CUQUESOS!$F$17*INGR!C8</f>
        <v>96391.053200000009</v>
      </c>
      <c r="D9" s="294">
        <f>CUQUESOS!$F$17*INGR!D8</f>
        <v>113019.42151999997</v>
      </c>
      <c r="E9" s="294">
        <f>CUQUESOS!$F$17*INGR!E8</f>
        <v>114059.20019798398</v>
      </c>
      <c r="F9" s="294">
        <f>CUQUESOS!$F$17*INGR!F8</f>
        <v>115108.54483980544</v>
      </c>
      <c r="G9" s="294">
        <f>CUQUESOS!$F$17*INGR!G8</f>
        <v>116167.54345233167</v>
      </c>
      <c r="H9" s="465">
        <f>CUQUESOS!$F$17*INGR!H8</f>
        <v>117236.28485209313</v>
      </c>
    </row>
    <row r="10" spans="2:12" x14ac:dyDescent="0.2">
      <c r="B10" s="426" t="s">
        <v>199</v>
      </c>
      <c r="C10" s="294">
        <f>SUELDOS!D22</f>
        <v>41692.5</v>
      </c>
      <c r="D10" s="294">
        <f>SUELDOS!E22</f>
        <v>41692.5</v>
      </c>
      <c r="E10" s="294">
        <f>SUELDOS!F22</f>
        <v>41692.5</v>
      </c>
      <c r="F10" s="294">
        <f>SUELDOS!G22</f>
        <v>41692.5</v>
      </c>
      <c r="G10" s="294">
        <f>SUELDOS!H22</f>
        <v>41692.5</v>
      </c>
      <c r="H10" s="465">
        <f>SUELDOS!I22</f>
        <v>41692.5</v>
      </c>
      <c r="J10" s="629" t="s">
        <v>4</v>
      </c>
      <c r="K10" s="629" t="s">
        <v>461</v>
      </c>
      <c r="L10" s="629" t="s">
        <v>462</v>
      </c>
    </row>
    <row r="11" spans="2:12" ht="13.5" thickBot="1" x14ac:dyDescent="0.25">
      <c r="B11" s="439" t="s">
        <v>87</v>
      </c>
      <c r="C11" s="440">
        <f>DEP!C14</f>
        <v>1862.4271844660195</v>
      </c>
      <c r="D11" s="440">
        <f>DEP!D14</f>
        <v>1808.1817324912811</v>
      </c>
      <c r="E11" s="440">
        <f>DEP!E14</f>
        <v>1755.5162451371662</v>
      </c>
      <c r="F11" s="440">
        <f>DEP!F14</f>
        <v>1704.3847040166663</v>
      </c>
      <c r="G11" s="440">
        <f>DEP!G14</f>
        <v>1654.7424310841423</v>
      </c>
      <c r="H11" s="440">
        <f>DEP!H14</f>
        <v>1606.5460495962545</v>
      </c>
      <c r="J11" s="277" t="s">
        <v>455</v>
      </c>
      <c r="K11" s="362">
        <f>C10+600+12263</f>
        <v>54555.5</v>
      </c>
      <c r="L11" s="362"/>
    </row>
    <row r="12" spans="2:12" ht="13.5" thickBot="1" x14ac:dyDescent="0.25">
      <c r="B12" s="106" t="s">
        <v>144</v>
      </c>
      <c r="C12" s="107">
        <f t="shared" ref="C12:H12" si="0">SUM(C7:C11)</f>
        <v>354021.48488446604</v>
      </c>
      <c r="D12" s="107">
        <f t="shared" si="0"/>
        <v>407525.65695249126</v>
      </c>
      <c r="E12" s="107">
        <f t="shared" si="0"/>
        <v>410822.02123716113</v>
      </c>
      <c r="F12" s="107">
        <f t="shared" si="0"/>
        <v>414150.73054196732</v>
      </c>
      <c r="G12" s="107">
        <f t="shared" si="0"/>
        <v>417512.023650744</v>
      </c>
      <c r="H12" s="109">
        <f t="shared" si="0"/>
        <v>420906.14325647702</v>
      </c>
      <c r="J12" s="277" t="s">
        <v>456</v>
      </c>
      <c r="K12" s="277">
        <v>1200</v>
      </c>
      <c r="L12" s="277"/>
    </row>
    <row r="13" spans="2:12" x14ac:dyDescent="0.2">
      <c r="B13" s="435" t="s">
        <v>29</v>
      </c>
      <c r="C13" s="200"/>
      <c r="D13" s="200"/>
      <c r="E13" s="200"/>
      <c r="F13" s="200"/>
      <c r="G13" s="200"/>
      <c r="H13" s="201"/>
      <c r="J13" s="277" t="s">
        <v>457</v>
      </c>
      <c r="K13" s="277">
        <v>600</v>
      </c>
      <c r="L13" s="277"/>
    </row>
    <row r="14" spans="2:12" x14ac:dyDescent="0.2">
      <c r="B14" s="430" t="s">
        <v>210</v>
      </c>
      <c r="C14" s="116">
        <f>SUELDOS!$D$23</f>
        <v>600</v>
      </c>
      <c r="D14" s="116">
        <f>SUELDOS!$D$23</f>
        <v>600</v>
      </c>
      <c r="E14" s="116">
        <f>SUELDOS!$D$23</f>
        <v>600</v>
      </c>
      <c r="F14" s="116">
        <f>SUELDOS!$D$23</f>
        <v>600</v>
      </c>
      <c r="G14" s="116">
        <f>SUELDOS!$D$23</f>
        <v>600</v>
      </c>
      <c r="H14" s="123">
        <f>SUELDOS!$D$23</f>
        <v>600</v>
      </c>
      <c r="J14" s="277" t="s">
        <v>240</v>
      </c>
      <c r="K14" s="277">
        <v>360</v>
      </c>
      <c r="L14" s="277"/>
    </row>
    <row r="15" spans="2:12" x14ac:dyDescent="0.2">
      <c r="B15" s="430" t="s">
        <v>238</v>
      </c>
      <c r="C15" s="116">
        <f>100*12</f>
        <v>1200</v>
      </c>
      <c r="D15" s="116">
        <f>$C$15</f>
        <v>1200</v>
      </c>
      <c r="E15" s="116">
        <f>$C$15</f>
        <v>1200</v>
      </c>
      <c r="F15" s="116">
        <f>$C$15</f>
        <v>1200</v>
      </c>
      <c r="G15" s="116">
        <f>$C$15</f>
        <v>1200</v>
      </c>
      <c r="H15" s="123">
        <f>$C$15</f>
        <v>1200</v>
      </c>
      <c r="J15" s="277" t="s">
        <v>458</v>
      </c>
      <c r="K15" s="362">
        <f>C22</f>
        <v>2400</v>
      </c>
      <c r="L15" s="277"/>
    </row>
    <row r="16" spans="2:12" x14ac:dyDescent="0.2">
      <c r="B16" s="430" t="s">
        <v>239</v>
      </c>
      <c r="C16" s="116">
        <f>50*12</f>
        <v>600</v>
      </c>
      <c r="D16" s="116">
        <f>$C$16</f>
        <v>600</v>
      </c>
      <c r="E16" s="116">
        <f>$C$16</f>
        <v>600</v>
      </c>
      <c r="F16" s="116">
        <f>$C$16</f>
        <v>600</v>
      </c>
      <c r="G16" s="116">
        <f>$C$16</f>
        <v>600</v>
      </c>
      <c r="H16" s="123">
        <f>$C$16</f>
        <v>600</v>
      </c>
      <c r="J16" s="277" t="s">
        <v>459</v>
      </c>
      <c r="K16" s="277">
        <v>2300</v>
      </c>
      <c r="L16" s="277"/>
    </row>
    <row r="17" spans="2:8" x14ac:dyDescent="0.2">
      <c r="B17" s="430" t="s">
        <v>240</v>
      </c>
      <c r="C17" s="116">
        <f>30*12</f>
        <v>360</v>
      </c>
      <c r="D17" s="116">
        <f>$C$17</f>
        <v>360</v>
      </c>
      <c r="E17" s="116">
        <f>$C$17</f>
        <v>360</v>
      </c>
      <c r="F17" s="116">
        <f>$C$17</f>
        <v>360</v>
      </c>
      <c r="G17" s="116">
        <f>$C$17</f>
        <v>360</v>
      </c>
      <c r="H17" s="123">
        <f>$C$17</f>
        <v>360</v>
      </c>
    </row>
    <row r="18" spans="2:8" ht="13.5" thickBot="1" x14ac:dyDescent="0.25">
      <c r="B18" s="441" t="s">
        <v>241</v>
      </c>
      <c r="C18" s="117">
        <f>DEP!C27</f>
        <v>1504.8543689320388</v>
      </c>
      <c r="D18" s="117">
        <f>DEP!D27</f>
        <v>1461.0236591573193</v>
      </c>
      <c r="E18" s="117">
        <f>DEP!E27</f>
        <v>1418.4695719973975</v>
      </c>
      <c r="F18" s="117">
        <f>DEP!F27</f>
        <v>1377.1549242693179</v>
      </c>
      <c r="G18" s="117">
        <f>DEP!G27</f>
        <v>1337.0436157954543</v>
      </c>
      <c r="H18" s="117">
        <f>DEP!H27</f>
        <v>1298.1005978596645</v>
      </c>
    </row>
    <row r="19" spans="2:8" ht="13.5" thickBot="1" x14ac:dyDescent="0.25">
      <c r="B19" s="106" t="s">
        <v>30</v>
      </c>
      <c r="C19" s="107">
        <f t="shared" ref="C19:H19" si="1">SUM(C14:C18)</f>
        <v>4264.8543689320386</v>
      </c>
      <c r="D19" s="107">
        <f t="shared" si="1"/>
        <v>4221.0236591573193</v>
      </c>
      <c r="E19" s="107">
        <f t="shared" si="1"/>
        <v>4178.469571997397</v>
      </c>
      <c r="F19" s="107">
        <f t="shared" si="1"/>
        <v>4137.1549242693181</v>
      </c>
      <c r="G19" s="107">
        <f t="shared" si="1"/>
        <v>4097.0436157954546</v>
      </c>
      <c r="H19" s="109">
        <f t="shared" si="1"/>
        <v>4058.1005978596645</v>
      </c>
    </row>
    <row r="20" spans="2:8" x14ac:dyDescent="0.2">
      <c r="B20" s="435" t="s">
        <v>31</v>
      </c>
      <c r="C20" s="200"/>
      <c r="D20" s="200"/>
      <c r="E20" s="200"/>
      <c r="F20" s="200"/>
      <c r="G20" s="200"/>
      <c r="H20" s="201"/>
    </row>
    <row r="21" spans="2:8" x14ac:dyDescent="0.2">
      <c r="B21" s="436" t="s">
        <v>210</v>
      </c>
      <c r="C21" s="116">
        <f>SUELDOS!$D$24</f>
        <v>12262.5</v>
      </c>
      <c r="D21" s="116">
        <f>SUELDOS!$D$24</f>
        <v>12262.5</v>
      </c>
      <c r="E21" s="116">
        <f>SUELDOS!$D$24</f>
        <v>12262.5</v>
      </c>
      <c r="F21" s="116">
        <f>SUELDOS!$D$24</f>
        <v>12262.5</v>
      </c>
      <c r="G21" s="116">
        <f>SUELDOS!$D$24</f>
        <v>12262.5</v>
      </c>
      <c r="H21" s="123">
        <f>SUELDOS!$D$24</f>
        <v>12262.5</v>
      </c>
    </row>
    <row r="22" spans="2:8" x14ac:dyDescent="0.2">
      <c r="B22" s="436" t="s">
        <v>237</v>
      </c>
      <c r="C22" s="116">
        <f t="shared" ref="C22:H22" si="2">200*12</f>
        <v>2400</v>
      </c>
      <c r="D22" s="116">
        <f t="shared" si="2"/>
        <v>2400</v>
      </c>
      <c r="E22" s="116">
        <f t="shared" si="2"/>
        <v>2400</v>
      </c>
      <c r="F22" s="116">
        <f t="shared" si="2"/>
        <v>2400</v>
      </c>
      <c r="G22" s="116">
        <f t="shared" si="2"/>
        <v>2400</v>
      </c>
      <c r="H22" s="116">
        <f t="shared" si="2"/>
        <v>2400</v>
      </c>
    </row>
    <row r="23" spans="2:8" ht="13.5" thickBot="1" x14ac:dyDescent="0.25">
      <c r="B23" s="442" t="s">
        <v>211</v>
      </c>
      <c r="C23" s="117">
        <f t="shared" ref="C23:H23" si="3">$F$37</f>
        <v>2300</v>
      </c>
      <c r="D23" s="117">
        <f t="shared" si="3"/>
        <v>2300</v>
      </c>
      <c r="E23" s="117">
        <f t="shared" si="3"/>
        <v>2300</v>
      </c>
      <c r="F23" s="117">
        <f t="shared" si="3"/>
        <v>2300</v>
      </c>
      <c r="G23" s="117">
        <f t="shared" si="3"/>
        <v>2300</v>
      </c>
      <c r="H23" s="160">
        <f t="shared" si="3"/>
        <v>2300</v>
      </c>
    </row>
    <row r="24" spans="2:8" ht="13.5" thickBot="1" x14ac:dyDescent="0.25">
      <c r="B24" s="106" t="s">
        <v>32</v>
      </c>
      <c r="C24" s="107">
        <f t="shared" ref="C24:H24" si="4">SUM(C21:C23)</f>
        <v>16962.5</v>
      </c>
      <c r="D24" s="107">
        <f t="shared" si="4"/>
        <v>16962.5</v>
      </c>
      <c r="E24" s="107">
        <f t="shared" si="4"/>
        <v>16962.5</v>
      </c>
      <c r="F24" s="107">
        <f t="shared" si="4"/>
        <v>16962.5</v>
      </c>
      <c r="G24" s="107">
        <f t="shared" si="4"/>
        <v>16962.5</v>
      </c>
      <c r="H24" s="109">
        <f t="shared" si="4"/>
        <v>16962.5</v>
      </c>
    </row>
    <row r="25" spans="2:8" ht="13.5" thickBot="1" x14ac:dyDescent="0.25">
      <c r="B25" s="431" t="s">
        <v>33</v>
      </c>
      <c r="C25" s="163">
        <f t="shared" ref="C25:H25" si="5">C12+C19+C24</f>
        <v>375248.83925339807</v>
      </c>
      <c r="D25" s="163">
        <f t="shared" si="5"/>
        <v>428709.1806116486</v>
      </c>
      <c r="E25" s="163">
        <f t="shared" si="5"/>
        <v>431962.99080915854</v>
      </c>
      <c r="F25" s="163">
        <f t="shared" si="5"/>
        <v>435250.38546623662</v>
      </c>
      <c r="G25" s="163">
        <f t="shared" si="5"/>
        <v>438571.56726653944</v>
      </c>
      <c r="H25" s="396">
        <f t="shared" si="5"/>
        <v>441926.74385433667</v>
      </c>
    </row>
    <row r="26" spans="2:8" x14ac:dyDescent="0.2">
      <c r="B26" s="757" t="s">
        <v>167</v>
      </c>
      <c r="C26" s="757"/>
      <c r="D26" s="537"/>
      <c r="E26" s="537"/>
      <c r="F26" s="537"/>
      <c r="G26" s="537"/>
      <c r="H26" s="533"/>
    </row>
    <row r="27" spans="2:8" x14ac:dyDescent="0.2">
      <c r="B27" s="533"/>
      <c r="C27" s="533"/>
      <c r="D27" s="533"/>
      <c r="E27" s="533"/>
      <c r="F27" s="533"/>
      <c r="G27" s="533"/>
      <c r="H27" s="533"/>
    </row>
    <row r="29" spans="2:8" ht="13.5" thickBot="1" x14ac:dyDescent="0.25"/>
    <row r="30" spans="2:8" ht="13.5" thickBot="1" x14ac:dyDescent="0.25">
      <c r="B30" s="641" t="s">
        <v>307</v>
      </c>
      <c r="C30" s="642"/>
      <c r="D30" s="642"/>
      <c r="E30" s="642"/>
      <c r="F30" s="643"/>
      <c r="G30" s="603"/>
    </row>
    <row r="31" spans="2:8" ht="13.5" thickBot="1" x14ac:dyDescent="0.25">
      <c r="B31" s="40"/>
      <c r="C31" s="40"/>
      <c r="D31" s="40"/>
      <c r="E31" s="40"/>
      <c r="F31" s="40"/>
      <c r="G31" s="40"/>
    </row>
    <row r="32" spans="2:8" ht="21" customHeight="1" thickBot="1" x14ac:dyDescent="0.25">
      <c r="B32" s="148" t="s">
        <v>6</v>
      </c>
      <c r="C32" s="422" t="s">
        <v>34</v>
      </c>
      <c r="D32" s="149" t="s">
        <v>141</v>
      </c>
      <c r="E32" s="149" t="s">
        <v>35</v>
      </c>
      <c r="F32" s="150" t="s">
        <v>26</v>
      </c>
      <c r="G32" s="278"/>
    </row>
    <row r="33" spans="2:7" x14ac:dyDescent="0.2">
      <c r="B33" s="285" t="s">
        <v>309</v>
      </c>
      <c r="C33" s="286">
        <v>0.5</v>
      </c>
      <c r="D33" s="286">
        <v>600</v>
      </c>
      <c r="E33" s="286">
        <v>2</v>
      </c>
      <c r="F33" s="287">
        <f>C33*D33*E33</f>
        <v>600</v>
      </c>
      <c r="G33" s="279"/>
    </row>
    <row r="34" spans="2:7" x14ac:dyDescent="0.2">
      <c r="B34" s="283" t="s">
        <v>310</v>
      </c>
      <c r="C34" s="281">
        <v>2</v>
      </c>
      <c r="D34" s="281">
        <v>50</v>
      </c>
      <c r="E34" s="281">
        <v>1</v>
      </c>
      <c r="F34" s="284">
        <f>C34*D34*E34</f>
        <v>100</v>
      </c>
      <c r="G34" s="279"/>
    </row>
    <row r="35" spans="2:7" x14ac:dyDescent="0.2">
      <c r="B35" s="283" t="s">
        <v>315</v>
      </c>
      <c r="C35" s="282">
        <v>16</v>
      </c>
      <c r="D35" s="281">
        <v>50</v>
      </c>
      <c r="E35" s="281">
        <v>1</v>
      </c>
      <c r="F35" s="284">
        <f>C35*D35*E35</f>
        <v>800</v>
      </c>
      <c r="G35" s="279"/>
    </row>
    <row r="36" spans="2:7" ht="13.5" thickBot="1" x14ac:dyDescent="0.25">
      <c r="B36" s="288" t="s">
        <v>311</v>
      </c>
      <c r="C36" s="289">
        <v>1</v>
      </c>
      <c r="D36" s="290">
        <v>200</v>
      </c>
      <c r="E36" s="289">
        <v>4</v>
      </c>
      <c r="F36" s="291">
        <f>C36*D36*E36</f>
        <v>800</v>
      </c>
      <c r="G36" s="279"/>
    </row>
    <row r="37" spans="2:7" ht="13.5" thickBot="1" x14ac:dyDescent="0.25">
      <c r="B37" s="759" t="s">
        <v>0</v>
      </c>
      <c r="C37" s="760"/>
      <c r="D37" s="760"/>
      <c r="E37" s="760"/>
      <c r="F37" s="292">
        <f>SUM(F33:F36)</f>
        <v>2300</v>
      </c>
      <c r="G37" s="280"/>
    </row>
    <row r="38" spans="2:7" x14ac:dyDescent="0.2">
      <c r="B38" s="757" t="s">
        <v>167</v>
      </c>
      <c r="C38" s="757"/>
      <c r="D38" s="558"/>
      <c r="E38" s="545"/>
      <c r="F38" s="539"/>
      <c r="G38" s="19"/>
    </row>
    <row r="39" spans="2:7" ht="13.5" thickBot="1" x14ac:dyDescent="0.25">
      <c r="B39" s="539"/>
      <c r="C39" s="539"/>
      <c r="D39" s="539"/>
      <c r="E39" s="539"/>
      <c r="F39" s="539"/>
    </row>
    <row r="40" spans="2:7" ht="15.75" customHeight="1" thickBot="1" x14ac:dyDescent="0.25">
      <c r="B40" s="647" t="s">
        <v>341</v>
      </c>
      <c r="C40" s="648"/>
      <c r="D40" s="648"/>
      <c r="E40" s="648"/>
      <c r="F40" s="649"/>
      <c r="G40" s="602"/>
    </row>
    <row r="41" spans="2:7" ht="13.5" thickBot="1" x14ac:dyDescent="0.25"/>
    <row r="42" spans="2:7" ht="13.5" thickBot="1" x14ac:dyDescent="0.25">
      <c r="B42" s="419" t="s">
        <v>4</v>
      </c>
      <c r="C42" s="420" t="s">
        <v>342</v>
      </c>
      <c r="D42" s="420" t="s">
        <v>175</v>
      </c>
      <c r="E42" s="420" t="s">
        <v>343</v>
      </c>
      <c r="F42" s="421" t="s">
        <v>344</v>
      </c>
    </row>
    <row r="43" spans="2:7" x14ac:dyDescent="0.2">
      <c r="B43" s="334" t="s">
        <v>375</v>
      </c>
      <c r="C43" s="499" t="s">
        <v>374</v>
      </c>
      <c r="D43" s="335">
        <v>365</v>
      </c>
      <c r="E43" s="335">
        <v>5</v>
      </c>
      <c r="F43" s="336">
        <f>D43*E43</f>
        <v>1825</v>
      </c>
    </row>
    <row r="44" spans="2:7" x14ac:dyDescent="0.2">
      <c r="B44" s="337" t="s">
        <v>376</v>
      </c>
      <c r="C44" s="415" t="s">
        <v>342</v>
      </c>
      <c r="D44" s="277">
        <v>5</v>
      </c>
      <c r="E44" s="277">
        <v>12</v>
      </c>
      <c r="F44" s="339">
        <f>D44*E44</f>
        <v>60</v>
      </c>
    </row>
    <row r="45" spans="2:7" x14ac:dyDescent="0.2">
      <c r="B45" s="337" t="s">
        <v>377</v>
      </c>
      <c r="C45" s="415" t="s">
        <v>342</v>
      </c>
      <c r="D45" s="277">
        <v>5</v>
      </c>
      <c r="E45" s="277">
        <v>60</v>
      </c>
      <c r="F45" s="339">
        <f>D45*E45</f>
        <v>300</v>
      </c>
    </row>
    <row r="46" spans="2:7" ht="13.5" thickBot="1" x14ac:dyDescent="0.25">
      <c r="B46" s="416" t="s">
        <v>378</v>
      </c>
      <c r="C46" s="500" t="s">
        <v>342</v>
      </c>
      <c r="D46" s="370">
        <v>5</v>
      </c>
      <c r="E46" s="370">
        <v>60</v>
      </c>
      <c r="F46" s="371">
        <f>D46*E46</f>
        <v>300</v>
      </c>
    </row>
    <row r="47" spans="2:7" ht="13.5" thickBot="1" x14ac:dyDescent="0.25">
      <c r="B47" s="762" t="s">
        <v>346</v>
      </c>
      <c r="C47" s="763"/>
      <c r="D47" s="763"/>
      <c r="E47" s="764"/>
      <c r="F47" s="417">
        <f>SUM(F43:F46)</f>
        <v>2485</v>
      </c>
    </row>
    <row r="48" spans="2:7" ht="13.5" thickBot="1" x14ac:dyDescent="0.25">
      <c r="B48" s="762" t="s">
        <v>347</v>
      </c>
      <c r="C48" s="763"/>
      <c r="D48" s="763"/>
      <c r="E48" s="764"/>
      <c r="F48" s="418">
        <f>F47/365</f>
        <v>6.8082191780821919</v>
      </c>
    </row>
    <row r="49" spans="2:8" x14ac:dyDescent="0.2">
      <c r="B49" s="538" t="s">
        <v>379</v>
      </c>
      <c r="C49" s="533"/>
      <c r="D49" s="533"/>
      <c r="E49" s="533"/>
      <c r="F49" s="533"/>
    </row>
    <row r="50" spans="2:8" x14ac:dyDescent="0.2">
      <c r="B50" s="538" t="s">
        <v>380</v>
      </c>
      <c r="C50" s="533"/>
      <c r="D50" s="533"/>
      <c r="E50" s="533"/>
      <c r="F50" s="533"/>
    </row>
    <row r="51" spans="2:8" ht="13.5" thickBot="1" x14ac:dyDescent="0.25"/>
    <row r="52" spans="2:8" ht="16.5" thickBot="1" x14ac:dyDescent="0.3">
      <c r="B52" s="765" t="s">
        <v>361</v>
      </c>
      <c r="C52" s="766"/>
      <c r="D52" s="766"/>
      <c r="E52" s="766"/>
      <c r="F52" s="766"/>
      <c r="G52" s="766"/>
      <c r="H52" s="767"/>
    </row>
    <row r="53" spans="2:8" ht="15.75" x14ac:dyDescent="0.25">
      <c r="B53" s="768" t="s">
        <v>28</v>
      </c>
      <c r="C53" s="768"/>
      <c r="D53" s="768"/>
      <c r="E53" s="768"/>
      <c r="F53" s="768"/>
      <c r="G53" s="768"/>
      <c r="H53" s="768"/>
    </row>
    <row r="54" spans="2:8" ht="18.75" thickBot="1" x14ac:dyDescent="0.3">
      <c r="B54" s="38"/>
      <c r="C54" s="38"/>
      <c r="D54" s="38"/>
      <c r="E54" s="38"/>
      <c r="F54" s="38"/>
      <c r="G54" s="38"/>
    </row>
    <row r="55" spans="2:8" ht="13.5" thickBot="1" x14ac:dyDescent="0.25">
      <c r="B55" s="104" t="s">
        <v>142</v>
      </c>
      <c r="C55" s="105">
        <v>1</v>
      </c>
      <c r="D55" s="105">
        <f>C55+1</f>
        <v>2</v>
      </c>
      <c r="E55" s="105">
        <f>D55+1</f>
        <v>3</v>
      </c>
      <c r="F55" s="105">
        <f>E55+1</f>
        <v>4</v>
      </c>
      <c r="G55" s="105">
        <f>F55+1</f>
        <v>5</v>
      </c>
      <c r="H55" s="108">
        <f>G55+1</f>
        <v>6</v>
      </c>
    </row>
    <row r="56" spans="2:8" x14ac:dyDescent="0.2">
      <c r="B56" s="423" t="s">
        <v>143</v>
      </c>
      <c r="C56" s="424"/>
      <c r="D56" s="424"/>
      <c r="E56" s="424"/>
      <c r="F56" s="424"/>
      <c r="G56" s="424"/>
      <c r="H56" s="425"/>
    </row>
    <row r="57" spans="2:8" x14ac:dyDescent="0.2">
      <c r="B57" s="426" t="s">
        <v>370</v>
      </c>
      <c r="C57" s="350">
        <f t="shared" ref="C57:H57" si="6">$F$47</f>
        <v>2485</v>
      </c>
      <c r="D57" s="350">
        <f t="shared" si="6"/>
        <v>2485</v>
      </c>
      <c r="E57" s="350">
        <f t="shared" si="6"/>
        <v>2485</v>
      </c>
      <c r="F57" s="350">
        <f t="shared" si="6"/>
        <v>2485</v>
      </c>
      <c r="G57" s="350">
        <f t="shared" si="6"/>
        <v>2485</v>
      </c>
      <c r="H57" s="460">
        <f t="shared" si="6"/>
        <v>2485</v>
      </c>
    </row>
    <row r="58" spans="2:8" ht="13.5" thickBot="1" x14ac:dyDescent="0.25">
      <c r="B58" s="432" t="s">
        <v>364</v>
      </c>
      <c r="C58" s="461">
        <f>(CUCACHIPA!$F$15-CUCACHIPA!$E$7)*ProgramaProd.!D19</f>
        <v>564.29999999999905</v>
      </c>
      <c r="D58" s="461">
        <f>(CUCACHIPA!$F$15-CUCACHIPA!$E$7)*ProgramaProd.!D20</f>
        <v>569.83013999999901</v>
      </c>
      <c r="E58" s="461">
        <f>(CUCACHIPA!$F$15-CUCACHIPA!$E$7)*ProgramaProd.!D21</f>
        <v>575.41447537199906</v>
      </c>
      <c r="F58" s="461">
        <f>(CUCACHIPA!$F$15-CUCACHIPA!$E$7)*ProgramaProd.!D22</f>
        <v>581.05353723064468</v>
      </c>
      <c r="G58" s="461">
        <f>(CUCACHIPA!$F$15-CUCACHIPA!$E$7)*ProgramaProd.!D23</f>
        <v>586.74786189550503</v>
      </c>
      <c r="H58" s="462">
        <f>(CUCACHIPA!$F$15-CUCACHIPA!$E$7)*ProgramaProd.!D24</f>
        <v>592.49799094208095</v>
      </c>
    </row>
    <row r="59" spans="2:8" ht="13.5" thickBot="1" x14ac:dyDescent="0.25">
      <c r="B59" s="106" t="s">
        <v>144</v>
      </c>
      <c r="C59" s="107">
        <f t="shared" ref="C59:H59" si="7">SUM(C57:C58)</f>
        <v>3049.2999999999993</v>
      </c>
      <c r="D59" s="107">
        <f t="shared" si="7"/>
        <v>3054.8301399999991</v>
      </c>
      <c r="E59" s="107">
        <f t="shared" si="7"/>
        <v>3060.4144753719993</v>
      </c>
      <c r="F59" s="107">
        <f t="shared" si="7"/>
        <v>3066.0535372306449</v>
      </c>
      <c r="G59" s="107">
        <f t="shared" si="7"/>
        <v>3071.7478618955051</v>
      </c>
      <c r="H59" s="109">
        <f t="shared" si="7"/>
        <v>3077.4979909420808</v>
      </c>
    </row>
    <row r="60" spans="2:8" x14ac:dyDescent="0.2">
      <c r="B60" s="427" t="s">
        <v>29</v>
      </c>
      <c r="C60" s="119"/>
      <c r="D60" s="119"/>
      <c r="E60" s="119"/>
      <c r="F60" s="119"/>
      <c r="G60" s="119"/>
      <c r="H60" s="425"/>
    </row>
    <row r="61" spans="2:8" x14ac:dyDescent="0.2">
      <c r="B61" s="428" t="s">
        <v>362</v>
      </c>
      <c r="C61" s="429">
        <f>10*12</f>
        <v>120</v>
      </c>
      <c r="D61" s="429">
        <f t="shared" ref="D61:H63" si="8">C61</f>
        <v>120</v>
      </c>
      <c r="E61" s="429">
        <f t="shared" si="8"/>
        <v>120</v>
      </c>
      <c r="F61" s="429">
        <f t="shared" si="8"/>
        <v>120</v>
      </c>
      <c r="G61" s="429">
        <f t="shared" si="8"/>
        <v>120</v>
      </c>
      <c r="H61" s="463">
        <f t="shared" si="8"/>
        <v>120</v>
      </c>
    </row>
    <row r="62" spans="2:8" x14ac:dyDescent="0.2">
      <c r="B62" s="430" t="s">
        <v>239</v>
      </c>
      <c r="C62" s="429">
        <v>0</v>
      </c>
      <c r="D62" s="116">
        <f t="shared" si="8"/>
        <v>0</v>
      </c>
      <c r="E62" s="116">
        <f t="shared" si="8"/>
        <v>0</v>
      </c>
      <c r="F62" s="116">
        <f t="shared" si="8"/>
        <v>0</v>
      </c>
      <c r="G62" s="116">
        <f t="shared" si="8"/>
        <v>0</v>
      </c>
      <c r="H62" s="123">
        <f t="shared" si="8"/>
        <v>0</v>
      </c>
    </row>
    <row r="63" spans="2:8" ht="13.5" thickBot="1" x14ac:dyDescent="0.25">
      <c r="B63" s="434" t="s">
        <v>240</v>
      </c>
      <c r="C63" s="429">
        <v>0</v>
      </c>
      <c r="D63" s="117">
        <f t="shared" si="8"/>
        <v>0</v>
      </c>
      <c r="E63" s="117">
        <f t="shared" si="8"/>
        <v>0</v>
      </c>
      <c r="F63" s="117">
        <f t="shared" si="8"/>
        <v>0</v>
      </c>
      <c r="G63" s="117">
        <f t="shared" si="8"/>
        <v>0</v>
      </c>
      <c r="H63" s="160">
        <f t="shared" si="8"/>
        <v>0</v>
      </c>
    </row>
    <row r="64" spans="2:8" ht="13.5" thickBot="1" x14ac:dyDescent="0.25">
      <c r="B64" s="106" t="s">
        <v>30</v>
      </c>
      <c r="C64" s="107">
        <f t="shared" ref="C64:H64" si="9">SUM(C61:C63)</f>
        <v>120</v>
      </c>
      <c r="D64" s="107">
        <f t="shared" si="9"/>
        <v>120</v>
      </c>
      <c r="E64" s="107">
        <f t="shared" si="9"/>
        <v>120</v>
      </c>
      <c r="F64" s="107">
        <f t="shared" si="9"/>
        <v>120</v>
      </c>
      <c r="G64" s="107">
        <f t="shared" si="9"/>
        <v>120</v>
      </c>
      <c r="H64" s="433">
        <f t="shared" si="9"/>
        <v>120</v>
      </c>
    </row>
    <row r="65" spans="2:8" x14ac:dyDescent="0.2">
      <c r="B65" s="427" t="s">
        <v>31</v>
      </c>
      <c r="C65" s="119"/>
      <c r="D65" s="119"/>
      <c r="E65" s="119"/>
      <c r="F65" s="119"/>
      <c r="G65" s="119"/>
      <c r="H65" s="510"/>
    </row>
    <row r="66" spans="2:8" ht="13.5" thickBot="1" x14ac:dyDescent="0.25">
      <c r="B66" s="511" t="s">
        <v>363</v>
      </c>
      <c r="C66" s="124">
        <f>10*12</f>
        <v>120</v>
      </c>
      <c r="D66" s="124">
        <f>$C$66</f>
        <v>120</v>
      </c>
      <c r="E66" s="124">
        <f>$C$66</f>
        <v>120</v>
      </c>
      <c r="F66" s="124">
        <f>$C$66</f>
        <v>120</v>
      </c>
      <c r="G66" s="124">
        <f>$C$66</f>
        <v>120</v>
      </c>
      <c r="H66" s="125">
        <f>$C$66</f>
        <v>120</v>
      </c>
    </row>
    <row r="67" spans="2:8" ht="13.5" thickBot="1" x14ac:dyDescent="0.25">
      <c r="B67" s="106" t="s">
        <v>32</v>
      </c>
      <c r="C67" s="107">
        <f t="shared" ref="C67:H67" si="10">SUM(C66:C66)</f>
        <v>120</v>
      </c>
      <c r="D67" s="107">
        <f t="shared" si="10"/>
        <v>120</v>
      </c>
      <c r="E67" s="107">
        <f t="shared" si="10"/>
        <v>120</v>
      </c>
      <c r="F67" s="107">
        <f t="shared" si="10"/>
        <v>120</v>
      </c>
      <c r="G67" s="107">
        <f t="shared" si="10"/>
        <v>120</v>
      </c>
      <c r="H67" s="433">
        <f t="shared" si="10"/>
        <v>120</v>
      </c>
    </row>
    <row r="68" spans="2:8" ht="13.5" thickBot="1" x14ac:dyDescent="0.25">
      <c r="B68" s="106" t="s">
        <v>33</v>
      </c>
      <c r="C68" s="107">
        <f t="shared" ref="C68:H68" si="11">C59+C64+C67</f>
        <v>3289.2999999999993</v>
      </c>
      <c r="D68" s="107">
        <f t="shared" si="11"/>
        <v>3294.8301399999991</v>
      </c>
      <c r="E68" s="107">
        <f t="shared" si="11"/>
        <v>3300.4144753719993</v>
      </c>
      <c r="F68" s="107">
        <f t="shared" si="11"/>
        <v>3306.0535372306449</v>
      </c>
      <c r="G68" s="107">
        <f t="shared" si="11"/>
        <v>3311.7478618955051</v>
      </c>
      <c r="H68" s="433">
        <f t="shared" si="11"/>
        <v>3317.4979909420808</v>
      </c>
    </row>
    <row r="69" spans="2:8" x14ac:dyDescent="0.2">
      <c r="B69" s="757" t="s">
        <v>167</v>
      </c>
      <c r="C69" s="757"/>
      <c r="D69" s="537"/>
      <c r="E69" s="537"/>
      <c r="F69" s="537"/>
      <c r="G69" s="537"/>
      <c r="H69" s="533"/>
    </row>
    <row r="70" spans="2:8" x14ac:dyDescent="0.2">
      <c r="B70" s="533"/>
      <c r="C70" s="533"/>
      <c r="D70" s="533"/>
      <c r="E70" s="533"/>
      <c r="F70" s="533"/>
      <c r="G70" s="533"/>
      <c r="H70" s="533"/>
    </row>
    <row r="71" spans="2:8" x14ac:dyDescent="0.2">
      <c r="D71" s="19"/>
      <c r="E71" s="19"/>
      <c r="F71" s="19"/>
      <c r="G71" s="19"/>
    </row>
  </sheetData>
  <mergeCells count="13">
    <mergeCell ref="B2:H2"/>
    <mergeCell ref="B30:F30"/>
    <mergeCell ref="B40:F40"/>
    <mergeCell ref="B69:C69"/>
    <mergeCell ref="B3:G3"/>
    <mergeCell ref="B26:C26"/>
    <mergeCell ref="B38:C38"/>
    <mergeCell ref="B37:E37"/>
    <mergeCell ref="J8:L8"/>
    <mergeCell ref="B47:E47"/>
    <mergeCell ref="B48:E48"/>
    <mergeCell ref="B52:H52"/>
    <mergeCell ref="B53:H53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H30"/>
  <sheetViews>
    <sheetView topLeftCell="A4" workbookViewId="0">
      <selection activeCell="K20" sqref="K20"/>
    </sheetView>
  </sheetViews>
  <sheetFormatPr defaultRowHeight="12.75" x14ac:dyDescent="0.2"/>
  <cols>
    <col min="1" max="1" width="4" customWidth="1"/>
    <col min="2" max="2" width="20" customWidth="1"/>
    <col min="3" max="4" width="8.7109375" customWidth="1"/>
    <col min="5" max="5" width="8.5703125" customWidth="1"/>
    <col min="6" max="6" width="9.85546875" customWidth="1"/>
    <col min="7" max="7" width="8.5703125" customWidth="1"/>
    <col min="8" max="8" width="10" customWidth="1"/>
    <col min="9" max="256" width="11.42578125" customWidth="1"/>
  </cols>
  <sheetData>
    <row r="1" spans="1:8" ht="13.5" thickBot="1" x14ac:dyDescent="0.25"/>
    <row r="2" spans="1:8" ht="13.5" thickBot="1" x14ac:dyDescent="0.25">
      <c r="B2" s="641" t="s">
        <v>313</v>
      </c>
      <c r="C2" s="642"/>
      <c r="D2" s="642"/>
      <c r="E2" s="642"/>
      <c r="F2" s="642"/>
      <c r="G2" s="642"/>
      <c r="H2" s="643"/>
    </row>
    <row r="3" spans="1:8" ht="13.5" thickBot="1" x14ac:dyDescent="0.25"/>
    <row r="4" spans="1:8" ht="12.75" customHeight="1" x14ac:dyDescent="0.2">
      <c r="B4" s="696" t="s">
        <v>4</v>
      </c>
      <c r="C4" s="699" t="s">
        <v>64</v>
      </c>
      <c r="D4" s="699"/>
      <c r="E4" s="699"/>
      <c r="F4" s="699"/>
      <c r="G4" s="699"/>
      <c r="H4" s="772"/>
    </row>
    <row r="5" spans="1:8" ht="13.5" thickBot="1" x14ac:dyDescent="0.25">
      <c r="B5" s="698"/>
      <c r="C5" s="443">
        <v>1</v>
      </c>
      <c r="D5" s="443">
        <v>2</v>
      </c>
      <c r="E5" s="443">
        <v>3</v>
      </c>
      <c r="F5" s="443">
        <v>4</v>
      </c>
      <c r="G5" s="443">
        <v>5</v>
      </c>
      <c r="H5" s="444">
        <v>6</v>
      </c>
    </row>
    <row r="6" spans="1:8" x14ac:dyDescent="0.2">
      <c r="B6" s="323" t="s">
        <v>65</v>
      </c>
      <c r="C6" s="200">
        <f>INGR!C14</f>
        <v>504300.42000000004</v>
      </c>
      <c r="D6" s="200">
        <f>INGR!D14</f>
        <v>591297.0120000001</v>
      </c>
      <c r="E6" s="200">
        <f>INGR!E14</f>
        <v>596736.94451040006</v>
      </c>
      <c r="F6" s="200">
        <f>INGR!F14</f>
        <v>602226.92439989583</v>
      </c>
      <c r="G6" s="200">
        <f>INGR!G14</f>
        <v>607767.41210437496</v>
      </c>
      <c r="H6" s="201">
        <f>INGR!H14</f>
        <v>613358.87229573517</v>
      </c>
    </row>
    <row r="7" spans="1:8" x14ac:dyDescent="0.2">
      <c r="B7" s="29" t="s">
        <v>66</v>
      </c>
      <c r="C7" s="116">
        <f>OPERACION!C12</f>
        <v>354021.48488446604</v>
      </c>
      <c r="D7" s="116">
        <f>OPERACION!D12</f>
        <v>407525.65695249126</v>
      </c>
      <c r="E7" s="116">
        <f>OPERACION!E12</f>
        <v>410822.02123716113</v>
      </c>
      <c r="F7" s="116">
        <f>OPERACION!F12</f>
        <v>414150.73054196732</v>
      </c>
      <c r="G7" s="116">
        <f>OPERACION!G12</f>
        <v>417512.023650744</v>
      </c>
      <c r="H7" s="123">
        <f>OPERACION!H12</f>
        <v>420906.14325647702</v>
      </c>
    </row>
    <row r="8" spans="1:8" x14ac:dyDescent="0.2">
      <c r="B8" s="46" t="s">
        <v>67</v>
      </c>
      <c r="C8" s="168">
        <f t="shared" ref="C8:H8" si="0">C6-C7</f>
        <v>150278.935115534</v>
      </c>
      <c r="D8" s="168">
        <f t="shared" si="0"/>
        <v>183771.35504750884</v>
      </c>
      <c r="E8" s="168">
        <f t="shared" si="0"/>
        <v>185914.92327323894</v>
      </c>
      <c r="F8" s="168">
        <f t="shared" si="0"/>
        <v>188076.19385792851</v>
      </c>
      <c r="G8" s="168">
        <f t="shared" si="0"/>
        <v>190255.38845363096</v>
      </c>
      <c r="H8" s="466">
        <f t="shared" si="0"/>
        <v>192452.72903925815</v>
      </c>
    </row>
    <row r="9" spans="1:8" x14ac:dyDescent="0.2">
      <c r="B9" s="29" t="s">
        <v>68</v>
      </c>
      <c r="C9" s="116">
        <f>OPERACION!C19</f>
        <v>4264.8543689320386</v>
      </c>
      <c r="D9" s="116">
        <f>OPERACION!D19</f>
        <v>4221.0236591573193</v>
      </c>
      <c r="E9" s="116">
        <f>OPERACION!E19</f>
        <v>4178.469571997397</v>
      </c>
      <c r="F9" s="116">
        <f>OPERACION!F19</f>
        <v>4137.1549242693181</v>
      </c>
      <c r="G9" s="116">
        <f>OPERACION!G19</f>
        <v>4097.0436157954546</v>
      </c>
      <c r="H9" s="123">
        <f>OPERACION!H19</f>
        <v>4058.1005978596645</v>
      </c>
    </row>
    <row r="10" spans="1:8" x14ac:dyDescent="0.2">
      <c r="B10" s="29" t="s">
        <v>69</v>
      </c>
      <c r="C10" s="116">
        <f>OPERACION!C24</f>
        <v>16962.5</v>
      </c>
      <c r="D10" s="116">
        <f>OPERACION!D24</f>
        <v>16962.5</v>
      </c>
      <c r="E10" s="116">
        <f>OPERACION!E24</f>
        <v>16962.5</v>
      </c>
      <c r="F10" s="116">
        <f>OPERACION!F24</f>
        <v>16962.5</v>
      </c>
      <c r="G10" s="116">
        <f>OPERACION!G24</f>
        <v>16962.5</v>
      </c>
      <c r="H10" s="123">
        <f>OPERACION!H24</f>
        <v>16962.5</v>
      </c>
    </row>
    <row r="11" spans="1:8" x14ac:dyDescent="0.2">
      <c r="B11" s="46" t="s">
        <v>70</v>
      </c>
      <c r="C11" s="168">
        <f t="shared" ref="C11:H11" si="1">C8-C9-C10</f>
        <v>129051.58074660195</v>
      </c>
      <c r="D11" s="168">
        <f t="shared" si="1"/>
        <v>162587.83138835151</v>
      </c>
      <c r="E11" s="168">
        <f t="shared" si="1"/>
        <v>164773.95370124152</v>
      </c>
      <c r="F11" s="168">
        <f t="shared" si="1"/>
        <v>166976.53893365918</v>
      </c>
      <c r="G11" s="168">
        <f t="shared" si="1"/>
        <v>169195.8448378355</v>
      </c>
      <c r="H11" s="466">
        <f t="shared" si="1"/>
        <v>171432.1284413985</v>
      </c>
    </row>
    <row r="12" spans="1:8" ht="13.5" thickBot="1" x14ac:dyDescent="0.25">
      <c r="B12" s="30" t="s">
        <v>71</v>
      </c>
      <c r="C12" s="117">
        <f>C11*MENU!$H$7</f>
        <v>38715.474223980586</v>
      </c>
      <c r="D12" s="117">
        <f>D11*MENU!$H$7</f>
        <v>48776.349416505451</v>
      </c>
      <c r="E12" s="117">
        <f>E11*MENU!$H$7</f>
        <v>49432.186110372459</v>
      </c>
      <c r="F12" s="117">
        <f>F11*MENU!$H$7</f>
        <v>50092.961680097753</v>
      </c>
      <c r="G12" s="117">
        <f>G11*MENU!$H$7</f>
        <v>50758.753451350647</v>
      </c>
      <c r="H12" s="160">
        <f>H11*MENU!$H$7</f>
        <v>51429.638532419551</v>
      </c>
    </row>
    <row r="13" spans="1:8" ht="13.5" thickBot="1" x14ac:dyDescent="0.25">
      <c r="B13" s="104" t="s">
        <v>72</v>
      </c>
      <c r="C13" s="107">
        <f t="shared" ref="C13:H13" si="2">C11-C12</f>
        <v>90336.106522621354</v>
      </c>
      <c r="D13" s="107">
        <f t="shared" si="2"/>
        <v>113811.48197184605</v>
      </c>
      <c r="E13" s="107">
        <f t="shared" si="2"/>
        <v>115341.76759086907</v>
      </c>
      <c r="F13" s="107">
        <f t="shared" si="2"/>
        <v>116883.57725356142</v>
      </c>
      <c r="G13" s="107">
        <f t="shared" si="2"/>
        <v>118437.09138648486</v>
      </c>
      <c r="H13" s="109">
        <f t="shared" si="2"/>
        <v>120002.48990897895</v>
      </c>
    </row>
    <row r="14" spans="1:8" x14ac:dyDescent="0.2">
      <c r="A14" s="14"/>
      <c r="B14" s="559" t="s">
        <v>212</v>
      </c>
      <c r="C14" s="559"/>
      <c r="D14" s="559"/>
      <c r="E14" s="559"/>
      <c r="F14" s="559"/>
      <c r="G14" s="559"/>
      <c r="H14" s="533"/>
    </row>
    <row r="15" spans="1:8" x14ac:dyDescent="0.2">
      <c r="B15" s="533"/>
      <c r="C15" s="533"/>
      <c r="D15" s="533"/>
      <c r="E15" s="533"/>
      <c r="F15" s="533"/>
      <c r="G15" s="533"/>
      <c r="H15" s="533"/>
    </row>
    <row r="16" spans="1:8" ht="13.5" thickBot="1" x14ac:dyDescent="0.25"/>
    <row r="17" spans="2:8" ht="13.5" thickBot="1" x14ac:dyDescent="0.25">
      <c r="B17" s="647" t="s">
        <v>314</v>
      </c>
      <c r="C17" s="648"/>
      <c r="D17" s="648"/>
      <c r="E17" s="648"/>
      <c r="F17" s="648"/>
      <c r="G17" s="648"/>
      <c r="H17" s="649"/>
    </row>
    <row r="18" spans="2:8" ht="13.5" thickBot="1" x14ac:dyDescent="0.25"/>
    <row r="19" spans="2:8" ht="12.75" customHeight="1" x14ac:dyDescent="0.2">
      <c r="B19" s="696" t="s">
        <v>4</v>
      </c>
      <c r="C19" s="699" t="s">
        <v>64</v>
      </c>
      <c r="D19" s="699"/>
      <c r="E19" s="699"/>
      <c r="F19" s="699"/>
      <c r="G19" s="699"/>
      <c r="H19" s="772"/>
    </row>
    <row r="20" spans="2:8" ht="13.5" thickBot="1" x14ac:dyDescent="0.25">
      <c r="B20" s="698"/>
      <c r="C20" s="443">
        <v>1</v>
      </c>
      <c r="D20" s="443">
        <v>2</v>
      </c>
      <c r="E20" s="443">
        <v>3</v>
      </c>
      <c r="F20" s="443">
        <v>4</v>
      </c>
      <c r="G20" s="443">
        <v>5</v>
      </c>
      <c r="H20" s="444">
        <v>6</v>
      </c>
    </row>
    <row r="21" spans="2:8" x14ac:dyDescent="0.2">
      <c r="B21" s="28" t="s">
        <v>65</v>
      </c>
      <c r="C21" s="119">
        <f>INGR!C25</f>
        <v>16200</v>
      </c>
      <c r="D21" s="119">
        <f>INGR!D25</f>
        <v>16358.76</v>
      </c>
      <c r="E21" s="119">
        <f>INGR!E25</f>
        <v>16519.075848</v>
      </c>
      <c r="F21" s="119">
        <f>INGR!F25</f>
        <v>16680.962791310405</v>
      </c>
      <c r="G21" s="119">
        <f>INGR!G25</f>
        <v>16844.436226665246</v>
      </c>
      <c r="H21" s="121">
        <f>INGR!H25</f>
        <v>17009.511701686562</v>
      </c>
    </row>
    <row r="22" spans="2:8" x14ac:dyDescent="0.2">
      <c r="B22" s="29" t="s">
        <v>66</v>
      </c>
      <c r="C22" s="116">
        <f>OPERACION!C59</f>
        <v>3049.2999999999993</v>
      </c>
      <c r="D22" s="116">
        <f>OPERACION!D59</f>
        <v>3054.8301399999991</v>
      </c>
      <c r="E22" s="116">
        <f>OPERACION!E59</f>
        <v>3060.4144753719993</v>
      </c>
      <c r="F22" s="116">
        <f>OPERACION!F59</f>
        <v>3066.0535372306449</v>
      </c>
      <c r="G22" s="116">
        <f>OPERACION!G59</f>
        <v>3071.7478618955051</v>
      </c>
      <c r="H22" s="123">
        <f>OPERACION!H59</f>
        <v>3077.4979909420808</v>
      </c>
    </row>
    <row r="23" spans="2:8" x14ac:dyDescent="0.2">
      <c r="B23" s="46" t="s">
        <v>67</v>
      </c>
      <c r="C23" s="168">
        <f t="shared" ref="C23:H23" si="3">C21-C22</f>
        <v>13150.7</v>
      </c>
      <c r="D23" s="168">
        <f t="shared" si="3"/>
        <v>13303.92986</v>
      </c>
      <c r="E23" s="168">
        <f t="shared" si="3"/>
        <v>13458.661372628001</v>
      </c>
      <c r="F23" s="168">
        <f t="shared" si="3"/>
        <v>13614.909254079761</v>
      </c>
      <c r="G23" s="168">
        <f t="shared" si="3"/>
        <v>13772.688364769741</v>
      </c>
      <c r="H23" s="466">
        <f t="shared" si="3"/>
        <v>13932.013710744483</v>
      </c>
    </row>
    <row r="24" spans="2:8" x14ac:dyDescent="0.2">
      <c r="B24" s="29" t="s">
        <v>68</v>
      </c>
      <c r="C24" s="116">
        <f>OPERACION!C64</f>
        <v>120</v>
      </c>
      <c r="D24" s="116">
        <f t="shared" ref="D24:H25" si="4">C24</f>
        <v>120</v>
      </c>
      <c r="E24" s="116">
        <f t="shared" si="4"/>
        <v>120</v>
      </c>
      <c r="F24" s="116">
        <f t="shared" si="4"/>
        <v>120</v>
      </c>
      <c r="G24" s="116">
        <f t="shared" si="4"/>
        <v>120</v>
      </c>
      <c r="H24" s="123">
        <f t="shared" si="4"/>
        <v>120</v>
      </c>
    </row>
    <row r="25" spans="2:8" x14ac:dyDescent="0.2">
      <c r="B25" s="29" t="s">
        <v>69</v>
      </c>
      <c r="C25" s="116">
        <f>OPERACION!C67</f>
        <v>120</v>
      </c>
      <c r="D25" s="116">
        <f t="shared" si="4"/>
        <v>120</v>
      </c>
      <c r="E25" s="116">
        <f t="shared" si="4"/>
        <v>120</v>
      </c>
      <c r="F25" s="116">
        <f t="shared" si="4"/>
        <v>120</v>
      </c>
      <c r="G25" s="116">
        <f t="shared" si="4"/>
        <v>120</v>
      </c>
      <c r="H25" s="123">
        <f t="shared" si="4"/>
        <v>120</v>
      </c>
    </row>
    <row r="26" spans="2:8" x14ac:dyDescent="0.2">
      <c r="B26" s="46" t="s">
        <v>70</v>
      </c>
      <c r="C26" s="168">
        <f t="shared" ref="C26:H26" si="5">C23-C24-C25</f>
        <v>12910.7</v>
      </c>
      <c r="D26" s="168">
        <f t="shared" si="5"/>
        <v>13063.92986</v>
      </c>
      <c r="E26" s="168">
        <f t="shared" si="5"/>
        <v>13218.661372628001</v>
      </c>
      <c r="F26" s="168">
        <f t="shared" si="5"/>
        <v>13374.909254079761</v>
      </c>
      <c r="G26" s="168">
        <f t="shared" si="5"/>
        <v>13532.688364769741</v>
      </c>
      <c r="H26" s="466">
        <f t="shared" si="5"/>
        <v>13692.013710744483</v>
      </c>
    </row>
    <row r="27" spans="2:8" ht="13.5" thickBot="1" x14ac:dyDescent="0.25">
      <c r="B27" s="467" t="s">
        <v>71</v>
      </c>
      <c r="C27" s="124">
        <v>0</v>
      </c>
      <c r="D27" s="124">
        <v>0</v>
      </c>
      <c r="E27" s="124">
        <v>0</v>
      </c>
      <c r="F27" s="124">
        <v>0</v>
      </c>
      <c r="G27" s="124">
        <v>0</v>
      </c>
      <c r="H27" s="125">
        <v>0</v>
      </c>
    </row>
    <row r="28" spans="2:8" ht="13.5" thickBot="1" x14ac:dyDescent="0.25">
      <c r="B28" s="104" t="s">
        <v>72</v>
      </c>
      <c r="C28" s="107">
        <f t="shared" ref="C28:H28" si="6">C26-C27</f>
        <v>12910.7</v>
      </c>
      <c r="D28" s="107">
        <f t="shared" si="6"/>
        <v>13063.92986</v>
      </c>
      <c r="E28" s="107">
        <f t="shared" si="6"/>
        <v>13218.661372628001</v>
      </c>
      <c r="F28" s="107">
        <f t="shared" si="6"/>
        <v>13374.909254079761</v>
      </c>
      <c r="G28" s="107">
        <f t="shared" si="6"/>
        <v>13532.688364769741</v>
      </c>
      <c r="H28" s="109">
        <f t="shared" si="6"/>
        <v>13692.013710744483</v>
      </c>
    </row>
    <row r="29" spans="2:8" x14ac:dyDescent="0.2">
      <c r="B29" s="559" t="s">
        <v>212</v>
      </c>
      <c r="C29" s="559"/>
      <c r="D29" s="559"/>
      <c r="E29" s="559"/>
      <c r="F29" s="559"/>
      <c r="G29" s="559"/>
      <c r="H29" s="533"/>
    </row>
    <row r="30" spans="2:8" x14ac:dyDescent="0.2">
      <c r="B30" s="533"/>
      <c r="C30" s="533"/>
      <c r="D30" s="533"/>
      <c r="E30" s="533"/>
      <c r="F30" s="533"/>
      <c r="G30" s="533"/>
      <c r="H30" s="533"/>
    </row>
  </sheetData>
  <mergeCells count="6">
    <mergeCell ref="B4:B5"/>
    <mergeCell ref="B19:B20"/>
    <mergeCell ref="C19:H19"/>
    <mergeCell ref="C4:H4"/>
    <mergeCell ref="B2:H2"/>
    <mergeCell ref="B17:H17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D32"/>
  <sheetViews>
    <sheetView topLeftCell="A7" workbookViewId="0">
      <selection activeCell="C15" sqref="C15"/>
    </sheetView>
  </sheetViews>
  <sheetFormatPr defaultRowHeight="12.75" x14ac:dyDescent="0.2"/>
  <cols>
    <col min="1" max="1" width="4.7109375" customWidth="1"/>
    <col min="2" max="2" width="25.28515625" customWidth="1"/>
    <col min="3" max="3" width="13" customWidth="1"/>
    <col min="4" max="4" width="13.5703125" customWidth="1"/>
    <col min="5" max="256" width="11.42578125" customWidth="1"/>
  </cols>
  <sheetData>
    <row r="1" spans="2:4" ht="13.5" thickBot="1" x14ac:dyDescent="0.25"/>
    <row r="2" spans="2:4" ht="13.5" thickBot="1" x14ac:dyDescent="0.25">
      <c r="B2" s="641" t="s">
        <v>115</v>
      </c>
      <c r="C2" s="642"/>
      <c r="D2" s="643"/>
    </row>
    <row r="3" spans="2:4" ht="13.5" thickBot="1" x14ac:dyDescent="0.25"/>
    <row r="4" spans="2:4" ht="24" customHeight="1" thickBot="1" x14ac:dyDescent="0.25">
      <c r="B4" s="312" t="s">
        <v>93</v>
      </c>
      <c r="C4" s="313" t="s">
        <v>117</v>
      </c>
      <c r="D4" s="473" t="s">
        <v>116</v>
      </c>
    </row>
    <row r="5" spans="2:4" x14ac:dyDescent="0.2">
      <c r="B5" s="181" t="s">
        <v>23</v>
      </c>
      <c r="C5" s="182">
        <f>INGR!C8</f>
        <v>12323.220000000005</v>
      </c>
      <c r="D5" s="183">
        <f>C5/$C$8</f>
        <v>7.6536643026004755E-2</v>
      </c>
    </row>
    <row r="6" spans="2:4" x14ac:dyDescent="0.2">
      <c r="B6" s="184" t="s">
        <v>24</v>
      </c>
      <c r="C6" s="152">
        <f>INGR!C5</f>
        <v>58285.500000000015</v>
      </c>
      <c r="D6" s="185">
        <f>C6/$C$8</f>
        <v>0.36199763593380624</v>
      </c>
    </row>
    <row r="7" spans="2:4" ht="13.5" thickBot="1" x14ac:dyDescent="0.25">
      <c r="B7" s="186" t="s">
        <v>223</v>
      </c>
      <c r="C7" s="187">
        <f>INGR!C11</f>
        <v>90401.999999999985</v>
      </c>
      <c r="D7" s="188">
        <f>C7/$C$8</f>
        <v>0.56146572104018899</v>
      </c>
    </row>
    <row r="8" spans="2:4" ht="13.5" thickBot="1" x14ac:dyDescent="0.25">
      <c r="B8" s="314" t="s">
        <v>0</v>
      </c>
      <c r="C8" s="163">
        <f>SUM(C5:C7)</f>
        <v>161010.72</v>
      </c>
      <c r="D8" s="474">
        <f>C8/$C$8</f>
        <v>1</v>
      </c>
    </row>
    <row r="10" spans="2:4" ht="13.5" thickBot="1" x14ac:dyDescent="0.25"/>
    <row r="11" spans="2:4" ht="13.5" thickBot="1" x14ac:dyDescent="0.25">
      <c r="B11" s="641" t="s">
        <v>84</v>
      </c>
      <c r="C11" s="643"/>
    </row>
    <row r="12" spans="2:4" ht="13.5" thickBot="1" x14ac:dyDescent="0.25"/>
    <row r="13" spans="2:4" ht="13.5" thickBot="1" x14ac:dyDescent="0.25">
      <c r="B13" s="104" t="s">
        <v>4</v>
      </c>
      <c r="C13" s="108" t="s">
        <v>89</v>
      </c>
    </row>
    <row r="14" spans="2:4" x14ac:dyDescent="0.2">
      <c r="B14" s="228" t="s">
        <v>320</v>
      </c>
      <c r="C14" s="165">
        <f>SUM(C15:C15)</f>
        <v>95125.504499999981</v>
      </c>
    </row>
    <row r="15" spans="2:4" ht="15" x14ac:dyDescent="0.3">
      <c r="B15" s="189" t="s">
        <v>224</v>
      </c>
      <c r="C15" s="154">
        <f>OPERACION!C7</f>
        <v>95125.504499999981</v>
      </c>
    </row>
    <row r="16" spans="2:4" x14ac:dyDescent="0.2">
      <c r="B16" s="225" t="s">
        <v>90</v>
      </c>
      <c r="C16" s="226">
        <f>C14/ProgramaProd.!D6</f>
        <v>1.0522499999999999</v>
      </c>
    </row>
    <row r="17" spans="2:3" x14ac:dyDescent="0.2">
      <c r="B17" s="227" t="s">
        <v>25</v>
      </c>
      <c r="C17" s="154">
        <f>SUM(C18:C18)</f>
        <v>118950.00000000003</v>
      </c>
    </row>
    <row r="18" spans="2:3" ht="15" x14ac:dyDescent="0.3">
      <c r="B18" s="189" t="s">
        <v>224</v>
      </c>
      <c r="C18" s="154">
        <f>OPERACION!C8</f>
        <v>118950.00000000003</v>
      </c>
    </row>
    <row r="19" spans="2:3" x14ac:dyDescent="0.2">
      <c r="B19" s="225" t="s">
        <v>90</v>
      </c>
      <c r="C19" s="226">
        <f>C17/ProgramaProd.!E6</f>
        <v>2.0408163265306123</v>
      </c>
    </row>
    <row r="20" spans="2:3" x14ac:dyDescent="0.2">
      <c r="B20" s="227" t="s">
        <v>319</v>
      </c>
      <c r="C20" s="154">
        <f>SUM(C21:C21)</f>
        <v>96391.053200000009</v>
      </c>
    </row>
    <row r="21" spans="2:3" ht="15" x14ac:dyDescent="0.3">
      <c r="B21" s="189" t="s">
        <v>224</v>
      </c>
      <c r="C21" s="154">
        <f>OPERACION!C9</f>
        <v>96391.053200000009</v>
      </c>
    </row>
    <row r="22" spans="2:3" ht="13.5" thickBot="1" x14ac:dyDescent="0.25">
      <c r="B22" s="229" t="s">
        <v>90</v>
      </c>
      <c r="C22" s="230">
        <f>C20/ProgramaProd.!F6</f>
        <v>7.8219047619047597</v>
      </c>
    </row>
    <row r="23" spans="2:3" ht="13.5" thickBot="1" x14ac:dyDescent="0.25">
      <c r="B23" s="106" t="s">
        <v>86</v>
      </c>
      <c r="C23" s="109">
        <f>C14+C17+C20</f>
        <v>310466.5577</v>
      </c>
    </row>
    <row r="24" spans="2:3" x14ac:dyDescent="0.2">
      <c r="B24" s="39"/>
    </row>
    <row r="25" spans="2:3" ht="13.5" thickBot="1" x14ac:dyDescent="0.25">
      <c r="B25" s="39"/>
    </row>
    <row r="26" spans="2:3" ht="13.5" thickBot="1" x14ac:dyDescent="0.25">
      <c r="B26" s="641" t="s">
        <v>85</v>
      </c>
      <c r="C26" s="643"/>
    </row>
    <row r="27" spans="2:3" ht="13.5" thickBot="1" x14ac:dyDescent="0.25">
      <c r="B27" s="1"/>
    </row>
    <row r="28" spans="2:3" ht="13.5" thickBot="1" x14ac:dyDescent="0.25">
      <c r="B28" s="9" t="s">
        <v>4</v>
      </c>
      <c r="C28" s="7" t="s">
        <v>0</v>
      </c>
    </row>
    <row r="29" spans="2:3" x14ac:dyDescent="0.2">
      <c r="B29" s="10" t="s">
        <v>199</v>
      </c>
      <c r="C29" s="110">
        <f>OPERACION!C10</f>
        <v>41692.5</v>
      </c>
    </row>
    <row r="30" spans="2:3" ht="13.5" thickBot="1" x14ac:dyDescent="0.25">
      <c r="B30" s="10" t="s">
        <v>87</v>
      </c>
      <c r="C30" s="100">
        <f>OPERACION!C11</f>
        <v>1862.4271844660195</v>
      </c>
    </row>
    <row r="31" spans="2:3" ht="13.5" thickBot="1" x14ac:dyDescent="0.25">
      <c r="B31" s="81" t="s">
        <v>88</v>
      </c>
      <c r="C31" s="82">
        <f>SUM(C29:C30)</f>
        <v>43554.927184466018</v>
      </c>
    </row>
    <row r="32" spans="2:3" x14ac:dyDescent="0.2">
      <c r="B32" s="99" t="s">
        <v>212</v>
      </c>
      <c r="C32" s="19"/>
    </row>
  </sheetData>
  <mergeCells count="3">
    <mergeCell ref="B2:D2"/>
    <mergeCell ref="B11:C11"/>
    <mergeCell ref="B26:C26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I170"/>
  <sheetViews>
    <sheetView topLeftCell="A70" workbookViewId="0">
      <selection activeCell="H45" sqref="H45"/>
    </sheetView>
  </sheetViews>
  <sheetFormatPr defaultRowHeight="12.75" x14ac:dyDescent="0.2"/>
  <cols>
    <col min="1" max="1" width="2.28515625" style="19" customWidth="1"/>
    <col min="2" max="2" width="21.42578125" customWidth="1"/>
    <col min="3" max="3" width="12.7109375" customWidth="1"/>
    <col min="4" max="4" width="9.28515625" customWidth="1"/>
    <col min="5" max="5" width="12.42578125" customWidth="1"/>
    <col min="6" max="6" width="11.5703125" customWidth="1"/>
    <col min="7" max="7" width="9.28515625" customWidth="1"/>
    <col min="8" max="8" width="9.42578125" customWidth="1"/>
    <col min="9" max="9" width="9.28515625" customWidth="1"/>
    <col min="10" max="256" width="11.42578125" customWidth="1"/>
  </cols>
  <sheetData>
    <row r="1" spans="1:6" x14ac:dyDescent="0.2">
      <c r="A1" s="21"/>
    </row>
    <row r="2" spans="1:6" ht="13.5" thickBot="1" x14ac:dyDescent="0.25">
      <c r="A2" s="21"/>
      <c r="B2" s="1"/>
    </row>
    <row r="3" spans="1:6" ht="13.5" thickBot="1" x14ac:dyDescent="0.25">
      <c r="A3" s="21"/>
      <c r="B3" s="641" t="s">
        <v>452</v>
      </c>
      <c r="C3" s="642"/>
      <c r="D3" s="642"/>
      <c r="E3" s="642"/>
      <c r="F3" s="643"/>
    </row>
    <row r="4" spans="1:6" x14ac:dyDescent="0.2">
      <c r="A4" s="21"/>
    </row>
    <row r="5" spans="1:6" x14ac:dyDescent="0.2">
      <c r="A5" s="21"/>
      <c r="B5" t="s">
        <v>77</v>
      </c>
    </row>
    <row r="6" spans="1:6" x14ac:dyDescent="0.2">
      <c r="A6" s="23"/>
      <c r="B6" t="s">
        <v>91</v>
      </c>
      <c r="C6" t="s">
        <v>92</v>
      </c>
      <c r="D6" s="36">
        <f>'CV-CF'!C31</f>
        <v>43554.927184466018</v>
      </c>
    </row>
    <row r="7" spans="1:6" ht="13.5" thickBot="1" x14ac:dyDescent="0.25">
      <c r="A7" s="23"/>
    </row>
    <row r="8" spans="1:6" ht="24.75" thickBot="1" x14ac:dyDescent="0.25">
      <c r="A8" s="23"/>
      <c r="B8" s="475" t="s">
        <v>93</v>
      </c>
      <c r="C8" s="476" t="s">
        <v>94</v>
      </c>
      <c r="D8" s="476" t="s">
        <v>95</v>
      </c>
      <c r="E8" s="476" t="s">
        <v>96</v>
      </c>
      <c r="F8" s="477" t="s">
        <v>97</v>
      </c>
    </row>
    <row r="9" spans="1:6" x14ac:dyDescent="0.2">
      <c r="A9" s="23"/>
      <c r="B9" s="482" t="s">
        <v>317</v>
      </c>
      <c r="C9" s="483">
        <f>Precio_manjar__soles_kilo</f>
        <v>1.5</v>
      </c>
      <c r="D9" s="484">
        <f>'CV-CF'!C16</f>
        <v>1.0522499999999999</v>
      </c>
      <c r="E9" s="485">
        <f>C9-D9</f>
        <v>0.44775000000000009</v>
      </c>
      <c r="F9" s="486">
        <f>'CV-CF'!D5</f>
        <v>7.6536643026004755E-2</v>
      </c>
    </row>
    <row r="10" spans="1:6" x14ac:dyDescent="0.2">
      <c r="A10" s="23"/>
      <c r="B10" s="190" t="s">
        <v>297</v>
      </c>
      <c r="C10" s="299">
        <f>Precio_yogur__soles_litro</f>
        <v>4</v>
      </c>
      <c r="D10" s="173">
        <f>'CV-CF'!C19</f>
        <v>2.0408163265306123</v>
      </c>
      <c r="E10" s="302">
        <f>C10-D10</f>
        <v>1.9591836734693877</v>
      </c>
      <c r="F10" s="231">
        <f>'CV-CF'!D6</f>
        <v>0.36199763593380624</v>
      </c>
    </row>
    <row r="11" spans="1:6" ht="13.5" thickBot="1" x14ac:dyDescent="0.25">
      <c r="A11" s="23"/>
      <c r="B11" s="487" t="s">
        <v>318</v>
      </c>
      <c r="C11" s="488">
        <f>Precio_queso_soles_kilo</f>
        <v>11</v>
      </c>
      <c r="D11" s="489">
        <f>'CV-CF'!C22</f>
        <v>7.8219047619047597</v>
      </c>
      <c r="E11" s="490">
        <f>C11-D11</f>
        <v>3.1780952380952403</v>
      </c>
      <c r="F11" s="491">
        <f>'CV-CF'!D7</f>
        <v>0.56146572104018899</v>
      </c>
    </row>
    <row r="12" spans="1:6" ht="13.5" thickBot="1" x14ac:dyDescent="0.25">
      <c r="A12" s="23"/>
      <c r="B12" s="478" t="s">
        <v>0</v>
      </c>
      <c r="C12" s="479"/>
      <c r="D12" s="480"/>
      <c r="E12" s="480"/>
      <c r="F12" s="481">
        <f>'CV-CF'!D8</f>
        <v>1</v>
      </c>
    </row>
    <row r="13" spans="1:6" x14ac:dyDescent="0.2">
      <c r="A13" s="23"/>
      <c r="B13" s="83" t="s">
        <v>98</v>
      </c>
      <c r="C13" s="26"/>
      <c r="D13" s="111"/>
      <c r="E13" s="111"/>
      <c r="F13" s="112"/>
    </row>
    <row r="14" spans="1:6" x14ac:dyDescent="0.2">
      <c r="A14" s="23"/>
      <c r="B14" s="83" t="s">
        <v>99</v>
      </c>
      <c r="C14" s="26"/>
      <c r="D14" s="111"/>
      <c r="E14" s="111"/>
      <c r="F14" s="112"/>
    </row>
    <row r="15" spans="1:6" x14ac:dyDescent="0.2">
      <c r="A15" s="23"/>
      <c r="B15" s="26" t="s">
        <v>212</v>
      </c>
      <c r="C15" s="19"/>
      <c r="D15" s="19"/>
      <c r="E15" s="19"/>
      <c r="F15" s="19"/>
    </row>
    <row r="16" spans="1:6" x14ac:dyDescent="0.2">
      <c r="A16" s="23"/>
      <c r="B16" s="14"/>
    </row>
    <row r="17" spans="1:6" x14ac:dyDescent="0.2">
      <c r="A17" s="23"/>
      <c r="B17" s="781" t="s">
        <v>100</v>
      </c>
      <c r="C17" s="781"/>
      <c r="D17" s="781"/>
      <c r="E17" s="781"/>
    </row>
    <row r="18" spans="1:6" ht="13.5" thickBot="1" x14ac:dyDescent="0.25">
      <c r="A18" s="84"/>
    </row>
    <row r="19" spans="1:6" ht="26.25" customHeight="1" thickBot="1" x14ac:dyDescent="0.25">
      <c r="A19" s="23"/>
      <c r="B19" s="475" t="s">
        <v>101</v>
      </c>
      <c r="C19" s="476" t="s">
        <v>96</v>
      </c>
      <c r="D19" s="476" t="s">
        <v>102</v>
      </c>
      <c r="E19" s="477" t="s">
        <v>103</v>
      </c>
    </row>
    <row r="20" spans="1:6" x14ac:dyDescent="0.2">
      <c r="A20" s="23"/>
      <c r="B20" s="482" t="s">
        <v>317</v>
      </c>
      <c r="C20" s="156">
        <f t="shared" ref="C20:D22" si="0">E9</f>
        <v>0.44775000000000009</v>
      </c>
      <c r="D20" s="493">
        <f t="shared" si="0"/>
        <v>7.6536643026004755E-2</v>
      </c>
      <c r="E20" s="494">
        <f>C20*D20</f>
        <v>3.4269281914893639E-2</v>
      </c>
    </row>
    <row r="21" spans="1:6" x14ac:dyDescent="0.2">
      <c r="A21" s="23"/>
      <c r="B21" s="190" t="s">
        <v>297</v>
      </c>
      <c r="C21" s="203">
        <f t="shared" si="0"/>
        <v>1.9591836734693877</v>
      </c>
      <c r="D21" s="232">
        <f t="shared" si="0"/>
        <v>0.36199763593380624</v>
      </c>
      <c r="E21" s="233">
        <f>C21*D21</f>
        <v>0.7092198581560285</v>
      </c>
    </row>
    <row r="22" spans="1:6" ht="13.5" thickBot="1" x14ac:dyDescent="0.25">
      <c r="A22" s="23"/>
      <c r="B22" s="487" t="s">
        <v>318</v>
      </c>
      <c r="C22" s="305">
        <f t="shared" si="0"/>
        <v>3.1780952380952403</v>
      </c>
      <c r="D22" s="495">
        <f t="shared" si="0"/>
        <v>0.56146572104018899</v>
      </c>
      <c r="E22" s="496">
        <f>C22*D22</f>
        <v>1.7843915343915353</v>
      </c>
    </row>
    <row r="23" spans="1:6" ht="13.5" thickBot="1" x14ac:dyDescent="0.25">
      <c r="A23" s="23"/>
      <c r="B23" s="782" t="s">
        <v>104</v>
      </c>
      <c r="C23" s="783"/>
      <c r="D23" s="783"/>
      <c r="E23" s="492">
        <f>SUM(E20:E22)</f>
        <v>2.5278806744624576</v>
      </c>
    </row>
    <row r="24" spans="1:6" s="19" customFormat="1" x14ac:dyDescent="0.2">
      <c r="A24" s="23"/>
      <c r="B24" s="83" t="s">
        <v>99</v>
      </c>
      <c r="C24" s="77"/>
      <c r="D24" s="77"/>
      <c r="E24" s="85"/>
    </row>
    <row r="25" spans="1:6" x14ac:dyDescent="0.2">
      <c r="A25" s="84"/>
      <c r="B25" s="14" t="s">
        <v>212</v>
      </c>
      <c r="C25" s="19"/>
      <c r="D25" s="19"/>
      <c r="E25" s="19"/>
    </row>
    <row r="26" spans="1:6" x14ac:dyDescent="0.2">
      <c r="A26" s="23"/>
    </row>
    <row r="27" spans="1:6" x14ac:dyDescent="0.2">
      <c r="A27" s="86"/>
      <c r="B27" s="778" t="s">
        <v>453</v>
      </c>
      <c r="C27" s="778"/>
      <c r="D27" s="778"/>
      <c r="E27" s="778"/>
    </row>
    <row r="28" spans="1:6" x14ac:dyDescent="0.2">
      <c r="A28" s="86"/>
      <c r="B28" s="533"/>
      <c r="C28" s="533"/>
      <c r="D28" s="533"/>
      <c r="E28" s="533"/>
      <c r="F28" s="533"/>
    </row>
    <row r="29" spans="1:6" ht="13.5" thickBot="1" x14ac:dyDescent="0.25">
      <c r="A29" s="86"/>
      <c r="B29" s="564" t="s">
        <v>105</v>
      </c>
      <c r="C29" s="565" t="s">
        <v>106</v>
      </c>
      <c r="D29" s="566"/>
      <c r="E29" s="533"/>
      <c r="F29" s="533"/>
    </row>
    <row r="30" spans="1:6" x14ac:dyDescent="0.2">
      <c r="A30" s="86"/>
      <c r="B30" s="539"/>
      <c r="C30" s="539" t="s">
        <v>104</v>
      </c>
      <c r="D30" s="539"/>
      <c r="E30" s="533"/>
      <c r="F30" s="533"/>
    </row>
    <row r="31" spans="1:6" x14ac:dyDescent="0.2">
      <c r="A31" s="21"/>
      <c r="B31" s="533"/>
      <c r="C31" s="533"/>
      <c r="D31" s="533"/>
      <c r="E31" s="533"/>
      <c r="F31" s="533"/>
    </row>
    <row r="32" spans="1:6" x14ac:dyDescent="0.2">
      <c r="A32" s="87"/>
      <c r="B32" s="567" t="s">
        <v>107</v>
      </c>
      <c r="C32" s="560">
        <f>D6/E23</f>
        <v>17229.819280820197</v>
      </c>
      <c r="D32" s="533" t="s">
        <v>108</v>
      </c>
      <c r="E32" s="533"/>
      <c r="F32" s="533"/>
    </row>
    <row r="33" spans="1:7" ht="13.5" thickBot="1" x14ac:dyDescent="0.25">
      <c r="A33" s="23"/>
      <c r="B33" s="533"/>
      <c r="C33" s="533"/>
      <c r="D33" s="533"/>
      <c r="E33" s="533"/>
      <c r="F33" s="533"/>
    </row>
    <row r="34" spans="1:7" ht="13.5" thickBot="1" x14ac:dyDescent="0.25">
      <c r="A34" s="23"/>
      <c r="B34" s="300" t="s">
        <v>321</v>
      </c>
      <c r="C34" s="301"/>
      <c r="E34" s="533"/>
    </row>
    <row r="35" spans="1:7" ht="13.5" thickBot="1" x14ac:dyDescent="0.25">
      <c r="A35" s="23"/>
      <c r="B35" s="533"/>
      <c r="C35" s="533"/>
      <c r="D35" s="533"/>
      <c r="E35" s="533"/>
    </row>
    <row r="36" spans="1:7" ht="13.5" thickBot="1" x14ac:dyDescent="0.25">
      <c r="A36" s="23"/>
      <c r="B36" s="533" t="s">
        <v>119</v>
      </c>
      <c r="C36" s="8" t="s">
        <v>3</v>
      </c>
      <c r="D36" s="11" t="s">
        <v>64</v>
      </c>
      <c r="E36" s="533"/>
    </row>
    <row r="37" spans="1:7" x14ac:dyDescent="0.2">
      <c r="A37" s="23"/>
      <c r="B37" s="533"/>
      <c r="C37" s="18" t="s">
        <v>435</v>
      </c>
      <c r="D37" s="15">
        <f>C32*D20</f>
        <v>1318.7125276987094</v>
      </c>
      <c r="E37" s="533"/>
    </row>
    <row r="38" spans="1:7" x14ac:dyDescent="0.2">
      <c r="A38" s="23"/>
      <c r="B38" s="533"/>
      <c r="C38" s="12" t="s">
        <v>436</v>
      </c>
      <c r="D38" s="16">
        <f>D37/12</f>
        <v>109.89271064155912</v>
      </c>
      <c r="E38" s="533"/>
    </row>
    <row r="39" spans="1:7" ht="13.5" thickBot="1" x14ac:dyDescent="0.25">
      <c r="A39" s="23"/>
      <c r="B39" s="533"/>
      <c r="C39" s="13" t="s">
        <v>437</v>
      </c>
      <c r="D39" s="17">
        <f>D38/30</f>
        <v>3.6630903547186375</v>
      </c>
      <c r="E39" s="533"/>
    </row>
    <row r="40" spans="1:7" ht="13.5" thickBot="1" x14ac:dyDescent="0.25">
      <c r="A40" s="23"/>
      <c r="B40" s="533"/>
      <c r="C40" s="560"/>
      <c r="D40" s="533"/>
      <c r="E40" s="533"/>
      <c r="G40" s="14"/>
    </row>
    <row r="41" spans="1:7" ht="13.5" thickBot="1" x14ac:dyDescent="0.25">
      <c r="A41" s="23"/>
      <c r="B41" s="533" t="s">
        <v>120</v>
      </c>
      <c r="C41" s="8" t="s">
        <v>73</v>
      </c>
      <c r="D41" s="11" t="s">
        <v>64</v>
      </c>
      <c r="E41" s="533"/>
      <c r="G41" s="14"/>
    </row>
    <row r="42" spans="1:7" x14ac:dyDescent="0.2">
      <c r="A42" s="23"/>
      <c r="B42" s="533"/>
      <c r="C42" s="18" t="s">
        <v>121</v>
      </c>
      <c r="D42" s="15">
        <f>D37*C9</f>
        <v>1978.0687915480642</v>
      </c>
      <c r="E42" s="533"/>
      <c r="G42" s="14"/>
    </row>
    <row r="43" spans="1:7" x14ac:dyDescent="0.2">
      <c r="A43" s="23"/>
      <c r="B43" s="533"/>
      <c r="C43" s="12" t="s">
        <v>122</v>
      </c>
      <c r="D43" s="16">
        <f>D38*C9</f>
        <v>164.83906596233868</v>
      </c>
      <c r="E43" s="533"/>
      <c r="G43" s="14"/>
    </row>
    <row r="44" spans="1:7" ht="13.5" thickBot="1" x14ac:dyDescent="0.25">
      <c r="A44" s="23"/>
      <c r="B44" s="533"/>
      <c r="C44" s="13" t="s">
        <v>123</v>
      </c>
      <c r="D44" s="17">
        <f>D39*C9</f>
        <v>5.4946355320779565</v>
      </c>
      <c r="E44" s="533"/>
      <c r="G44" s="14"/>
    </row>
    <row r="45" spans="1:7" ht="13.5" thickBot="1" x14ac:dyDescent="0.25">
      <c r="A45" s="23"/>
      <c r="B45" s="533"/>
      <c r="C45" s="560"/>
      <c r="D45" s="533"/>
      <c r="E45" s="533"/>
    </row>
    <row r="46" spans="1:7" ht="13.5" thickBot="1" x14ac:dyDescent="0.25">
      <c r="A46" s="23"/>
      <c r="B46" s="88" t="s">
        <v>118</v>
      </c>
      <c r="C46" s="533"/>
      <c r="D46" s="533"/>
      <c r="E46" s="533"/>
    </row>
    <row r="47" spans="1:7" x14ac:dyDescent="0.2">
      <c r="A47" s="23"/>
      <c r="B47" s="534"/>
      <c r="C47" s="533"/>
      <c r="D47" s="533"/>
      <c r="E47" s="533"/>
    </row>
    <row r="48" spans="1:7" ht="13.5" thickBot="1" x14ac:dyDescent="0.25">
      <c r="A48" s="23"/>
      <c r="B48" s="533"/>
      <c r="C48" s="562"/>
      <c r="D48" s="568"/>
      <c r="E48" s="568"/>
      <c r="F48" s="193"/>
    </row>
    <row r="49" spans="1:6" ht="13.5" thickBot="1" x14ac:dyDescent="0.25">
      <c r="A49" s="84"/>
      <c r="B49" s="533" t="s">
        <v>124</v>
      </c>
      <c r="C49" s="20" t="s">
        <v>226</v>
      </c>
      <c r="D49" s="50" t="s">
        <v>64</v>
      </c>
      <c r="E49" s="561"/>
      <c r="F49" s="193"/>
    </row>
    <row r="50" spans="1:6" x14ac:dyDescent="0.2">
      <c r="A50" s="84"/>
      <c r="B50" s="533"/>
      <c r="C50" s="18" t="s">
        <v>126</v>
      </c>
      <c r="D50" s="15">
        <f>C32*D21</f>
        <v>6237.1538472236243</v>
      </c>
      <c r="E50" s="545"/>
      <c r="F50" s="210"/>
    </row>
    <row r="51" spans="1:6" x14ac:dyDescent="0.2">
      <c r="A51" s="84"/>
      <c r="B51" s="533"/>
      <c r="C51" s="12" t="s">
        <v>127</v>
      </c>
      <c r="D51" s="16">
        <f>D50/12</f>
        <v>519.76282060196866</v>
      </c>
      <c r="E51" s="545"/>
      <c r="F51" s="210"/>
    </row>
    <row r="52" spans="1:6" ht="13.5" thickBot="1" x14ac:dyDescent="0.25">
      <c r="A52" s="84"/>
      <c r="B52" s="533"/>
      <c r="C52" s="13" t="s">
        <v>128</v>
      </c>
      <c r="D52" s="303">
        <f>D51/30</f>
        <v>17.325427353398954</v>
      </c>
      <c r="E52" s="545"/>
      <c r="F52" s="210"/>
    </row>
    <row r="53" spans="1:6" ht="13.5" thickBot="1" x14ac:dyDescent="0.25">
      <c r="A53" s="89"/>
      <c r="B53" s="533"/>
      <c r="C53" s="560"/>
      <c r="D53" s="533"/>
      <c r="E53" s="539"/>
      <c r="F53" s="95"/>
    </row>
    <row r="54" spans="1:6" ht="13.5" thickBot="1" x14ac:dyDescent="0.25">
      <c r="A54" s="21"/>
      <c r="B54" s="533" t="s">
        <v>125</v>
      </c>
      <c r="C54" s="177" t="s">
        <v>73</v>
      </c>
      <c r="D54" s="11" t="s">
        <v>64</v>
      </c>
      <c r="E54" s="561"/>
      <c r="F54" s="193"/>
    </row>
    <row r="55" spans="1:6" x14ac:dyDescent="0.2">
      <c r="A55" s="21"/>
      <c r="B55" s="533"/>
      <c r="C55" s="18" t="s">
        <v>121</v>
      </c>
      <c r="D55" s="15">
        <f>D50*$C$10</f>
        <v>24948.615388894497</v>
      </c>
      <c r="E55" s="561"/>
      <c r="F55" s="193"/>
    </row>
    <row r="56" spans="1:6" x14ac:dyDescent="0.2">
      <c r="A56" s="21"/>
      <c r="B56" s="533"/>
      <c r="C56" s="12" t="s">
        <v>122</v>
      </c>
      <c r="D56" s="16">
        <f>D51*$C$10</f>
        <v>2079.0512824078746</v>
      </c>
      <c r="E56" s="545"/>
      <c r="F56" s="210"/>
    </row>
    <row r="57" spans="1:6" ht="13.5" thickBot="1" x14ac:dyDescent="0.25">
      <c r="A57" s="21"/>
      <c r="B57" s="533"/>
      <c r="C57" s="13" t="s">
        <v>123</v>
      </c>
      <c r="D57" s="17">
        <f>D52*$C$10</f>
        <v>69.301709413595816</v>
      </c>
      <c r="E57" s="545"/>
      <c r="F57" s="210"/>
    </row>
    <row r="58" spans="1:6" ht="13.5" thickBot="1" x14ac:dyDescent="0.25">
      <c r="A58" s="21"/>
      <c r="B58" s="533"/>
      <c r="C58" s="539"/>
      <c r="D58" s="545"/>
      <c r="E58" s="545"/>
      <c r="F58" s="210"/>
    </row>
    <row r="59" spans="1:6" ht="13.5" thickBot="1" x14ac:dyDescent="0.25">
      <c r="A59" s="21"/>
      <c r="B59" s="300" t="s">
        <v>322</v>
      </c>
      <c r="C59" s="301"/>
      <c r="D59" s="533"/>
      <c r="E59" s="545"/>
      <c r="F59" s="210"/>
    </row>
    <row r="60" spans="1:6" ht="13.5" thickBot="1" x14ac:dyDescent="0.25">
      <c r="A60" s="21"/>
      <c r="B60" s="534"/>
      <c r="C60" s="533"/>
      <c r="D60" s="533"/>
      <c r="E60" s="545"/>
      <c r="F60" s="210"/>
    </row>
    <row r="61" spans="1:6" ht="13.5" thickBot="1" x14ac:dyDescent="0.25">
      <c r="A61" s="21"/>
      <c r="B61" s="533" t="s">
        <v>227</v>
      </c>
      <c r="C61" s="20" t="s">
        <v>226</v>
      </c>
      <c r="D61" s="50" t="s">
        <v>64</v>
      </c>
      <c r="E61" s="545"/>
      <c r="F61" s="210"/>
    </row>
    <row r="62" spans="1:6" x14ac:dyDescent="0.2">
      <c r="A62" s="21"/>
      <c r="B62" s="533"/>
      <c r="C62" s="18" t="s">
        <v>228</v>
      </c>
      <c r="D62" s="15">
        <f>C32*D22</f>
        <v>9673.9529058978624</v>
      </c>
      <c r="E62" s="545"/>
      <c r="F62" s="210"/>
    </row>
    <row r="63" spans="1:6" x14ac:dyDescent="0.2">
      <c r="A63" s="21"/>
      <c r="B63" s="533"/>
      <c r="C63" s="12" t="s">
        <v>229</v>
      </c>
      <c r="D63" s="16">
        <f>D62/12</f>
        <v>806.1627421581552</v>
      </c>
      <c r="E63" s="545"/>
      <c r="F63" s="210"/>
    </row>
    <row r="64" spans="1:6" ht="13.5" thickBot="1" x14ac:dyDescent="0.25">
      <c r="A64" s="21"/>
      <c r="B64" s="533"/>
      <c r="C64" s="13" t="s">
        <v>230</v>
      </c>
      <c r="D64" s="17">
        <f>D63/30</f>
        <v>26.872091405271838</v>
      </c>
      <c r="E64" s="545"/>
      <c r="F64" s="210"/>
    </row>
    <row r="65" spans="1:9" ht="13.5" thickBot="1" x14ac:dyDescent="0.25">
      <c r="A65" s="21"/>
      <c r="B65" s="533"/>
      <c r="C65" s="36"/>
      <c r="E65" s="545"/>
      <c r="F65" s="210"/>
    </row>
    <row r="66" spans="1:9" ht="13.5" thickBot="1" x14ac:dyDescent="0.25">
      <c r="A66" s="21"/>
      <c r="B66" s="533" t="s">
        <v>231</v>
      </c>
      <c r="C66" s="177" t="s">
        <v>73</v>
      </c>
      <c r="D66" s="92" t="s">
        <v>64</v>
      </c>
      <c r="E66" s="545"/>
      <c r="F66" s="210"/>
    </row>
    <row r="67" spans="1:9" x14ac:dyDescent="0.2">
      <c r="A67" s="21"/>
      <c r="B67" s="533"/>
      <c r="C67" s="207" t="s">
        <v>121</v>
      </c>
      <c r="D67" s="15">
        <f>D62*$C$11</f>
        <v>106413.48196487648</v>
      </c>
      <c r="E67" s="545"/>
      <c r="F67" s="210"/>
    </row>
    <row r="68" spans="1:9" x14ac:dyDescent="0.2">
      <c r="A68" s="21"/>
      <c r="B68" s="533"/>
      <c r="C68" s="208" t="s">
        <v>122</v>
      </c>
      <c r="D68" s="16">
        <f>D63*$C$11</f>
        <v>8867.7901637397081</v>
      </c>
      <c r="E68" s="545"/>
      <c r="F68" s="210"/>
    </row>
    <row r="69" spans="1:9" ht="13.5" thickBot="1" x14ac:dyDescent="0.25">
      <c r="A69" s="21"/>
      <c r="B69" s="533"/>
      <c r="C69" s="209" t="s">
        <v>123</v>
      </c>
      <c r="D69" s="17">
        <f>D64*$C$11</f>
        <v>295.59300545799022</v>
      </c>
      <c r="E69" s="545"/>
      <c r="F69" s="210"/>
    </row>
    <row r="70" spans="1:9" x14ac:dyDescent="0.2">
      <c r="A70" s="21"/>
      <c r="B70" s="533"/>
      <c r="C70" s="539"/>
      <c r="D70" s="545"/>
      <c r="E70" s="545"/>
      <c r="F70" s="210"/>
    </row>
    <row r="71" spans="1:9" x14ac:dyDescent="0.2">
      <c r="A71" s="21"/>
      <c r="B71" s="533"/>
      <c r="C71" s="539"/>
      <c r="D71" s="545"/>
      <c r="E71" s="545"/>
      <c r="F71" s="210"/>
    </row>
    <row r="72" spans="1:9" x14ac:dyDescent="0.2">
      <c r="A72" s="21"/>
      <c r="B72" s="1" t="s">
        <v>131</v>
      </c>
      <c r="C72" s="14"/>
      <c r="D72" s="22"/>
      <c r="E72" s="545"/>
      <c r="F72" s="93"/>
    </row>
    <row r="73" spans="1:9" x14ac:dyDescent="0.2">
      <c r="A73" s="21"/>
      <c r="C73" s="14"/>
      <c r="D73" s="22"/>
      <c r="E73" s="22"/>
      <c r="F73" s="93"/>
    </row>
    <row r="74" spans="1:9" x14ac:dyDescent="0.2">
      <c r="A74" s="21"/>
      <c r="B74" s="1" t="s">
        <v>129</v>
      </c>
    </row>
    <row r="75" spans="1:9" ht="13.5" thickBot="1" x14ac:dyDescent="0.25">
      <c r="A75" s="21"/>
      <c r="B75" s="90"/>
      <c r="C75" s="90"/>
      <c r="D75" s="90"/>
    </row>
    <row r="76" spans="1:9" ht="13.5" customHeight="1" x14ac:dyDescent="0.2">
      <c r="A76" s="21"/>
      <c r="B76" s="773" t="s">
        <v>101</v>
      </c>
      <c r="C76" s="678" t="s">
        <v>109</v>
      </c>
      <c r="D76" s="775" t="s">
        <v>225</v>
      </c>
      <c r="E76" s="775"/>
      <c r="F76" s="776"/>
      <c r="G76" s="777"/>
      <c r="H76" s="777"/>
      <c r="I76" s="777"/>
    </row>
    <row r="77" spans="1:9" ht="24.75" customHeight="1" thickBot="1" x14ac:dyDescent="0.25">
      <c r="A77" s="21"/>
      <c r="B77" s="774"/>
      <c r="C77" s="680"/>
      <c r="D77" s="153" t="s">
        <v>110</v>
      </c>
      <c r="E77" s="153" t="s">
        <v>111</v>
      </c>
      <c r="F77" s="151" t="s">
        <v>130</v>
      </c>
      <c r="G77" s="194"/>
      <c r="H77" s="194"/>
      <c r="I77" s="194"/>
    </row>
    <row r="78" spans="1:9" x14ac:dyDescent="0.2">
      <c r="A78" s="21"/>
      <c r="B78" s="197" t="s">
        <v>317</v>
      </c>
      <c r="C78" s="198" t="s">
        <v>438</v>
      </c>
      <c r="D78" s="199">
        <f>D37</f>
        <v>1318.7125276987094</v>
      </c>
      <c r="E78" s="200">
        <f>D38</f>
        <v>109.89271064155912</v>
      </c>
      <c r="F78" s="201">
        <f>D39</f>
        <v>3.6630903547186375</v>
      </c>
      <c r="G78" s="195"/>
      <c r="H78" s="196"/>
      <c r="I78" s="196"/>
    </row>
    <row r="79" spans="1:9" x14ac:dyDescent="0.2">
      <c r="A79" s="21"/>
      <c r="B79" s="202" t="s">
        <v>297</v>
      </c>
      <c r="C79" s="203" t="s">
        <v>17</v>
      </c>
      <c r="D79" s="204">
        <f>D50</f>
        <v>6237.1538472236243</v>
      </c>
      <c r="E79" s="116">
        <f>D51</f>
        <v>519.76282060196866</v>
      </c>
      <c r="F79" s="123">
        <f>D52</f>
        <v>17.325427353398954</v>
      </c>
      <c r="G79" s="195"/>
      <c r="H79" s="196"/>
      <c r="I79" s="196"/>
    </row>
    <row r="80" spans="1:9" ht="13.5" thickBot="1" x14ac:dyDescent="0.25">
      <c r="A80" s="21"/>
      <c r="B80" s="192" t="s">
        <v>318</v>
      </c>
      <c r="C80" s="158" t="s">
        <v>112</v>
      </c>
      <c r="D80" s="159">
        <f>D62</f>
        <v>9673.9529058978624</v>
      </c>
      <c r="E80" s="117">
        <f>D63</f>
        <v>806.1627421581552</v>
      </c>
      <c r="F80" s="160">
        <f>D64</f>
        <v>26.872091405271838</v>
      </c>
      <c r="G80" s="91"/>
      <c r="H80" s="37"/>
      <c r="I80" s="37"/>
    </row>
    <row r="81" spans="1:9" ht="13.5" thickBot="1" x14ac:dyDescent="0.25">
      <c r="A81" s="21"/>
      <c r="B81" s="104" t="s">
        <v>0</v>
      </c>
      <c r="C81" s="161"/>
      <c r="D81" s="162">
        <f>SUM(D78:D80)</f>
        <v>17229.819280820197</v>
      </c>
      <c r="E81" s="162">
        <f>SUM(E78:E80)</f>
        <v>1435.818273401683</v>
      </c>
      <c r="F81" s="162">
        <f>SUM(F78:F80)</f>
        <v>47.86060911338943</v>
      </c>
      <c r="G81" s="19"/>
      <c r="H81" s="19"/>
      <c r="I81" s="19"/>
    </row>
    <row r="82" spans="1:9" x14ac:dyDescent="0.2">
      <c r="A82" s="21"/>
      <c r="B82" s="539" t="s">
        <v>167</v>
      </c>
      <c r="C82" s="539"/>
      <c r="D82" s="563"/>
      <c r="E82" s="563"/>
      <c r="F82" s="563"/>
      <c r="G82" s="19"/>
      <c r="H82" s="19"/>
      <c r="I82" s="19"/>
    </row>
    <row r="83" spans="1:9" x14ac:dyDescent="0.2">
      <c r="A83" s="21"/>
      <c r="B83" s="90"/>
      <c r="C83" s="23"/>
      <c r="D83" s="91"/>
      <c r="E83" s="37"/>
      <c r="F83" s="37"/>
    </row>
    <row r="84" spans="1:9" x14ac:dyDescent="0.2">
      <c r="A84" s="21"/>
      <c r="B84" s="35" t="s">
        <v>113</v>
      </c>
      <c r="E84" s="23"/>
    </row>
    <row r="85" spans="1:9" ht="13.5" thickBot="1" x14ac:dyDescent="0.25">
      <c r="A85" s="21"/>
      <c r="B85" s="21"/>
      <c r="C85" s="21"/>
      <c r="D85" s="21"/>
      <c r="E85" s="21"/>
      <c r="F85" s="21"/>
    </row>
    <row r="86" spans="1:9" x14ac:dyDescent="0.2">
      <c r="A86" s="21"/>
      <c r="B86" s="773" t="s">
        <v>101</v>
      </c>
      <c r="C86" s="678" t="s">
        <v>109</v>
      </c>
      <c r="D86" s="775" t="s">
        <v>225</v>
      </c>
      <c r="E86" s="775"/>
      <c r="F86" s="776"/>
      <c r="G86" s="777"/>
      <c r="H86" s="777"/>
      <c r="I86" s="777"/>
    </row>
    <row r="87" spans="1:9" ht="24.75" thickBot="1" x14ac:dyDescent="0.25">
      <c r="A87" s="21"/>
      <c r="B87" s="779"/>
      <c r="C87" s="780"/>
      <c r="D87" s="205" t="s">
        <v>110</v>
      </c>
      <c r="E87" s="205" t="s">
        <v>111</v>
      </c>
      <c r="F87" s="206" t="s">
        <v>130</v>
      </c>
      <c r="G87" s="194"/>
      <c r="H87" s="194"/>
      <c r="I87" s="194"/>
    </row>
    <row r="88" spans="1:9" x14ac:dyDescent="0.2">
      <c r="A88" s="21"/>
      <c r="B88" s="191" t="s">
        <v>317</v>
      </c>
      <c r="C88" s="156" t="s">
        <v>114</v>
      </c>
      <c r="D88" s="157">
        <f>D42</f>
        <v>1978.0687915480642</v>
      </c>
      <c r="E88" s="119">
        <f>D43</f>
        <v>164.83906596233868</v>
      </c>
      <c r="F88" s="121">
        <f>D44</f>
        <v>5.4946355320779565</v>
      </c>
      <c r="G88" s="195"/>
      <c r="H88" s="196"/>
      <c r="I88" s="196"/>
    </row>
    <row r="89" spans="1:9" x14ac:dyDescent="0.2">
      <c r="A89" s="21"/>
      <c r="B89" s="202" t="s">
        <v>297</v>
      </c>
      <c r="C89" s="203" t="s">
        <v>114</v>
      </c>
      <c r="D89" s="204">
        <f>D55</f>
        <v>24948.615388894497</v>
      </c>
      <c r="E89" s="116">
        <f>D56</f>
        <v>2079.0512824078746</v>
      </c>
      <c r="F89" s="123">
        <f>D57</f>
        <v>69.301709413595816</v>
      </c>
      <c r="G89" s="195"/>
      <c r="H89" s="196"/>
      <c r="I89" s="196"/>
    </row>
    <row r="90" spans="1:9" ht="13.5" thickBot="1" x14ac:dyDescent="0.25">
      <c r="A90" s="21"/>
      <c r="B90" s="304" t="s">
        <v>318</v>
      </c>
      <c r="C90" s="305" t="s">
        <v>114</v>
      </c>
      <c r="D90" s="306">
        <f>D67</f>
        <v>106413.48196487648</v>
      </c>
      <c r="E90" s="124">
        <f>D68</f>
        <v>8867.7901637397081</v>
      </c>
      <c r="F90" s="125">
        <f>D69</f>
        <v>295.59300545799022</v>
      </c>
      <c r="G90" s="91"/>
      <c r="H90" s="91"/>
      <c r="I90" s="91"/>
    </row>
    <row r="91" spans="1:9" ht="13.5" thickBot="1" x14ac:dyDescent="0.25">
      <c r="A91" s="21"/>
      <c r="B91" s="104" t="s">
        <v>0</v>
      </c>
      <c r="C91" s="161"/>
      <c r="D91" s="162">
        <f>SUM(D88:D89)</f>
        <v>26926.68418044256</v>
      </c>
      <c r="E91" s="162">
        <f>SUM(E88:E89)</f>
        <v>2243.8903483702134</v>
      </c>
      <c r="F91" s="166">
        <f>SUM(F88:F89)</f>
        <v>74.796344945673766</v>
      </c>
      <c r="G91" s="19"/>
      <c r="H91" s="19"/>
      <c r="I91" s="19"/>
    </row>
    <row r="92" spans="1:9" x14ac:dyDescent="0.2">
      <c r="A92" s="21"/>
      <c r="B92" s="539" t="s">
        <v>167</v>
      </c>
      <c r="C92" s="533"/>
      <c r="D92" s="533"/>
      <c r="E92" s="533"/>
      <c r="F92" s="533"/>
      <c r="G92" s="19"/>
      <c r="H92" s="19"/>
      <c r="I92" s="19"/>
    </row>
    <row r="93" spans="1:9" x14ac:dyDescent="0.2">
      <c r="A93" s="21"/>
      <c r="B93" s="533"/>
      <c r="C93" s="533"/>
      <c r="D93" s="533"/>
      <c r="E93" s="533"/>
      <c r="F93" s="533"/>
    </row>
    <row r="94" spans="1:9" x14ac:dyDescent="0.2">
      <c r="A94" s="21"/>
      <c r="B94" s="21"/>
    </row>
    <row r="95" spans="1:9" x14ac:dyDescent="0.2">
      <c r="A95" s="21"/>
      <c r="B95" s="21"/>
    </row>
    <row r="96" spans="1:9" x14ac:dyDescent="0.2">
      <c r="A96" s="21"/>
      <c r="B96" s="21"/>
    </row>
    <row r="97" spans="1:2" x14ac:dyDescent="0.2">
      <c r="A97" s="21"/>
      <c r="B97" s="21"/>
    </row>
    <row r="98" spans="1:2" x14ac:dyDescent="0.2">
      <c r="A98" s="21"/>
      <c r="B98" s="21"/>
    </row>
    <row r="99" spans="1:2" x14ac:dyDescent="0.2">
      <c r="A99" s="21"/>
      <c r="B99" s="21"/>
    </row>
    <row r="100" spans="1:2" x14ac:dyDescent="0.2">
      <c r="A100" s="21"/>
      <c r="B100" s="21"/>
    </row>
    <row r="101" spans="1:2" x14ac:dyDescent="0.2">
      <c r="A101" s="21"/>
      <c r="B101" s="21"/>
    </row>
    <row r="102" spans="1:2" x14ac:dyDescent="0.2">
      <c r="A102" s="21"/>
      <c r="B102" s="21"/>
    </row>
    <row r="103" spans="1:2" x14ac:dyDescent="0.2">
      <c r="A103" s="21"/>
      <c r="B103" s="21"/>
    </row>
    <row r="104" spans="1:2" x14ac:dyDescent="0.2">
      <c r="A104" s="21"/>
      <c r="B104" s="21"/>
    </row>
    <row r="105" spans="1:2" x14ac:dyDescent="0.2">
      <c r="A105" s="21"/>
      <c r="B105" s="21"/>
    </row>
    <row r="106" spans="1:2" x14ac:dyDescent="0.2">
      <c r="A106" s="21"/>
      <c r="B106" s="21"/>
    </row>
    <row r="107" spans="1:2" x14ac:dyDescent="0.2">
      <c r="A107" s="21"/>
      <c r="B107" s="21"/>
    </row>
    <row r="108" spans="1:2" x14ac:dyDescent="0.2">
      <c r="A108" s="21"/>
      <c r="B108" s="21"/>
    </row>
    <row r="109" spans="1:2" x14ac:dyDescent="0.2">
      <c r="A109" s="21"/>
      <c r="B109" s="21"/>
    </row>
    <row r="110" spans="1:2" x14ac:dyDescent="0.2">
      <c r="A110" s="21"/>
      <c r="B110" s="21"/>
    </row>
    <row r="111" spans="1:2" x14ac:dyDescent="0.2">
      <c r="A111" s="21"/>
      <c r="B111" s="21"/>
    </row>
    <row r="112" spans="1:2" x14ac:dyDescent="0.2">
      <c r="A112" s="21"/>
      <c r="B112" s="21"/>
    </row>
    <row r="113" spans="1:2" x14ac:dyDescent="0.2">
      <c r="A113" s="21"/>
      <c r="B113" s="21"/>
    </row>
    <row r="114" spans="1:2" x14ac:dyDescent="0.2">
      <c r="A114" s="21"/>
      <c r="B114" s="21"/>
    </row>
    <row r="115" spans="1:2" x14ac:dyDescent="0.2">
      <c r="A115" s="21"/>
      <c r="B115" s="21"/>
    </row>
    <row r="116" spans="1:2" x14ac:dyDescent="0.2">
      <c r="A116" s="21"/>
      <c r="B116" s="21"/>
    </row>
    <row r="117" spans="1:2" x14ac:dyDescent="0.2">
      <c r="A117" s="21"/>
      <c r="B117" s="21"/>
    </row>
    <row r="118" spans="1:2" x14ac:dyDescent="0.2">
      <c r="A118" s="21"/>
      <c r="B118" s="21"/>
    </row>
    <row r="119" spans="1:2" x14ac:dyDescent="0.2">
      <c r="A119" s="21"/>
      <c r="B119" s="21"/>
    </row>
    <row r="120" spans="1:2" x14ac:dyDescent="0.2">
      <c r="A120" s="21"/>
      <c r="B120" s="21"/>
    </row>
    <row r="121" spans="1:2" x14ac:dyDescent="0.2">
      <c r="A121" s="21"/>
      <c r="B121" s="21"/>
    </row>
    <row r="122" spans="1:2" x14ac:dyDescent="0.2">
      <c r="A122" s="21"/>
      <c r="B122" s="21"/>
    </row>
    <row r="123" spans="1:2" x14ac:dyDescent="0.2">
      <c r="A123" s="21"/>
      <c r="B123" s="21"/>
    </row>
    <row r="124" spans="1:2" x14ac:dyDescent="0.2">
      <c r="A124" s="21"/>
      <c r="B124" s="21"/>
    </row>
    <row r="125" spans="1:2" x14ac:dyDescent="0.2">
      <c r="A125" s="21"/>
      <c r="B125" s="21"/>
    </row>
    <row r="126" spans="1:2" x14ac:dyDescent="0.2">
      <c r="A126" s="21"/>
      <c r="B126" s="21"/>
    </row>
    <row r="127" spans="1:2" x14ac:dyDescent="0.2">
      <c r="A127" s="21"/>
      <c r="B127" s="21"/>
    </row>
    <row r="128" spans="1:2" x14ac:dyDescent="0.2">
      <c r="A128" s="21"/>
      <c r="B128" s="21"/>
    </row>
    <row r="129" spans="1:2" x14ac:dyDescent="0.2">
      <c r="A129" s="21"/>
      <c r="B129" s="21"/>
    </row>
    <row r="130" spans="1:2" x14ac:dyDescent="0.2">
      <c r="A130" s="21"/>
      <c r="B130" s="21"/>
    </row>
    <row r="131" spans="1:2" x14ac:dyDescent="0.2">
      <c r="A131" s="21"/>
      <c r="B131" s="21"/>
    </row>
    <row r="132" spans="1:2" x14ac:dyDescent="0.2">
      <c r="A132" s="21"/>
      <c r="B132" s="21"/>
    </row>
    <row r="133" spans="1:2" x14ac:dyDescent="0.2">
      <c r="A133" s="21"/>
      <c r="B133" s="21"/>
    </row>
    <row r="134" spans="1:2" x14ac:dyDescent="0.2">
      <c r="A134" s="21"/>
      <c r="B134" s="21"/>
    </row>
    <row r="135" spans="1:2" x14ac:dyDescent="0.2">
      <c r="A135" s="21"/>
      <c r="B135" s="21"/>
    </row>
    <row r="136" spans="1:2" x14ac:dyDescent="0.2">
      <c r="A136" s="21"/>
      <c r="B136" s="21"/>
    </row>
    <row r="137" spans="1:2" x14ac:dyDescent="0.2">
      <c r="A137" s="21"/>
      <c r="B137" s="21"/>
    </row>
    <row r="138" spans="1:2" x14ac:dyDescent="0.2">
      <c r="A138" s="21"/>
      <c r="B138" s="21"/>
    </row>
    <row r="139" spans="1:2" x14ac:dyDescent="0.2">
      <c r="A139" s="21"/>
      <c r="B139" s="21"/>
    </row>
    <row r="140" spans="1:2" x14ac:dyDescent="0.2">
      <c r="A140" s="21"/>
      <c r="B140" s="21"/>
    </row>
    <row r="141" spans="1:2" x14ac:dyDescent="0.2">
      <c r="A141" s="21"/>
      <c r="B141" s="21"/>
    </row>
    <row r="142" spans="1:2" x14ac:dyDescent="0.2">
      <c r="A142" s="21"/>
      <c r="B142" s="21"/>
    </row>
    <row r="143" spans="1:2" x14ac:dyDescent="0.2">
      <c r="A143" s="21"/>
      <c r="B143" s="21"/>
    </row>
    <row r="144" spans="1:2" x14ac:dyDescent="0.2">
      <c r="A144" s="21"/>
      <c r="B144" s="21"/>
    </row>
    <row r="145" spans="1:2" x14ac:dyDescent="0.2">
      <c r="A145" s="21"/>
      <c r="B145" s="21"/>
    </row>
    <row r="146" spans="1:2" x14ac:dyDescent="0.2">
      <c r="A146" s="21"/>
      <c r="B146" s="21"/>
    </row>
    <row r="147" spans="1:2" x14ac:dyDescent="0.2">
      <c r="A147" s="21"/>
      <c r="B147" s="21"/>
    </row>
    <row r="148" spans="1:2" x14ac:dyDescent="0.2">
      <c r="A148" s="21"/>
      <c r="B148" s="21"/>
    </row>
    <row r="149" spans="1:2" x14ac:dyDescent="0.2">
      <c r="A149" s="21"/>
      <c r="B149" s="21"/>
    </row>
    <row r="150" spans="1:2" x14ac:dyDescent="0.2">
      <c r="A150" s="21"/>
      <c r="B150" s="21"/>
    </row>
    <row r="151" spans="1:2" x14ac:dyDescent="0.2">
      <c r="A151" s="21"/>
      <c r="B151" s="21"/>
    </row>
    <row r="152" spans="1:2" x14ac:dyDescent="0.2">
      <c r="A152" s="21"/>
      <c r="B152" s="21"/>
    </row>
    <row r="153" spans="1:2" x14ac:dyDescent="0.2">
      <c r="A153" s="21"/>
      <c r="B153" s="21"/>
    </row>
    <row r="154" spans="1:2" x14ac:dyDescent="0.2">
      <c r="A154" s="21"/>
      <c r="B154" s="21"/>
    </row>
    <row r="155" spans="1:2" x14ac:dyDescent="0.2">
      <c r="A155" s="21"/>
      <c r="B155" s="21"/>
    </row>
    <row r="156" spans="1:2" x14ac:dyDescent="0.2">
      <c r="A156" s="21"/>
      <c r="B156" s="21"/>
    </row>
    <row r="157" spans="1:2" x14ac:dyDescent="0.2">
      <c r="A157" s="21"/>
      <c r="B157" s="21"/>
    </row>
    <row r="158" spans="1:2" x14ac:dyDescent="0.2">
      <c r="A158" s="21"/>
      <c r="B158" s="21"/>
    </row>
    <row r="159" spans="1:2" x14ac:dyDescent="0.2">
      <c r="A159" s="21"/>
      <c r="B159" s="21"/>
    </row>
    <row r="160" spans="1:2" x14ac:dyDescent="0.2">
      <c r="A160" s="21"/>
      <c r="B160" s="21"/>
    </row>
    <row r="161" spans="1:2" x14ac:dyDescent="0.2">
      <c r="A161" s="21"/>
      <c r="B161" s="21"/>
    </row>
    <row r="162" spans="1:2" x14ac:dyDescent="0.2">
      <c r="A162" s="21"/>
      <c r="B162" s="21"/>
    </row>
    <row r="163" spans="1:2" x14ac:dyDescent="0.2">
      <c r="A163" s="21"/>
      <c r="B163" s="21"/>
    </row>
    <row r="164" spans="1:2" x14ac:dyDescent="0.2">
      <c r="A164" s="21"/>
      <c r="B164" s="21"/>
    </row>
    <row r="165" spans="1:2" x14ac:dyDescent="0.2">
      <c r="A165" s="21"/>
      <c r="B165" s="21"/>
    </row>
    <row r="166" spans="1:2" x14ac:dyDescent="0.2">
      <c r="A166" s="21"/>
      <c r="B166" s="21"/>
    </row>
    <row r="167" spans="1:2" x14ac:dyDescent="0.2">
      <c r="A167" s="21"/>
      <c r="B167" s="21"/>
    </row>
    <row r="168" spans="1:2" x14ac:dyDescent="0.2">
      <c r="A168" s="21"/>
      <c r="B168" s="21"/>
    </row>
    <row r="169" spans="1:2" x14ac:dyDescent="0.2">
      <c r="A169" s="21"/>
      <c r="B169" s="21"/>
    </row>
    <row r="170" spans="1:2" x14ac:dyDescent="0.2">
      <c r="A170" s="21"/>
      <c r="B170" s="21"/>
    </row>
  </sheetData>
  <mergeCells count="12">
    <mergeCell ref="B86:B87"/>
    <mergeCell ref="C86:C87"/>
    <mergeCell ref="D86:F86"/>
    <mergeCell ref="G86:I86"/>
    <mergeCell ref="B17:E17"/>
    <mergeCell ref="B23:D23"/>
    <mergeCell ref="B76:B77"/>
    <mergeCell ref="C76:C77"/>
    <mergeCell ref="D76:F76"/>
    <mergeCell ref="G76:I76"/>
    <mergeCell ref="B3:F3"/>
    <mergeCell ref="B27:E27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I52"/>
  <sheetViews>
    <sheetView topLeftCell="A28" workbookViewId="0">
      <selection activeCell="I58" sqref="I58"/>
    </sheetView>
  </sheetViews>
  <sheetFormatPr defaultRowHeight="12.75" x14ac:dyDescent="0.2"/>
  <cols>
    <col min="1" max="1" width="2.140625" customWidth="1"/>
    <col min="2" max="2" width="24" customWidth="1"/>
    <col min="3" max="8" width="9" customWidth="1"/>
    <col min="9" max="9" width="10" customWidth="1"/>
    <col min="10" max="256" width="11.42578125" customWidth="1"/>
  </cols>
  <sheetData>
    <row r="1" spans="2:9" ht="13.5" thickBot="1" x14ac:dyDescent="0.25"/>
    <row r="2" spans="2:9" ht="13.5" thickBot="1" x14ac:dyDescent="0.25">
      <c r="B2" s="641" t="s">
        <v>423</v>
      </c>
      <c r="C2" s="642"/>
      <c r="D2" s="642"/>
      <c r="E2" s="642"/>
      <c r="F2" s="642"/>
      <c r="G2" s="642"/>
      <c r="H2" s="642"/>
      <c r="I2" s="643"/>
    </row>
    <row r="3" spans="2:9" ht="13.5" thickBot="1" x14ac:dyDescent="0.25"/>
    <row r="4" spans="2:9" ht="13.5" thickBot="1" x14ac:dyDescent="0.25">
      <c r="B4" s="262" t="s">
        <v>145</v>
      </c>
      <c r="C4" s="134">
        <v>0</v>
      </c>
      <c r="D4" s="134">
        <v>1</v>
      </c>
      <c r="E4" s="134">
        <v>2</v>
      </c>
      <c r="F4" s="134">
        <v>3</v>
      </c>
      <c r="G4" s="134">
        <v>4</v>
      </c>
      <c r="H4" s="134">
        <v>5</v>
      </c>
      <c r="I4" s="102">
        <v>6</v>
      </c>
    </row>
    <row r="5" spans="2:9" x14ac:dyDescent="0.2">
      <c r="B5" s="469" t="s">
        <v>74</v>
      </c>
      <c r="C5" s="470">
        <f t="shared" ref="C5:I5" si="0">C6+C7</f>
        <v>199750.7992630137</v>
      </c>
      <c r="D5" s="470">
        <f t="shared" si="0"/>
        <v>2347.6375321972628</v>
      </c>
      <c r="E5" s="470">
        <f t="shared" si="0"/>
        <v>215.98265296214822</v>
      </c>
      <c r="F5" s="470">
        <f t="shared" si="0"/>
        <v>19.870404072517658</v>
      </c>
      <c r="G5" s="470">
        <f t="shared" si="0"/>
        <v>1.8280771746716269</v>
      </c>
      <c r="H5" s="470">
        <f t="shared" si="0"/>
        <v>0.16818310006978976</v>
      </c>
      <c r="I5" s="471">
        <f t="shared" si="0"/>
        <v>0</v>
      </c>
    </row>
    <row r="6" spans="2:9" x14ac:dyDescent="0.2">
      <c r="B6" s="29" t="s">
        <v>213</v>
      </c>
      <c r="C6" s="116">
        <f>Inversion!E8</f>
        <v>174233</v>
      </c>
      <c r="D6" s="116"/>
      <c r="E6" s="114"/>
      <c r="F6" s="114"/>
      <c r="G6" s="114"/>
      <c r="H6" s="114"/>
      <c r="I6" s="115"/>
    </row>
    <row r="7" spans="2:9" x14ac:dyDescent="0.2">
      <c r="B7" s="29" t="s">
        <v>214</v>
      </c>
      <c r="C7" s="116">
        <f>Inversion!E53</f>
        <v>25517.799263013701</v>
      </c>
      <c r="D7" s="116">
        <f>1.092*C7-C7</f>
        <v>2347.6375321972628</v>
      </c>
      <c r="E7" s="362">
        <f>1.092*D7-D7</f>
        <v>215.98265296214822</v>
      </c>
      <c r="F7" s="362">
        <f>1.092*E7-E7</f>
        <v>19.870404072517658</v>
      </c>
      <c r="G7" s="362">
        <f>1.092*F7-F7</f>
        <v>1.8280771746716269</v>
      </c>
      <c r="H7" s="362">
        <f>1.092*G7-G7</f>
        <v>0.16818310006978976</v>
      </c>
      <c r="I7" s="123"/>
    </row>
    <row r="8" spans="2:9" x14ac:dyDescent="0.2">
      <c r="B8" s="46" t="s">
        <v>75</v>
      </c>
      <c r="C8" s="113">
        <f t="shared" ref="C8:H8" si="1">SUM(C9:C11)</f>
        <v>0</v>
      </c>
      <c r="D8" s="113">
        <f t="shared" si="1"/>
        <v>504300.42000000004</v>
      </c>
      <c r="E8" s="168">
        <f t="shared" si="1"/>
        <v>591297.0120000001</v>
      </c>
      <c r="F8" s="168">
        <f t="shared" si="1"/>
        <v>596736.94451040006</v>
      </c>
      <c r="G8" s="168">
        <f t="shared" si="1"/>
        <v>602226.92439989583</v>
      </c>
      <c r="H8" s="168">
        <f t="shared" si="1"/>
        <v>607767.41210437496</v>
      </c>
      <c r="I8" s="466">
        <f>SUM(I9:I11)</f>
        <v>649135.3584082555</v>
      </c>
    </row>
    <row r="9" spans="2:9" x14ac:dyDescent="0.2">
      <c r="B9" s="29" t="s">
        <v>60</v>
      </c>
      <c r="C9" s="114"/>
      <c r="D9" s="114">
        <f>EGP!C6</f>
        <v>504300.42000000004</v>
      </c>
      <c r="E9" s="114">
        <f>EGP!D6</f>
        <v>591297.0120000001</v>
      </c>
      <c r="F9" s="114">
        <f>EGP!E6</f>
        <v>596736.94451040006</v>
      </c>
      <c r="G9" s="114">
        <f>EGP!F6</f>
        <v>602226.92439989583</v>
      </c>
      <c r="H9" s="114">
        <f>EGP!G6</f>
        <v>607767.41210437496</v>
      </c>
      <c r="I9" s="123">
        <f>EGP!H6</f>
        <v>613358.87229573517</v>
      </c>
    </row>
    <row r="10" spans="2:9" x14ac:dyDescent="0.2">
      <c r="B10" s="29" t="s">
        <v>215</v>
      </c>
      <c r="C10" s="114"/>
      <c r="D10" s="114"/>
      <c r="E10" s="114"/>
      <c r="F10" s="114"/>
      <c r="G10" s="114"/>
      <c r="H10" s="116"/>
      <c r="I10" s="123">
        <f>SUM(C7:H7)</f>
        <v>28103.286112520374</v>
      </c>
    </row>
    <row r="11" spans="2:9" x14ac:dyDescent="0.2">
      <c r="B11" s="29" t="s">
        <v>216</v>
      </c>
      <c r="C11" s="114"/>
      <c r="D11" s="114"/>
      <c r="E11" s="114"/>
      <c r="F11" s="114"/>
      <c r="G11" s="114"/>
      <c r="H11" s="116"/>
      <c r="I11" s="123">
        <f>DEP!G7</f>
        <v>7673.1999999999989</v>
      </c>
    </row>
    <row r="12" spans="2:9" x14ac:dyDescent="0.2">
      <c r="B12" s="190" t="s">
        <v>365</v>
      </c>
      <c r="C12" s="114"/>
      <c r="D12" s="114"/>
      <c r="E12" s="114"/>
      <c r="F12" s="114"/>
      <c r="G12" s="114"/>
      <c r="H12" s="116"/>
      <c r="I12" s="340">
        <f>0.5*(Inversion!E14+Inversion!E15)</f>
        <v>63650</v>
      </c>
    </row>
    <row r="13" spans="2:9" x14ac:dyDescent="0.2">
      <c r="B13" s="46" t="s">
        <v>76</v>
      </c>
      <c r="C13" s="168">
        <f t="shared" ref="C13:H13" si="2">SUM(C14:C17)</f>
        <v>0</v>
      </c>
      <c r="D13" s="168">
        <f t="shared" si="2"/>
        <v>410597.03192398057</v>
      </c>
      <c r="E13" s="168">
        <f t="shared" si="2"/>
        <v>474216.32463650539</v>
      </c>
      <c r="F13" s="168">
        <f t="shared" si="2"/>
        <v>478221.19110239646</v>
      </c>
      <c r="G13" s="168">
        <f t="shared" si="2"/>
        <v>482261.80751804839</v>
      </c>
      <c r="H13" s="168">
        <f t="shared" si="2"/>
        <v>486338.53467101051</v>
      </c>
      <c r="I13" s="466">
        <f>SUM(I14:I17)</f>
        <v>490451.73573930032</v>
      </c>
    </row>
    <row r="14" spans="2:9" x14ac:dyDescent="0.2">
      <c r="B14" s="29" t="s">
        <v>218</v>
      </c>
      <c r="C14" s="114"/>
      <c r="D14" s="116">
        <f>OPERACION!C12-OPERACION!C11</f>
        <v>352159.0577</v>
      </c>
      <c r="E14" s="116">
        <f>OPERACION!D12-OPERACION!D11</f>
        <v>405717.47521999996</v>
      </c>
      <c r="F14" s="116">
        <f>OPERACION!E12-OPERACION!E11</f>
        <v>409066.50499202398</v>
      </c>
      <c r="G14" s="116">
        <f>OPERACION!F12-OPERACION!F11</f>
        <v>412446.34583795065</v>
      </c>
      <c r="H14" s="116">
        <f>OPERACION!G12-OPERACION!G11</f>
        <v>415857.28121965984</v>
      </c>
      <c r="I14" s="123">
        <f>OPERACION!H12-OPERACION!H11</f>
        <v>419299.59720688075</v>
      </c>
    </row>
    <row r="15" spans="2:9" x14ac:dyDescent="0.2">
      <c r="B15" s="29" t="s">
        <v>219</v>
      </c>
      <c r="C15" s="114"/>
      <c r="D15" s="116">
        <f>OPERACION!C19-OPERACION!C18</f>
        <v>2760</v>
      </c>
      <c r="E15" s="116">
        <f>OPERACION!D19-OPERACION!D18</f>
        <v>2760</v>
      </c>
      <c r="F15" s="116">
        <f>OPERACION!E19-OPERACION!E18</f>
        <v>2759.9999999999995</v>
      </c>
      <c r="G15" s="116">
        <f>OPERACION!F19-OPERACION!F18</f>
        <v>2760</v>
      </c>
      <c r="H15" s="116">
        <f>OPERACION!G19-OPERACION!G18</f>
        <v>2760</v>
      </c>
      <c r="I15" s="123">
        <f>OPERACION!H19-OPERACION!H18</f>
        <v>2760</v>
      </c>
    </row>
    <row r="16" spans="2:9" x14ac:dyDescent="0.2">
      <c r="B16" s="29" t="s">
        <v>217</v>
      </c>
      <c r="C16" s="114"/>
      <c r="D16" s="116">
        <f>EGP!C10</f>
        <v>16962.5</v>
      </c>
      <c r="E16" s="116">
        <f>EGP!D10</f>
        <v>16962.5</v>
      </c>
      <c r="F16" s="116">
        <f>EGP!E10</f>
        <v>16962.5</v>
      </c>
      <c r="G16" s="116">
        <f>EGP!F10</f>
        <v>16962.5</v>
      </c>
      <c r="H16" s="116">
        <f>EGP!G10</f>
        <v>16962.5</v>
      </c>
      <c r="I16" s="123">
        <f>EGP!H10</f>
        <v>16962.5</v>
      </c>
    </row>
    <row r="17" spans="2:9" ht="13.5" thickBot="1" x14ac:dyDescent="0.25">
      <c r="B17" s="467" t="s">
        <v>71</v>
      </c>
      <c r="C17" s="472"/>
      <c r="D17" s="124">
        <f>EGP!C12</f>
        <v>38715.474223980586</v>
      </c>
      <c r="E17" s="124">
        <f>EGP!D12</f>
        <v>48776.349416505451</v>
      </c>
      <c r="F17" s="124">
        <f>EGP!E12</f>
        <v>49432.186110372459</v>
      </c>
      <c r="G17" s="124">
        <f>EGP!F12</f>
        <v>50092.961680097753</v>
      </c>
      <c r="H17" s="124">
        <f>EGP!G12</f>
        <v>50758.753451350647</v>
      </c>
      <c r="I17" s="125">
        <f>EGP!H12</f>
        <v>51429.638532419551</v>
      </c>
    </row>
    <row r="18" spans="2:9" ht="13.5" thickBot="1" x14ac:dyDescent="0.25">
      <c r="B18" s="468" t="s">
        <v>236</v>
      </c>
      <c r="C18" s="163">
        <f t="shared" ref="C18:H18" si="3">C8-C13-C5</f>
        <v>-199750.7992630137</v>
      </c>
      <c r="D18" s="163">
        <f t="shared" si="3"/>
        <v>91355.750543822214</v>
      </c>
      <c r="E18" s="163">
        <f t="shared" si="3"/>
        <v>116864.70471053256</v>
      </c>
      <c r="F18" s="163">
        <f t="shared" si="3"/>
        <v>118495.88300393109</v>
      </c>
      <c r="G18" s="163">
        <f t="shared" si="3"/>
        <v>119963.28880467277</v>
      </c>
      <c r="H18" s="163">
        <f t="shared" si="3"/>
        <v>121428.70925026438</v>
      </c>
      <c r="I18" s="396">
        <f>I8-I13-I5</f>
        <v>158683.62266895518</v>
      </c>
    </row>
    <row r="19" spans="2:9" x14ac:dyDescent="0.2">
      <c r="B19" s="539" t="s">
        <v>220</v>
      </c>
      <c r="C19" s="533"/>
      <c r="D19" s="533"/>
      <c r="E19" s="533"/>
      <c r="F19" s="533"/>
      <c r="G19" s="533"/>
      <c r="H19" s="533"/>
      <c r="I19" s="533"/>
    </row>
    <row r="20" spans="2:9" x14ac:dyDescent="0.2">
      <c r="B20" s="539" t="s">
        <v>221</v>
      </c>
      <c r="C20" s="533"/>
      <c r="D20" s="533"/>
      <c r="E20" s="533"/>
      <c r="F20" s="533"/>
      <c r="G20" s="533"/>
      <c r="H20" s="533"/>
      <c r="I20" s="533"/>
    </row>
    <row r="21" spans="2:9" x14ac:dyDescent="0.2">
      <c r="B21" s="533"/>
      <c r="C21" s="533"/>
      <c r="D21" s="533"/>
      <c r="E21" s="533"/>
      <c r="F21" s="533"/>
      <c r="G21" s="533"/>
      <c r="H21" s="533"/>
      <c r="I21" s="533"/>
    </row>
    <row r="24" spans="2:9" ht="13.5" thickBot="1" x14ac:dyDescent="0.25"/>
    <row r="25" spans="2:9" ht="13.5" thickBot="1" x14ac:dyDescent="0.25">
      <c r="B25" s="647" t="s">
        <v>424</v>
      </c>
      <c r="C25" s="648"/>
      <c r="D25" s="648"/>
      <c r="E25" s="648"/>
      <c r="F25" s="648"/>
      <c r="G25" s="648"/>
      <c r="H25" s="648"/>
      <c r="I25" s="649"/>
    </row>
    <row r="26" spans="2:9" ht="13.5" thickBot="1" x14ac:dyDescent="0.25"/>
    <row r="27" spans="2:9" ht="13.5" thickBot="1" x14ac:dyDescent="0.25">
      <c r="B27" s="262" t="s">
        <v>145</v>
      </c>
      <c r="C27" s="134">
        <v>0</v>
      </c>
      <c r="D27" s="134">
        <v>1</v>
      </c>
      <c r="E27" s="134">
        <v>2</v>
      </c>
      <c r="F27" s="134">
        <v>3</v>
      </c>
      <c r="G27" s="134">
        <v>4</v>
      </c>
      <c r="H27" s="134">
        <v>5</v>
      </c>
      <c r="I27" s="102">
        <v>6</v>
      </c>
    </row>
    <row r="28" spans="2:9" x14ac:dyDescent="0.2">
      <c r="B28" s="469" t="s">
        <v>74</v>
      </c>
      <c r="C28" s="470">
        <f t="shared" ref="C28:I28" si="4">C29+C30</f>
        <v>65950</v>
      </c>
      <c r="D28" s="470">
        <f t="shared" si="4"/>
        <v>0</v>
      </c>
      <c r="E28" s="470">
        <f t="shared" si="4"/>
        <v>0</v>
      </c>
      <c r="F28" s="470">
        <f t="shared" si="4"/>
        <v>0</v>
      </c>
      <c r="G28" s="470">
        <f t="shared" si="4"/>
        <v>0</v>
      </c>
      <c r="H28" s="470">
        <f t="shared" si="4"/>
        <v>0</v>
      </c>
      <c r="I28" s="471">
        <f t="shared" si="4"/>
        <v>0</v>
      </c>
    </row>
    <row r="29" spans="2:9" x14ac:dyDescent="0.2">
      <c r="B29" s="29" t="s">
        <v>213</v>
      </c>
      <c r="C29" s="116">
        <f>Inversion!E11+Inversion!E12+Inversion!E14</f>
        <v>65950</v>
      </c>
      <c r="D29" s="116"/>
      <c r="E29" s="114"/>
      <c r="F29" s="114"/>
      <c r="G29" s="114"/>
      <c r="H29" s="114"/>
      <c r="I29" s="115"/>
    </row>
    <row r="30" spans="2:9" x14ac:dyDescent="0.2">
      <c r="B30" s="29" t="s">
        <v>214</v>
      </c>
      <c r="C30" s="116"/>
      <c r="D30" s="116"/>
      <c r="E30" s="116"/>
      <c r="F30" s="116"/>
      <c r="G30" s="116"/>
      <c r="H30" s="116"/>
      <c r="I30" s="123"/>
    </row>
    <row r="31" spans="2:9" x14ac:dyDescent="0.2">
      <c r="B31" s="46" t="s">
        <v>75</v>
      </c>
      <c r="C31" s="113">
        <f t="shared" ref="C31:I31" si="5">SUM(C32:C34)</f>
        <v>0</v>
      </c>
      <c r="D31" s="113">
        <f t="shared" si="5"/>
        <v>16200</v>
      </c>
      <c r="E31" s="168">
        <f t="shared" si="5"/>
        <v>16358.76</v>
      </c>
      <c r="F31" s="168">
        <f t="shared" si="5"/>
        <v>16519.075848</v>
      </c>
      <c r="G31" s="168">
        <f t="shared" si="5"/>
        <v>16680.962791310405</v>
      </c>
      <c r="H31" s="168">
        <f t="shared" si="5"/>
        <v>16844.436226665246</v>
      </c>
      <c r="I31" s="466">
        <f t="shared" si="5"/>
        <v>17009.511701686562</v>
      </c>
    </row>
    <row r="32" spans="2:9" x14ac:dyDescent="0.2">
      <c r="B32" s="29" t="s">
        <v>60</v>
      </c>
      <c r="C32" s="114"/>
      <c r="D32" s="116">
        <f>EGP!C21</f>
        <v>16200</v>
      </c>
      <c r="E32" s="116">
        <f>EGP!D21</f>
        <v>16358.76</v>
      </c>
      <c r="F32" s="116">
        <f>EGP!E21</f>
        <v>16519.075848</v>
      </c>
      <c r="G32" s="116">
        <f>EGP!F21</f>
        <v>16680.962791310405</v>
      </c>
      <c r="H32" s="116">
        <f>EGP!G21</f>
        <v>16844.436226665246</v>
      </c>
      <c r="I32" s="123">
        <f>EGP!H21</f>
        <v>17009.511701686562</v>
      </c>
    </row>
    <row r="33" spans="2:9" x14ac:dyDescent="0.2">
      <c r="B33" s="29" t="s">
        <v>215</v>
      </c>
      <c r="C33" s="114"/>
      <c r="D33" s="114"/>
      <c r="E33" s="114"/>
      <c r="F33" s="114"/>
      <c r="G33" s="114"/>
      <c r="H33" s="116"/>
      <c r="I33" s="123">
        <f>SUM(C30:H30)</f>
        <v>0</v>
      </c>
    </row>
    <row r="34" spans="2:9" x14ac:dyDescent="0.2">
      <c r="B34" s="29" t="s">
        <v>216</v>
      </c>
      <c r="C34" s="114"/>
      <c r="D34" s="114"/>
      <c r="E34" s="114"/>
      <c r="F34" s="114"/>
      <c r="G34" s="114"/>
      <c r="H34" s="116"/>
      <c r="I34" s="115">
        <v>0</v>
      </c>
    </row>
    <row r="35" spans="2:9" x14ac:dyDescent="0.2">
      <c r="B35" s="190" t="s">
        <v>365</v>
      </c>
      <c r="C35" s="114"/>
      <c r="D35" s="114"/>
      <c r="E35" s="114"/>
      <c r="F35" s="114"/>
      <c r="G35" s="114"/>
      <c r="H35" s="116"/>
      <c r="I35" s="115">
        <f>0.5*Inversion!F64</f>
        <v>23750</v>
      </c>
    </row>
    <row r="36" spans="2:9" x14ac:dyDescent="0.2">
      <c r="B36" s="46" t="s">
        <v>76</v>
      </c>
      <c r="C36" s="168">
        <f t="shared" ref="C36:I36" si="6">SUM(C37:C40)</f>
        <v>0</v>
      </c>
      <c r="D36" s="168">
        <f t="shared" si="6"/>
        <v>3289.2999999999993</v>
      </c>
      <c r="E36" s="168">
        <f t="shared" si="6"/>
        <v>3294.8301399999991</v>
      </c>
      <c r="F36" s="168">
        <f t="shared" si="6"/>
        <v>3300.4144753719993</v>
      </c>
      <c r="G36" s="168">
        <f t="shared" si="6"/>
        <v>3306.0535372306449</v>
      </c>
      <c r="H36" s="168">
        <f t="shared" si="6"/>
        <v>3311.7478618955051</v>
      </c>
      <c r="I36" s="466">
        <f t="shared" si="6"/>
        <v>3317.4979909420808</v>
      </c>
    </row>
    <row r="37" spans="2:9" x14ac:dyDescent="0.2">
      <c r="B37" s="29" t="s">
        <v>218</v>
      </c>
      <c r="C37" s="114"/>
      <c r="D37" s="116">
        <f>OPERACION!C59</f>
        <v>3049.2999999999993</v>
      </c>
      <c r="E37" s="116">
        <f>OPERACION!D59</f>
        <v>3054.8301399999991</v>
      </c>
      <c r="F37" s="116">
        <f>OPERACION!E59</f>
        <v>3060.4144753719993</v>
      </c>
      <c r="G37" s="116">
        <f>OPERACION!F59</f>
        <v>3066.0535372306449</v>
      </c>
      <c r="H37" s="116">
        <f>OPERACION!G59</f>
        <v>3071.7478618955051</v>
      </c>
      <c r="I37" s="123">
        <f>OPERACION!H59</f>
        <v>3077.4979909420808</v>
      </c>
    </row>
    <row r="38" spans="2:9" x14ac:dyDescent="0.2">
      <c r="B38" s="29" t="s">
        <v>219</v>
      </c>
      <c r="C38" s="114"/>
      <c r="D38" s="116">
        <f>EGP!C24</f>
        <v>120</v>
      </c>
      <c r="E38" s="116">
        <f>EGP!D24</f>
        <v>120</v>
      </c>
      <c r="F38" s="116">
        <f>EGP!E24</f>
        <v>120</v>
      </c>
      <c r="G38" s="116">
        <f>EGP!F24</f>
        <v>120</v>
      </c>
      <c r="H38" s="116">
        <f>EGP!G24</f>
        <v>120</v>
      </c>
      <c r="I38" s="123">
        <f>EGP!H24</f>
        <v>120</v>
      </c>
    </row>
    <row r="39" spans="2:9" x14ac:dyDescent="0.2">
      <c r="B39" s="29" t="s">
        <v>217</v>
      </c>
      <c r="C39" s="114"/>
      <c r="D39" s="116">
        <f>EGP!C25</f>
        <v>120</v>
      </c>
      <c r="E39" s="116">
        <f>EGP!D25</f>
        <v>120</v>
      </c>
      <c r="F39" s="116">
        <f>EGP!E25</f>
        <v>120</v>
      </c>
      <c r="G39" s="116">
        <f>EGP!F25</f>
        <v>120</v>
      </c>
      <c r="H39" s="116">
        <f>EGP!G25</f>
        <v>120</v>
      </c>
      <c r="I39" s="123">
        <f>EGP!H25</f>
        <v>120</v>
      </c>
    </row>
    <row r="40" spans="2:9" ht="13.5" thickBot="1" x14ac:dyDescent="0.25">
      <c r="B40" s="467" t="s">
        <v>71</v>
      </c>
      <c r="C40" s="472"/>
      <c r="D40" s="124">
        <f>EGP!C27</f>
        <v>0</v>
      </c>
      <c r="E40" s="124">
        <f>EGP!D27</f>
        <v>0</v>
      </c>
      <c r="F40" s="124">
        <f>EGP!E27</f>
        <v>0</v>
      </c>
      <c r="G40" s="124">
        <f>EGP!F27</f>
        <v>0</v>
      </c>
      <c r="H40" s="124">
        <f>EGP!G27</f>
        <v>0</v>
      </c>
      <c r="I40" s="125">
        <f>EGP!H27</f>
        <v>0</v>
      </c>
    </row>
    <row r="41" spans="2:9" ht="13.5" thickBot="1" x14ac:dyDescent="0.25">
      <c r="B41" s="468" t="s">
        <v>236</v>
      </c>
      <c r="C41" s="163">
        <f t="shared" ref="C41:I41" si="7">C31-C36-C28</f>
        <v>-65950</v>
      </c>
      <c r="D41" s="163">
        <f t="shared" si="7"/>
        <v>12910.7</v>
      </c>
      <c r="E41" s="163">
        <f t="shared" si="7"/>
        <v>13063.92986</v>
      </c>
      <c r="F41" s="163">
        <f t="shared" si="7"/>
        <v>13218.661372628001</v>
      </c>
      <c r="G41" s="163">
        <f t="shared" si="7"/>
        <v>13374.909254079761</v>
      </c>
      <c r="H41" s="163">
        <f t="shared" si="7"/>
        <v>13532.688364769741</v>
      </c>
      <c r="I41" s="396">
        <f t="shared" si="7"/>
        <v>13692.013710744483</v>
      </c>
    </row>
    <row r="42" spans="2:9" x14ac:dyDescent="0.2">
      <c r="B42" s="539" t="s">
        <v>220</v>
      </c>
      <c r="C42" s="533"/>
      <c r="D42" s="533"/>
      <c r="E42" s="533"/>
      <c r="F42" s="533"/>
      <c r="G42" s="533"/>
      <c r="H42" s="533"/>
      <c r="I42" s="533"/>
    </row>
    <row r="43" spans="2:9" x14ac:dyDescent="0.2">
      <c r="B43" s="539" t="s">
        <v>221</v>
      </c>
      <c r="C43" s="533"/>
      <c r="D43" s="533"/>
      <c r="E43" s="533"/>
      <c r="F43" s="533"/>
      <c r="G43" s="533"/>
      <c r="H43" s="533"/>
      <c r="I43" s="533"/>
    </row>
    <row r="44" spans="2:9" x14ac:dyDescent="0.2">
      <c r="B44" s="533"/>
      <c r="C44" s="533"/>
      <c r="D44" s="533"/>
      <c r="E44" s="533"/>
      <c r="F44" s="533"/>
      <c r="G44" s="533"/>
      <c r="H44" s="533"/>
      <c r="I44" s="533"/>
    </row>
    <row r="46" spans="2:9" ht="13.5" thickBot="1" x14ac:dyDescent="0.25"/>
    <row r="47" spans="2:9" ht="13.5" thickBot="1" x14ac:dyDescent="0.25">
      <c r="B47" s="663" t="s">
        <v>425</v>
      </c>
      <c r="C47" s="664"/>
      <c r="D47" s="664"/>
      <c r="E47" s="664"/>
      <c r="F47" s="664"/>
      <c r="G47" s="664"/>
      <c r="H47" s="664"/>
      <c r="I47" s="665"/>
    </row>
    <row r="48" spans="2:9" ht="13.5" thickBot="1" x14ac:dyDescent="0.25"/>
    <row r="49" spans="2:9" ht="13.5" thickBot="1" x14ac:dyDescent="0.25">
      <c r="B49" s="503" t="s">
        <v>145</v>
      </c>
      <c r="C49" s="504">
        <v>0</v>
      </c>
      <c r="D49" s="504">
        <v>1</v>
      </c>
      <c r="E49" s="504">
        <v>2</v>
      </c>
      <c r="F49" s="504">
        <v>3</v>
      </c>
      <c r="G49" s="504">
        <v>4</v>
      </c>
      <c r="H49" s="504">
        <v>5</v>
      </c>
      <c r="I49" s="505">
        <v>6</v>
      </c>
    </row>
    <row r="50" spans="2:9" x14ac:dyDescent="0.2">
      <c r="B50" s="181" t="s">
        <v>390</v>
      </c>
      <c r="C50" s="182">
        <f>C18</f>
        <v>-199750.7992630137</v>
      </c>
      <c r="D50" s="182">
        <f t="shared" ref="D50:I50" si="8">D18</f>
        <v>91355.750543822214</v>
      </c>
      <c r="E50" s="182">
        <f t="shared" si="8"/>
        <v>116864.70471053256</v>
      </c>
      <c r="F50" s="182">
        <f t="shared" si="8"/>
        <v>118495.88300393109</v>
      </c>
      <c r="G50" s="182">
        <f t="shared" si="8"/>
        <v>119963.28880467277</v>
      </c>
      <c r="H50" s="182">
        <f t="shared" si="8"/>
        <v>121428.70925026438</v>
      </c>
      <c r="I50" s="508">
        <f t="shared" si="8"/>
        <v>158683.62266895518</v>
      </c>
    </row>
    <row r="51" spans="2:9" ht="13.5" thickBot="1" x14ac:dyDescent="0.25">
      <c r="B51" s="238" t="s">
        <v>391</v>
      </c>
      <c r="C51" s="187">
        <f>C41</f>
        <v>-65950</v>
      </c>
      <c r="D51" s="187">
        <f t="shared" ref="D51:I51" si="9">D41</f>
        <v>12910.7</v>
      </c>
      <c r="E51" s="187">
        <f t="shared" si="9"/>
        <v>13063.92986</v>
      </c>
      <c r="F51" s="187">
        <f t="shared" si="9"/>
        <v>13218.661372628001</v>
      </c>
      <c r="G51" s="187">
        <f t="shared" si="9"/>
        <v>13374.909254079761</v>
      </c>
      <c r="H51" s="187">
        <f t="shared" si="9"/>
        <v>13532.688364769741</v>
      </c>
      <c r="I51" s="509">
        <f t="shared" si="9"/>
        <v>13692.013710744483</v>
      </c>
    </row>
    <row r="52" spans="2:9" ht="13.5" thickBot="1" x14ac:dyDescent="0.25">
      <c r="B52" s="506" t="s">
        <v>392</v>
      </c>
      <c r="C52" s="507">
        <f>C50-C51</f>
        <v>-133800.7992630137</v>
      </c>
      <c r="D52" s="507">
        <f t="shared" ref="D52:I52" si="10">D50-D51</f>
        <v>78445.050543822217</v>
      </c>
      <c r="E52" s="507">
        <f t="shared" si="10"/>
        <v>103800.77485053256</v>
      </c>
      <c r="F52" s="507">
        <f t="shared" si="10"/>
        <v>105277.22163130308</v>
      </c>
      <c r="G52" s="507">
        <f t="shared" si="10"/>
        <v>106588.37955059302</v>
      </c>
      <c r="H52" s="507">
        <f t="shared" si="10"/>
        <v>107896.02088549464</v>
      </c>
      <c r="I52" s="418">
        <f t="shared" si="10"/>
        <v>144991.60895821071</v>
      </c>
    </row>
  </sheetData>
  <mergeCells count="3">
    <mergeCell ref="B2:I2"/>
    <mergeCell ref="B25:I25"/>
    <mergeCell ref="B47:I47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:H50"/>
  <sheetViews>
    <sheetView workbookViewId="0">
      <selection activeCell="I22" sqref="I22"/>
    </sheetView>
  </sheetViews>
  <sheetFormatPr defaultColWidth="11.42578125" defaultRowHeight="12.75" x14ac:dyDescent="0.2"/>
  <cols>
    <col min="1" max="1" width="11.42578125" style="19"/>
    <col min="2" max="2" width="23.140625" style="19" customWidth="1"/>
    <col min="3" max="3" width="14.28515625" style="19" customWidth="1"/>
    <col min="4" max="4" width="13.7109375" style="19" bestFit="1" customWidth="1"/>
    <col min="5" max="5" width="17" style="19" customWidth="1"/>
    <col min="6" max="6" width="6.140625" style="19" customWidth="1"/>
    <col min="7" max="7" width="2.5703125" style="19" customWidth="1"/>
    <col min="8" max="16384" width="11.42578125" style="19"/>
  </cols>
  <sheetData>
    <row r="2" spans="2:7" ht="13.5" thickBot="1" x14ac:dyDescent="0.25"/>
    <row r="3" spans="2:7" ht="15.75" x14ac:dyDescent="0.25">
      <c r="B3" s="784" t="s">
        <v>366</v>
      </c>
      <c r="C3" s="785"/>
      <c r="D3" s="785"/>
      <c r="E3" s="785"/>
      <c r="F3" s="785"/>
      <c r="G3" s="786"/>
    </row>
    <row r="4" spans="2:7" ht="13.5" thickBot="1" x14ac:dyDescent="0.25">
      <c r="B4" s="621"/>
      <c r="C4" s="622"/>
      <c r="D4" s="622"/>
      <c r="E4" s="622"/>
      <c r="F4" s="622"/>
      <c r="G4" s="623"/>
    </row>
    <row r="5" spans="2:7" ht="15.75" x14ac:dyDescent="0.25">
      <c r="B5" s="178"/>
      <c r="C5" s="179" t="s">
        <v>78</v>
      </c>
      <c r="D5" s="180">
        <f>MENU!H5</f>
        <v>0.09</v>
      </c>
      <c r="E5" s="59"/>
      <c r="F5" s="59"/>
      <c r="G5" s="60"/>
    </row>
    <row r="6" spans="2:7" ht="16.5" thickBot="1" x14ac:dyDescent="0.3">
      <c r="B6" s="56"/>
      <c r="C6" s="63"/>
      <c r="D6" s="64"/>
      <c r="E6" s="65"/>
      <c r="F6" s="57"/>
      <c r="G6" s="58"/>
    </row>
    <row r="7" spans="2:7" ht="13.5" thickBot="1" x14ac:dyDescent="0.25">
      <c r="B7" s="787" t="s">
        <v>79</v>
      </c>
      <c r="C7" s="788"/>
      <c r="D7" s="788"/>
      <c r="E7" s="788"/>
      <c r="F7" s="788"/>
      <c r="G7" s="789"/>
    </row>
    <row r="8" spans="2:7" x14ac:dyDescent="0.2">
      <c r="B8" s="66"/>
      <c r="C8" s="67"/>
      <c r="D8" s="67"/>
      <c r="E8" s="67"/>
      <c r="F8" s="67"/>
      <c r="G8" s="68"/>
    </row>
    <row r="9" spans="2:7" x14ac:dyDescent="0.2">
      <c r="B9" s="69" t="s">
        <v>80</v>
      </c>
      <c r="C9" s="70"/>
      <c r="D9" s="70"/>
      <c r="E9" s="70"/>
      <c r="F9" s="70"/>
      <c r="G9" s="71"/>
    </row>
    <row r="10" spans="2:7" x14ac:dyDescent="0.2">
      <c r="B10" s="52"/>
      <c r="C10" s="53"/>
      <c r="D10" s="53"/>
      <c r="E10" s="53"/>
      <c r="F10" s="53"/>
      <c r="G10" s="54"/>
    </row>
    <row r="11" spans="2:7" ht="15.75" x14ac:dyDescent="0.25">
      <c r="B11" s="72"/>
      <c r="C11" s="61" t="s">
        <v>15</v>
      </c>
      <c r="D11" s="73">
        <f>NPV(D5,F.CAJA!D18:I18)+F.CAJA!C18</f>
        <v>332448.27013884502</v>
      </c>
      <c r="E11" s="74" t="s">
        <v>81</v>
      </c>
      <c r="F11" s="53"/>
      <c r="G11" s="54"/>
    </row>
    <row r="12" spans="2:7" x14ac:dyDescent="0.2">
      <c r="B12" s="52"/>
      <c r="C12" s="53"/>
      <c r="D12" s="74"/>
      <c r="E12" s="53"/>
      <c r="F12" s="53"/>
      <c r="G12" s="54"/>
    </row>
    <row r="13" spans="2:7" x14ac:dyDescent="0.2">
      <c r="B13" s="24" t="s">
        <v>82</v>
      </c>
      <c r="C13" s="55"/>
      <c r="D13" s="53"/>
      <c r="E13" s="53"/>
      <c r="F13" s="53"/>
      <c r="G13" s="54"/>
    </row>
    <row r="14" spans="2:7" x14ac:dyDescent="0.2">
      <c r="B14" s="52"/>
      <c r="C14" s="53"/>
      <c r="D14" s="53"/>
      <c r="E14" s="53"/>
      <c r="F14" s="53"/>
      <c r="G14" s="54"/>
    </row>
    <row r="15" spans="2:7" ht="15.75" x14ac:dyDescent="0.25">
      <c r="B15" s="52"/>
      <c r="C15" s="61" t="s">
        <v>83</v>
      </c>
      <c r="D15" s="62">
        <f>IRR(F.CAJA!C18:I18)</f>
        <v>0.50520949308523244</v>
      </c>
      <c r="E15" s="75"/>
      <c r="F15" s="53"/>
      <c r="G15" s="54"/>
    </row>
    <row r="16" spans="2:7" ht="13.5" thickBot="1" x14ac:dyDescent="0.25">
      <c r="B16" s="56"/>
      <c r="C16" s="57"/>
      <c r="D16" s="57"/>
      <c r="E16" s="57"/>
      <c r="F16" s="57"/>
      <c r="G16" s="58"/>
    </row>
    <row r="19" spans="2:7" ht="13.5" thickBot="1" x14ac:dyDescent="0.25"/>
    <row r="20" spans="2:7" ht="15.75" x14ac:dyDescent="0.25">
      <c r="B20" s="790" t="s">
        <v>367</v>
      </c>
      <c r="C20" s="791"/>
      <c r="D20" s="791"/>
      <c r="E20" s="791"/>
      <c r="F20" s="791"/>
      <c r="G20" s="792"/>
    </row>
    <row r="21" spans="2:7" ht="13.5" thickBot="1" x14ac:dyDescent="0.25">
      <c r="B21" s="624"/>
      <c r="C21" s="625"/>
      <c r="D21" s="625"/>
      <c r="E21" s="625"/>
      <c r="F21" s="625"/>
      <c r="G21" s="626"/>
    </row>
    <row r="22" spans="2:7" ht="15.75" x14ac:dyDescent="0.25">
      <c r="B22" s="178"/>
      <c r="C22" s="179" t="s">
        <v>78</v>
      </c>
      <c r="D22" s="180">
        <f>D5</f>
        <v>0.09</v>
      </c>
      <c r="E22" s="59"/>
      <c r="F22" s="59"/>
      <c r="G22" s="60"/>
    </row>
    <row r="23" spans="2:7" ht="16.5" thickBot="1" x14ac:dyDescent="0.3">
      <c r="B23" s="56"/>
      <c r="C23" s="63"/>
      <c r="D23" s="64"/>
      <c r="E23" s="65"/>
      <c r="F23" s="57"/>
      <c r="G23" s="58"/>
    </row>
    <row r="24" spans="2:7" ht="13.5" thickBot="1" x14ac:dyDescent="0.25">
      <c r="B24" s="787" t="s">
        <v>79</v>
      </c>
      <c r="C24" s="788"/>
      <c r="D24" s="788"/>
      <c r="E24" s="788"/>
      <c r="F24" s="788"/>
      <c r="G24" s="789"/>
    </row>
    <row r="25" spans="2:7" x14ac:dyDescent="0.2">
      <c r="B25" s="66"/>
      <c r="C25" s="67"/>
      <c r="D25" s="67"/>
      <c r="E25" s="67"/>
      <c r="F25" s="67"/>
      <c r="G25" s="68"/>
    </row>
    <row r="26" spans="2:7" x14ac:dyDescent="0.2">
      <c r="B26" s="69" t="s">
        <v>80</v>
      </c>
      <c r="C26" s="70"/>
      <c r="D26" s="70"/>
      <c r="E26" s="70"/>
      <c r="F26" s="70"/>
      <c r="G26" s="71"/>
    </row>
    <row r="27" spans="2:7" x14ac:dyDescent="0.2">
      <c r="B27" s="52"/>
      <c r="C27" s="53"/>
      <c r="D27" s="53"/>
      <c r="E27" s="53"/>
      <c r="F27" s="53"/>
      <c r="G27" s="54"/>
    </row>
    <row r="28" spans="2:7" ht="15.75" x14ac:dyDescent="0.25">
      <c r="B28" s="72"/>
      <c r="C28" s="61" t="s">
        <v>15</v>
      </c>
      <c r="D28" s="73">
        <f>NPV(D22,F.CAJA!D41:I41)+F.CAJA!C41</f>
        <v>-6467.8985283963921</v>
      </c>
      <c r="E28" s="74" t="s">
        <v>81</v>
      </c>
      <c r="F28" s="53"/>
      <c r="G28" s="54"/>
    </row>
    <row r="29" spans="2:7" x14ac:dyDescent="0.2">
      <c r="B29" s="52"/>
      <c r="C29" s="53"/>
      <c r="D29" s="74"/>
      <c r="E29" s="53"/>
      <c r="F29" s="53"/>
      <c r="G29" s="54"/>
    </row>
    <row r="30" spans="2:7" x14ac:dyDescent="0.2">
      <c r="B30" s="24" t="s">
        <v>82</v>
      </c>
      <c r="C30" s="55"/>
      <c r="D30" s="53"/>
      <c r="E30" s="53"/>
      <c r="F30" s="53"/>
      <c r="G30" s="54"/>
    </row>
    <row r="31" spans="2:7" x14ac:dyDescent="0.2">
      <c r="B31" s="52"/>
      <c r="C31" s="53"/>
      <c r="D31" s="53"/>
      <c r="E31" s="53"/>
      <c r="F31" s="53"/>
      <c r="G31" s="54"/>
    </row>
    <row r="32" spans="2:7" ht="15.75" x14ac:dyDescent="0.25">
      <c r="B32" s="52"/>
      <c r="C32" s="61" t="s">
        <v>83</v>
      </c>
      <c r="D32" s="62">
        <f>IRR(F.CAJA!C41:I41)</f>
        <v>5.6716760727274274E-2</v>
      </c>
      <c r="E32" s="75"/>
      <c r="F32" s="53"/>
      <c r="G32" s="54"/>
    </row>
    <row r="33" spans="2:8" ht="13.5" thickBot="1" x14ac:dyDescent="0.25">
      <c r="B33" s="56"/>
      <c r="C33" s="57"/>
      <c r="D33" s="57"/>
      <c r="E33" s="57"/>
      <c r="F33" s="57"/>
      <c r="G33" s="58"/>
    </row>
    <row r="36" spans="2:8" ht="13.5" thickBot="1" x14ac:dyDescent="0.25"/>
    <row r="37" spans="2:8" ht="15.75" x14ac:dyDescent="0.25">
      <c r="B37" s="793" t="s">
        <v>393</v>
      </c>
      <c r="C37" s="794"/>
      <c r="D37" s="794"/>
      <c r="E37" s="794"/>
      <c r="F37" s="794"/>
      <c r="G37" s="795"/>
    </row>
    <row r="38" spans="2:8" ht="13.5" thickBot="1" x14ac:dyDescent="0.25">
      <c r="B38" s="597"/>
      <c r="C38" s="598"/>
      <c r="D38" s="598"/>
      <c r="E38" s="598"/>
      <c r="F38" s="598"/>
      <c r="G38" s="599"/>
    </row>
    <row r="39" spans="2:8" ht="15.75" x14ac:dyDescent="0.25">
      <c r="B39" s="178"/>
      <c r="C39" s="179" t="s">
        <v>78</v>
      </c>
      <c r="D39" s="180">
        <f>D22</f>
        <v>0.09</v>
      </c>
      <c r="E39" s="59"/>
      <c r="F39" s="59"/>
      <c r="G39" s="60"/>
    </row>
    <row r="40" spans="2:8" ht="16.5" thickBot="1" x14ac:dyDescent="0.3">
      <c r="B40" s="56"/>
      <c r="C40" s="63"/>
      <c r="D40" s="64"/>
      <c r="E40" s="65"/>
      <c r="F40" s="57"/>
      <c r="G40" s="58"/>
    </row>
    <row r="41" spans="2:8" ht="13.5" thickBot="1" x14ac:dyDescent="0.25">
      <c r="B41" s="787" t="s">
        <v>79</v>
      </c>
      <c r="C41" s="788"/>
      <c r="D41" s="788"/>
      <c r="E41" s="788"/>
      <c r="F41" s="788"/>
      <c r="G41" s="789"/>
    </row>
    <row r="42" spans="2:8" x14ac:dyDescent="0.2">
      <c r="B42" s="66"/>
      <c r="C42" s="67"/>
      <c r="D42" s="67"/>
      <c r="E42" s="67"/>
      <c r="F42" s="67"/>
      <c r="G42" s="68"/>
    </row>
    <row r="43" spans="2:8" x14ac:dyDescent="0.2">
      <c r="B43" s="69" t="s">
        <v>80</v>
      </c>
      <c r="C43" s="70"/>
      <c r="D43" s="70"/>
      <c r="E43" s="70"/>
      <c r="F43" s="70"/>
      <c r="G43" s="71"/>
    </row>
    <row r="44" spans="2:8" x14ac:dyDescent="0.2">
      <c r="B44" s="52"/>
      <c r="C44" s="53"/>
      <c r="D44" s="53"/>
      <c r="E44" s="53"/>
      <c r="F44" s="53"/>
      <c r="G44" s="54"/>
      <c r="H44" s="553"/>
    </row>
    <row r="45" spans="2:8" ht="15.75" x14ac:dyDescent="0.25">
      <c r="B45" s="72"/>
      <c r="C45" s="61" t="s">
        <v>15</v>
      </c>
      <c r="D45" s="73">
        <f>NPV(D39,F.CAJA!D52:I52)+F.CAJA!C52</f>
        <v>338916.16866724152</v>
      </c>
      <c r="E45" s="74" t="s">
        <v>81</v>
      </c>
      <c r="F45" s="53"/>
      <c r="G45" s="54"/>
    </row>
    <row r="46" spans="2:8" x14ac:dyDescent="0.2">
      <c r="B46" s="52"/>
      <c r="C46" s="53"/>
      <c r="D46" s="74"/>
      <c r="E46" s="53"/>
      <c r="F46" s="53"/>
      <c r="G46" s="54"/>
    </row>
    <row r="47" spans="2:8" x14ac:dyDescent="0.2">
      <c r="B47" s="24" t="s">
        <v>82</v>
      </c>
      <c r="C47" s="55"/>
      <c r="D47" s="53"/>
      <c r="E47" s="53"/>
      <c r="F47" s="53"/>
      <c r="G47" s="54"/>
    </row>
    <row r="48" spans="2:8" x14ac:dyDescent="0.2">
      <c r="B48" s="52"/>
      <c r="C48" s="53"/>
      <c r="D48" s="53"/>
      <c r="E48" s="53"/>
      <c r="F48" s="53"/>
      <c r="G48" s="54"/>
    </row>
    <row r="49" spans="2:7" ht="15.75" x14ac:dyDescent="0.25">
      <c r="B49" s="52"/>
      <c r="C49" s="61" t="s">
        <v>83</v>
      </c>
      <c r="D49" s="62">
        <f>IRR(F.CAJA!C52:I52)</f>
        <v>0.67876393981792704</v>
      </c>
      <c r="E49" s="75"/>
      <c r="F49" s="53"/>
      <c r="G49" s="54"/>
    </row>
    <row r="50" spans="2:7" ht="13.5" thickBot="1" x14ac:dyDescent="0.25">
      <c r="B50" s="56"/>
      <c r="C50" s="57"/>
      <c r="D50" s="57"/>
      <c r="E50" s="57"/>
      <c r="F50" s="57"/>
      <c r="G50" s="58"/>
    </row>
  </sheetData>
  <mergeCells count="6">
    <mergeCell ref="B3:G3"/>
    <mergeCell ref="B7:G7"/>
    <mergeCell ref="B20:G20"/>
    <mergeCell ref="B24:G24"/>
    <mergeCell ref="B37:G37"/>
    <mergeCell ref="B41:G41"/>
  </mergeCells>
  <phoneticPr fontId="3" type="noConversion"/>
  <pageMargins left="0.75" right="0.75" top="1" bottom="1" header="0" footer="0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4:D64"/>
  <sheetViews>
    <sheetView topLeftCell="A40" zoomScaleNormal="100" workbookViewId="0">
      <selection activeCell="D70" sqref="D70"/>
    </sheetView>
  </sheetViews>
  <sheetFormatPr defaultRowHeight="12.75" x14ac:dyDescent="0.2"/>
  <cols>
    <col min="1" max="1" width="3.7109375" customWidth="1"/>
    <col min="2" max="3" width="11.42578125" customWidth="1"/>
    <col min="4" max="4" width="12.28515625" customWidth="1"/>
    <col min="5" max="256" width="11.42578125" customWidth="1"/>
  </cols>
  <sheetData>
    <row r="4" spans="2:4" x14ac:dyDescent="0.2">
      <c r="B4" s="36">
        <f>VANE</f>
        <v>332448.27013884502</v>
      </c>
      <c r="C4" s="569">
        <f>TIRE</f>
        <v>0.50520949308523244</v>
      </c>
    </row>
    <row r="5" spans="2:4" ht="13.5" thickBot="1" x14ac:dyDescent="0.25"/>
    <row r="6" spans="2:4" ht="13.5" thickBot="1" x14ac:dyDescent="0.25">
      <c r="B6" s="796" t="s">
        <v>427</v>
      </c>
      <c r="C6" s="797"/>
      <c r="D6" s="798"/>
    </row>
    <row r="7" spans="2:4" ht="13.5" thickBot="1" x14ac:dyDescent="0.25"/>
    <row r="8" spans="2:4" ht="26.25" thickBot="1" x14ac:dyDescent="0.25">
      <c r="B8" s="96" t="s">
        <v>426</v>
      </c>
      <c r="C8" s="97" t="s">
        <v>134</v>
      </c>
      <c r="D8" s="175" t="s">
        <v>135</v>
      </c>
    </row>
    <row r="9" spans="2:4" x14ac:dyDescent="0.2">
      <c r="B9" s="575"/>
      <c r="C9" s="571"/>
      <c r="D9" s="572"/>
    </row>
    <row r="10" spans="2:4" x14ac:dyDescent="0.2">
      <c r="B10" s="5"/>
      <c r="C10" s="98"/>
      <c r="D10" s="236"/>
    </row>
    <row r="11" spans="2:4" x14ac:dyDescent="0.2">
      <c r="B11" s="5"/>
      <c r="C11" s="98"/>
      <c r="D11" s="237"/>
    </row>
    <row r="12" spans="2:4" x14ac:dyDescent="0.2">
      <c r="B12" s="184"/>
      <c r="C12" s="252"/>
      <c r="D12" s="253"/>
    </row>
    <row r="13" spans="2:4" x14ac:dyDescent="0.2">
      <c r="B13" s="251"/>
      <c r="C13" s="152"/>
      <c r="D13" s="570"/>
    </row>
    <row r="14" spans="2:4" x14ac:dyDescent="0.2">
      <c r="B14" s="5"/>
      <c r="C14" s="98"/>
      <c r="D14" s="237"/>
    </row>
    <row r="15" spans="2:4" ht="13.5" thickBot="1" x14ac:dyDescent="0.25">
      <c r="B15" s="238"/>
      <c r="C15" s="239"/>
      <c r="D15" s="240"/>
    </row>
    <row r="22" spans="2:4" x14ac:dyDescent="0.2">
      <c r="B22" s="36">
        <f>B4</f>
        <v>332448.27013884502</v>
      </c>
      <c r="C22" s="569">
        <f>C4</f>
        <v>0.50520949308523244</v>
      </c>
    </row>
    <row r="23" spans="2:4" ht="13.5" thickBot="1" x14ac:dyDescent="0.25"/>
    <row r="24" spans="2:4" ht="13.5" thickBot="1" x14ac:dyDescent="0.25">
      <c r="B24" s="796" t="s">
        <v>428</v>
      </c>
      <c r="C24" s="797"/>
      <c r="D24" s="798"/>
    </row>
    <row r="25" spans="2:4" ht="13.5" thickBot="1" x14ac:dyDescent="0.25"/>
    <row r="26" spans="2:4" ht="39" thickBot="1" x14ac:dyDescent="0.25">
      <c r="B26" s="96" t="s">
        <v>414</v>
      </c>
      <c r="C26" s="97" t="s">
        <v>134</v>
      </c>
      <c r="D26" s="175" t="s">
        <v>135</v>
      </c>
    </row>
    <row r="27" spans="2:4" x14ac:dyDescent="0.2">
      <c r="B27" s="181"/>
      <c r="C27" s="573"/>
      <c r="D27" s="574"/>
    </row>
    <row r="28" spans="2:4" x14ac:dyDescent="0.2">
      <c r="B28" s="5"/>
      <c r="C28" s="98"/>
      <c r="D28" s="241"/>
    </row>
    <row r="29" spans="2:4" x14ac:dyDescent="0.2">
      <c r="B29" s="5"/>
      <c r="C29" s="98"/>
      <c r="D29" s="237"/>
    </row>
    <row r="30" spans="2:4" x14ac:dyDescent="0.2">
      <c r="B30" s="5"/>
      <c r="C30" s="98"/>
      <c r="D30" s="237"/>
    </row>
    <row r="31" spans="2:4" x14ac:dyDescent="0.2">
      <c r="B31" s="251"/>
      <c r="C31" s="245"/>
      <c r="D31" s="246"/>
    </row>
    <row r="32" spans="2:4" x14ac:dyDescent="0.2">
      <c r="B32" s="5"/>
      <c r="C32" s="22"/>
      <c r="D32" s="576"/>
    </row>
    <row r="33" spans="2:4" ht="13.5" thickBot="1" x14ac:dyDescent="0.25">
      <c r="B33" s="238"/>
      <c r="C33" s="239"/>
      <c r="D33" s="240"/>
    </row>
    <row r="39" spans="2:4" x14ac:dyDescent="0.2">
      <c r="B39" s="36">
        <f>B22</f>
        <v>332448.27013884502</v>
      </c>
      <c r="C39" s="569">
        <f>C22</f>
        <v>0.50520949308523244</v>
      </c>
    </row>
    <row r="40" spans="2:4" ht="13.5" thickBot="1" x14ac:dyDescent="0.25"/>
    <row r="41" spans="2:4" ht="13.5" thickBot="1" x14ac:dyDescent="0.25">
      <c r="B41" s="796" t="s">
        <v>429</v>
      </c>
      <c r="C41" s="797"/>
      <c r="D41" s="798"/>
    </row>
    <row r="42" spans="2:4" ht="13.5" thickBot="1" x14ac:dyDescent="0.25"/>
    <row r="43" spans="2:4" ht="26.25" thickBot="1" x14ac:dyDescent="0.25">
      <c r="B43" s="96" t="s">
        <v>415</v>
      </c>
      <c r="C43" s="97" t="s">
        <v>134</v>
      </c>
      <c r="D43" s="175" t="s">
        <v>135</v>
      </c>
    </row>
    <row r="44" spans="2:4" x14ac:dyDescent="0.2">
      <c r="B44" s="181">
        <v>2.4</v>
      </c>
      <c r="C44" s="573">
        <v>0</v>
      </c>
      <c r="D44" s="574">
        <v>8.9999999999958127E-2</v>
      </c>
    </row>
    <row r="45" spans="2:4" x14ac:dyDescent="0.2">
      <c r="B45" s="577">
        <v>3</v>
      </c>
      <c r="C45" s="98">
        <v>124807.78707985414</v>
      </c>
      <c r="D45" s="237">
        <v>0.25877620005258106</v>
      </c>
    </row>
    <row r="46" spans="2:4" x14ac:dyDescent="0.2">
      <c r="B46" s="5">
        <v>3.5</v>
      </c>
      <c r="C46" s="98">
        <v>230326.64172553955</v>
      </c>
      <c r="D46" s="237">
        <v>0.3875879815924958</v>
      </c>
    </row>
    <row r="47" spans="2:4" x14ac:dyDescent="0.2">
      <c r="B47" s="577">
        <v>3.75</v>
      </c>
      <c r="C47" s="98">
        <v>283086.06904838234</v>
      </c>
      <c r="D47" s="237">
        <v>0.44905578182937078</v>
      </c>
    </row>
    <row r="48" spans="2:4" x14ac:dyDescent="0.2">
      <c r="B48" s="251">
        <v>4</v>
      </c>
      <c r="C48" s="600">
        <v>335423.30750449537</v>
      </c>
      <c r="D48" s="601">
        <v>0.50871650824142667</v>
      </c>
    </row>
    <row r="49" spans="2:4" x14ac:dyDescent="0.2">
      <c r="B49" s="577">
        <v>4.25</v>
      </c>
      <c r="C49" s="98">
        <v>388604.92369406787</v>
      </c>
      <c r="D49" s="237">
        <v>0.567943558726002</v>
      </c>
    </row>
    <row r="50" spans="2:4" ht="13.5" thickBot="1" x14ac:dyDescent="0.25">
      <c r="B50" s="238">
        <v>4.5</v>
      </c>
      <c r="C50" s="239">
        <v>441364.35101691051</v>
      </c>
      <c r="D50" s="240">
        <v>0.62583931395790293</v>
      </c>
    </row>
    <row r="53" spans="2:4" x14ac:dyDescent="0.2">
      <c r="B53" s="36">
        <f>B39</f>
        <v>332448.27013884502</v>
      </c>
      <c r="C53" s="569">
        <f>C39</f>
        <v>0.50520949308523244</v>
      </c>
    </row>
    <row r="54" spans="2:4" ht="13.5" thickBot="1" x14ac:dyDescent="0.25"/>
    <row r="55" spans="2:4" ht="13.5" thickBot="1" x14ac:dyDescent="0.25">
      <c r="B55" s="796" t="s">
        <v>430</v>
      </c>
      <c r="C55" s="797"/>
      <c r="D55" s="798"/>
    </row>
    <row r="56" spans="2:4" ht="13.5" thickBot="1" x14ac:dyDescent="0.25"/>
    <row r="57" spans="2:4" ht="39" thickBot="1" x14ac:dyDescent="0.25">
      <c r="B57" s="96" t="s">
        <v>416</v>
      </c>
      <c r="C57" s="97" t="s">
        <v>134</v>
      </c>
      <c r="D57" s="175" t="s">
        <v>135</v>
      </c>
    </row>
    <row r="58" spans="2:4" x14ac:dyDescent="0.2">
      <c r="B58" s="181">
        <v>3.5</v>
      </c>
      <c r="C58" s="573">
        <v>0</v>
      </c>
      <c r="D58" s="574">
        <v>8.9999999999958016E-2</v>
      </c>
    </row>
    <row r="59" spans="2:4" x14ac:dyDescent="0.2">
      <c r="B59" s="242">
        <v>9.5</v>
      </c>
      <c r="C59" s="243">
        <v>268916.39428167604</v>
      </c>
      <c r="D59" s="244">
        <v>0.43270161102221449</v>
      </c>
    </row>
    <row r="60" spans="2:4" x14ac:dyDescent="0.2">
      <c r="B60" s="242">
        <v>10</v>
      </c>
      <c r="C60" s="243">
        <v>291226.09497819259</v>
      </c>
      <c r="D60" s="244">
        <v>0.45840363468020356</v>
      </c>
    </row>
    <row r="61" spans="2:4" x14ac:dyDescent="0.2">
      <c r="B61" s="242">
        <v>10.5</v>
      </c>
      <c r="C61" s="243">
        <v>313535.79567470879</v>
      </c>
      <c r="D61" s="244">
        <v>0.48385767601419655</v>
      </c>
    </row>
    <row r="62" spans="2:4" x14ac:dyDescent="0.2">
      <c r="B62" s="202">
        <v>11</v>
      </c>
      <c r="C62" s="245">
        <v>335423.30750449537</v>
      </c>
      <c r="D62" s="246">
        <v>0.50871650824142667</v>
      </c>
    </row>
    <row r="63" spans="2:4" x14ac:dyDescent="0.2">
      <c r="B63" s="242">
        <v>11.5</v>
      </c>
      <c r="C63" s="243">
        <v>358155.19706774165</v>
      </c>
      <c r="D63" s="244">
        <v>0.53410314467036157</v>
      </c>
    </row>
    <row r="64" spans="2:4" ht="13.5" thickBot="1" x14ac:dyDescent="0.25">
      <c r="B64" s="247">
        <v>12</v>
      </c>
      <c r="C64" s="248">
        <v>380464.89776425797</v>
      </c>
      <c r="D64" s="249">
        <v>0.55892990291625921</v>
      </c>
    </row>
  </sheetData>
  <mergeCells count="4">
    <mergeCell ref="B6:D6"/>
    <mergeCell ref="B24:D24"/>
    <mergeCell ref="B41:D41"/>
    <mergeCell ref="B55:D55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cols>
    <col min="1" max="256" width="11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V66"/>
  <sheetViews>
    <sheetView topLeftCell="I58" workbookViewId="0">
      <selection activeCell="P67" sqref="P67"/>
    </sheetView>
  </sheetViews>
  <sheetFormatPr defaultRowHeight="12.75" x14ac:dyDescent="0.2"/>
  <cols>
    <col min="1" max="1" width="2.7109375" customWidth="1"/>
    <col min="2" max="3" width="11.28515625" customWidth="1"/>
    <col min="4" max="4" width="13" customWidth="1"/>
    <col min="5" max="5" width="12.42578125" customWidth="1"/>
    <col min="6" max="6" width="15.5703125" customWidth="1"/>
    <col min="7" max="7" width="10.7109375" customWidth="1"/>
    <col min="8" max="9" width="11.42578125" customWidth="1"/>
    <col min="10" max="10" width="12.7109375" customWidth="1"/>
    <col min="11" max="11" width="11.85546875" customWidth="1"/>
    <col min="12" max="12" width="11.42578125" customWidth="1"/>
    <col min="13" max="13" width="13.140625" customWidth="1"/>
    <col min="14" max="14" width="13.85546875" customWidth="1"/>
    <col min="15" max="16" width="11.42578125" customWidth="1"/>
    <col min="17" max="17" width="14" customWidth="1"/>
    <col min="18" max="18" width="14.7109375" customWidth="1"/>
    <col min="19" max="19" width="12.140625" customWidth="1"/>
    <col min="20" max="20" width="15.42578125" customWidth="1"/>
    <col min="21" max="256" width="11.42578125" customWidth="1"/>
  </cols>
  <sheetData>
    <row r="1" spans="2:20" ht="13.5" thickBot="1" x14ac:dyDescent="0.25"/>
    <row r="2" spans="2:20" ht="13.5" thickBot="1" x14ac:dyDescent="0.25">
      <c r="B2" s="641" t="s">
        <v>439</v>
      </c>
      <c r="C2" s="642"/>
      <c r="D2" s="642"/>
      <c r="E2" s="642"/>
      <c r="F2" s="643"/>
      <c r="H2" s="641" t="s">
        <v>440</v>
      </c>
      <c r="I2" s="642"/>
      <c r="J2" s="642"/>
      <c r="K2" s="642"/>
      <c r="L2" s="642"/>
      <c r="M2" s="642"/>
      <c r="N2" s="643"/>
      <c r="P2" s="641" t="s">
        <v>444</v>
      </c>
      <c r="Q2" s="642"/>
      <c r="R2" s="642"/>
      <c r="S2" s="642"/>
      <c r="T2" s="643"/>
    </row>
    <row r="3" spans="2:20" ht="13.5" thickBot="1" x14ac:dyDescent="0.25">
      <c r="P3" s="14"/>
    </row>
    <row r="4" spans="2:20" ht="39" customHeight="1" thickBot="1" x14ac:dyDescent="0.25">
      <c r="B4" s="312" t="s">
        <v>209</v>
      </c>
      <c r="C4" s="313" t="s">
        <v>325</v>
      </c>
      <c r="D4" s="313" t="s">
        <v>400</v>
      </c>
      <c r="E4" s="313" t="s">
        <v>399</v>
      </c>
      <c r="F4" s="313" t="s">
        <v>401</v>
      </c>
      <c r="H4" s="312" t="s">
        <v>209</v>
      </c>
      <c r="I4" s="313" t="s">
        <v>402</v>
      </c>
      <c r="J4" s="313" t="s">
        <v>400</v>
      </c>
      <c r="K4" s="313" t="s">
        <v>399</v>
      </c>
      <c r="L4" s="313" t="s">
        <v>403</v>
      </c>
      <c r="M4" s="313" t="s">
        <v>404</v>
      </c>
      <c r="N4" s="522" t="s">
        <v>405</v>
      </c>
      <c r="P4" s="174" t="s">
        <v>209</v>
      </c>
      <c r="Q4" s="97" t="s">
        <v>371</v>
      </c>
      <c r="R4" s="97" t="s">
        <v>302</v>
      </c>
      <c r="S4" s="97" t="s">
        <v>159</v>
      </c>
      <c r="T4" s="175" t="s">
        <v>301</v>
      </c>
    </row>
    <row r="5" spans="2:20" x14ac:dyDescent="0.2">
      <c r="B5" s="181" t="s">
        <v>146</v>
      </c>
      <c r="C5" s="316">
        <v>5</v>
      </c>
      <c r="D5" s="316">
        <v>7</v>
      </c>
      <c r="E5" s="317">
        <f>C5*D5</f>
        <v>35</v>
      </c>
      <c r="F5" s="508">
        <f>E5*30</f>
        <v>1050</v>
      </c>
      <c r="H5" s="181" t="s">
        <v>146</v>
      </c>
      <c r="I5" s="316">
        <v>159</v>
      </c>
      <c r="J5" s="316">
        <v>6</v>
      </c>
      <c r="K5" s="317">
        <f>I5*J5</f>
        <v>954</v>
      </c>
      <c r="L5" s="317">
        <f>K5*30</f>
        <v>28620</v>
      </c>
      <c r="M5" s="182">
        <f>L5*$J$18</f>
        <v>5910</v>
      </c>
      <c r="N5" s="508">
        <f>L5-M5</f>
        <v>22710</v>
      </c>
      <c r="P5" s="164" t="s">
        <v>146</v>
      </c>
      <c r="Q5" s="155">
        <f t="shared" ref="Q5:Q16" si="0">N5+F5</f>
        <v>23760</v>
      </c>
      <c r="R5" s="155">
        <f t="shared" ref="R5:R16" si="1">Q5*$R$20*$S$20</f>
        <v>9028.7999999999993</v>
      </c>
      <c r="S5" s="155">
        <f>Q5*$R$21*$S$21</f>
        <v>5821.2</v>
      </c>
      <c r="T5" s="165">
        <f>Q5*$R$22*$S$22</f>
        <v>1230.768</v>
      </c>
    </row>
    <row r="6" spans="2:20" x14ac:dyDescent="0.2">
      <c r="B6" s="5" t="s">
        <v>147</v>
      </c>
      <c r="C6" s="2">
        <f>$C$5</f>
        <v>5</v>
      </c>
      <c r="D6" s="2">
        <f>D5</f>
        <v>7</v>
      </c>
      <c r="E6" s="3">
        <f t="shared" ref="E6:E16" si="2">C6*D6</f>
        <v>35</v>
      </c>
      <c r="F6" s="154">
        <f t="shared" ref="F6:F16" si="3">E6*30</f>
        <v>1050</v>
      </c>
      <c r="H6" s="5" t="s">
        <v>147</v>
      </c>
      <c r="I6" s="2">
        <f>$I$5</f>
        <v>159</v>
      </c>
      <c r="J6" s="2">
        <f>J5</f>
        <v>6</v>
      </c>
      <c r="K6" s="3">
        <f t="shared" ref="K6:K16" si="4">I6*J6</f>
        <v>954</v>
      </c>
      <c r="L6" s="3">
        <f t="shared" ref="L6:L16" si="5">K6*30</f>
        <v>28620</v>
      </c>
      <c r="M6" s="152">
        <f>L6*$J$18</f>
        <v>5910</v>
      </c>
      <c r="N6" s="154">
        <f t="shared" ref="N6:N11" si="6">L6-M6</f>
        <v>22710</v>
      </c>
      <c r="P6" s="5" t="s">
        <v>147</v>
      </c>
      <c r="Q6" s="155">
        <f t="shared" si="0"/>
        <v>23760</v>
      </c>
      <c r="R6" s="155">
        <f>Q6*$R$20*$S$20</f>
        <v>9028.7999999999993</v>
      </c>
      <c r="S6" s="155">
        <f t="shared" ref="S6:S16" si="7">Q6*$R$21*$S$21</f>
        <v>5821.2</v>
      </c>
      <c r="T6" s="165">
        <f t="shared" ref="T6:T16" si="8">Q6*$R$22*$S$22</f>
        <v>1230.768</v>
      </c>
    </row>
    <row r="7" spans="2:20" x14ac:dyDescent="0.2">
      <c r="B7" s="5" t="s">
        <v>148</v>
      </c>
      <c r="C7" s="2">
        <f t="shared" ref="C7:C16" si="9">$C$5</f>
        <v>5</v>
      </c>
      <c r="D7" s="2">
        <f>D6</f>
        <v>7</v>
      </c>
      <c r="E7" s="3">
        <f t="shared" si="2"/>
        <v>35</v>
      </c>
      <c r="F7" s="154">
        <f t="shared" si="3"/>
        <v>1050</v>
      </c>
      <c r="H7" s="5" t="s">
        <v>148</v>
      </c>
      <c r="I7" s="2">
        <f t="shared" ref="I7:I16" si="10">$I$5</f>
        <v>159</v>
      </c>
      <c r="J7" s="2">
        <f>J6</f>
        <v>6</v>
      </c>
      <c r="K7" s="3">
        <f t="shared" si="4"/>
        <v>954</v>
      </c>
      <c r="L7" s="3">
        <f t="shared" si="5"/>
        <v>28620</v>
      </c>
      <c r="M7" s="152">
        <f t="shared" ref="M7:M15" si="11">L7*$J$18</f>
        <v>5910</v>
      </c>
      <c r="N7" s="154">
        <f t="shared" si="6"/>
        <v>22710</v>
      </c>
      <c r="P7" s="5" t="s">
        <v>148</v>
      </c>
      <c r="Q7" s="155">
        <f t="shared" si="0"/>
        <v>23760</v>
      </c>
      <c r="R7" s="155">
        <f t="shared" si="1"/>
        <v>9028.7999999999993</v>
      </c>
      <c r="S7" s="155">
        <f t="shared" si="7"/>
        <v>5821.2</v>
      </c>
      <c r="T7" s="165">
        <f t="shared" si="8"/>
        <v>1230.768</v>
      </c>
    </row>
    <row r="8" spans="2:20" x14ac:dyDescent="0.2">
      <c r="B8" s="5" t="s">
        <v>149</v>
      </c>
      <c r="C8" s="2">
        <f t="shared" si="9"/>
        <v>5</v>
      </c>
      <c r="D8" s="2">
        <f>D7</f>
        <v>7</v>
      </c>
      <c r="E8" s="3">
        <f t="shared" si="2"/>
        <v>35</v>
      </c>
      <c r="F8" s="154">
        <f t="shared" si="3"/>
        <v>1050</v>
      </c>
      <c r="H8" s="5" t="s">
        <v>149</v>
      </c>
      <c r="I8" s="2">
        <f t="shared" si="10"/>
        <v>159</v>
      </c>
      <c r="J8" s="2">
        <f>J7</f>
        <v>6</v>
      </c>
      <c r="K8" s="3">
        <f t="shared" si="4"/>
        <v>954</v>
      </c>
      <c r="L8" s="3">
        <f t="shared" si="5"/>
        <v>28620</v>
      </c>
      <c r="M8" s="152">
        <f t="shared" si="11"/>
        <v>5910</v>
      </c>
      <c r="N8" s="154">
        <f t="shared" si="6"/>
        <v>22710</v>
      </c>
      <c r="P8" s="5" t="s">
        <v>149</v>
      </c>
      <c r="Q8" s="155">
        <f t="shared" si="0"/>
        <v>23760</v>
      </c>
      <c r="R8" s="155">
        <f t="shared" si="1"/>
        <v>9028.7999999999993</v>
      </c>
      <c r="S8" s="155">
        <f t="shared" si="7"/>
        <v>5821.2</v>
      </c>
      <c r="T8" s="165">
        <f t="shared" si="8"/>
        <v>1230.768</v>
      </c>
    </row>
    <row r="9" spans="2:20" x14ac:dyDescent="0.2">
      <c r="B9" s="5" t="s">
        <v>150</v>
      </c>
      <c r="C9" s="2">
        <f t="shared" si="9"/>
        <v>5</v>
      </c>
      <c r="D9" s="2">
        <f>D8</f>
        <v>7</v>
      </c>
      <c r="E9" s="3">
        <f t="shared" si="2"/>
        <v>35</v>
      </c>
      <c r="F9" s="154">
        <f t="shared" si="3"/>
        <v>1050</v>
      </c>
      <c r="H9" s="5" t="s">
        <v>150</v>
      </c>
      <c r="I9" s="2">
        <f t="shared" si="10"/>
        <v>159</v>
      </c>
      <c r="J9" s="2">
        <f>J8</f>
        <v>6</v>
      </c>
      <c r="K9" s="3">
        <f t="shared" si="4"/>
        <v>954</v>
      </c>
      <c r="L9" s="3">
        <f t="shared" si="5"/>
        <v>28620</v>
      </c>
      <c r="M9" s="152">
        <f t="shared" si="11"/>
        <v>5910</v>
      </c>
      <c r="N9" s="154">
        <f t="shared" si="6"/>
        <v>22710</v>
      </c>
      <c r="P9" s="5" t="s">
        <v>150</v>
      </c>
      <c r="Q9" s="155">
        <f t="shared" si="0"/>
        <v>23760</v>
      </c>
      <c r="R9" s="155">
        <f t="shared" si="1"/>
        <v>9028.7999999999993</v>
      </c>
      <c r="S9" s="155">
        <f t="shared" si="7"/>
        <v>5821.2</v>
      </c>
      <c r="T9" s="165">
        <f t="shared" si="8"/>
        <v>1230.768</v>
      </c>
    </row>
    <row r="10" spans="2:20" x14ac:dyDescent="0.2">
      <c r="B10" s="5" t="s">
        <v>151</v>
      </c>
      <c r="C10" s="2">
        <f t="shared" si="9"/>
        <v>5</v>
      </c>
      <c r="D10" s="2">
        <f>D9</f>
        <v>7</v>
      </c>
      <c r="E10" s="3">
        <f t="shared" si="2"/>
        <v>35</v>
      </c>
      <c r="F10" s="154">
        <f t="shared" si="3"/>
        <v>1050</v>
      </c>
      <c r="H10" s="5" t="s">
        <v>151</v>
      </c>
      <c r="I10" s="2">
        <f t="shared" si="10"/>
        <v>159</v>
      </c>
      <c r="J10" s="2">
        <f>J9</f>
        <v>6</v>
      </c>
      <c r="K10" s="3">
        <f t="shared" si="4"/>
        <v>954</v>
      </c>
      <c r="L10" s="3">
        <f t="shared" si="5"/>
        <v>28620</v>
      </c>
      <c r="M10" s="152">
        <f t="shared" si="11"/>
        <v>5910</v>
      </c>
      <c r="N10" s="154">
        <f t="shared" si="6"/>
        <v>22710</v>
      </c>
      <c r="P10" s="5" t="s">
        <v>151</v>
      </c>
      <c r="Q10" s="155">
        <f t="shared" si="0"/>
        <v>23760</v>
      </c>
      <c r="R10" s="155">
        <f t="shared" si="1"/>
        <v>9028.7999999999993</v>
      </c>
      <c r="S10" s="155">
        <f t="shared" si="7"/>
        <v>5821.2</v>
      </c>
      <c r="T10" s="165">
        <f t="shared" si="8"/>
        <v>1230.768</v>
      </c>
    </row>
    <row r="11" spans="2:20" x14ac:dyDescent="0.2">
      <c r="B11" s="5" t="s">
        <v>152</v>
      </c>
      <c r="C11" s="2">
        <f t="shared" si="9"/>
        <v>5</v>
      </c>
      <c r="D11" s="2">
        <v>5</v>
      </c>
      <c r="E11" s="3">
        <f t="shared" si="2"/>
        <v>25</v>
      </c>
      <c r="F11" s="154">
        <f t="shared" si="3"/>
        <v>750</v>
      </c>
      <c r="H11" s="5" t="s">
        <v>152</v>
      </c>
      <c r="I11" s="2">
        <f t="shared" si="10"/>
        <v>159</v>
      </c>
      <c r="J11" s="2">
        <v>4</v>
      </c>
      <c r="K11" s="3">
        <f t="shared" si="4"/>
        <v>636</v>
      </c>
      <c r="L11" s="3">
        <f t="shared" si="5"/>
        <v>19080</v>
      </c>
      <c r="M11" s="152">
        <f t="shared" si="11"/>
        <v>3940</v>
      </c>
      <c r="N11" s="154">
        <f t="shared" si="6"/>
        <v>15140</v>
      </c>
      <c r="P11" s="5" t="s">
        <v>152</v>
      </c>
      <c r="Q11" s="155">
        <f t="shared" si="0"/>
        <v>15890</v>
      </c>
      <c r="R11" s="155">
        <f t="shared" si="1"/>
        <v>6038.2</v>
      </c>
      <c r="S11" s="155">
        <f t="shared" si="7"/>
        <v>3893.0499999999997</v>
      </c>
      <c r="T11" s="165">
        <f t="shared" si="8"/>
        <v>823.10200000000009</v>
      </c>
    </row>
    <row r="12" spans="2:20" x14ac:dyDescent="0.2">
      <c r="B12" s="5" t="s">
        <v>153</v>
      </c>
      <c r="C12" s="2">
        <f t="shared" si="9"/>
        <v>5</v>
      </c>
      <c r="D12" s="2">
        <f>D11</f>
        <v>5</v>
      </c>
      <c r="E12" s="3">
        <f t="shared" si="2"/>
        <v>25</v>
      </c>
      <c r="F12" s="154">
        <f t="shared" si="3"/>
        <v>750</v>
      </c>
      <c r="H12" s="5" t="s">
        <v>153</v>
      </c>
      <c r="I12" s="2">
        <f t="shared" si="10"/>
        <v>159</v>
      </c>
      <c r="J12" s="2">
        <f>J11</f>
        <v>4</v>
      </c>
      <c r="K12" s="3">
        <f t="shared" si="4"/>
        <v>636</v>
      </c>
      <c r="L12" s="3">
        <f t="shared" si="5"/>
        <v>19080</v>
      </c>
      <c r="M12" s="152">
        <f t="shared" si="11"/>
        <v>3940</v>
      </c>
      <c r="N12" s="154">
        <f>L12-M12</f>
        <v>15140</v>
      </c>
      <c r="P12" s="5" t="s">
        <v>153</v>
      </c>
      <c r="Q12" s="155">
        <f t="shared" si="0"/>
        <v>15890</v>
      </c>
      <c r="R12" s="155">
        <f t="shared" si="1"/>
        <v>6038.2</v>
      </c>
      <c r="S12" s="155">
        <f t="shared" si="7"/>
        <v>3893.0499999999997</v>
      </c>
      <c r="T12" s="165">
        <f t="shared" si="8"/>
        <v>823.10200000000009</v>
      </c>
    </row>
    <row r="13" spans="2:20" x14ac:dyDescent="0.2">
      <c r="B13" s="5" t="s">
        <v>154</v>
      </c>
      <c r="C13" s="2">
        <f t="shared" si="9"/>
        <v>5</v>
      </c>
      <c r="D13" s="2">
        <f>D12</f>
        <v>5</v>
      </c>
      <c r="E13" s="3">
        <f t="shared" si="2"/>
        <v>25</v>
      </c>
      <c r="F13" s="154">
        <f t="shared" si="3"/>
        <v>750</v>
      </c>
      <c r="H13" s="5" t="s">
        <v>154</v>
      </c>
      <c r="I13" s="2">
        <f t="shared" si="10"/>
        <v>159</v>
      </c>
      <c r="J13" s="2">
        <f>J12</f>
        <v>4</v>
      </c>
      <c r="K13" s="3">
        <f t="shared" si="4"/>
        <v>636</v>
      </c>
      <c r="L13" s="3">
        <f t="shared" si="5"/>
        <v>19080</v>
      </c>
      <c r="M13" s="152">
        <f t="shared" si="11"/>
        <v>3940</v>
      </c>
      <c r="N13" s="154">
        <f>L13-M13</f>
        <v>15140</v>
      </c>
      <c r="P13" s="5" t="s">
        <v>154</v>
      </c>
      <c r="Q13" s="155">
        <f t="shared" si="0"/>
        <v>15890</v>
      </c>
      <c r="R13" s="155">
        <f t="shared" si="1"/>
        <v>6038.2</v>
      </c>
      <c r="S13" s="155">
        <f t="shared" si="7"/>
        <v>3893.0499999999997</v>
      </c>
      <c r="T13" s="165">
        <f t="shared" si="8"/>
        <v>823.10200000000009</v>
      </c>
    </row>
    <row r="14" spans="2:20" x14ac:dyDescent="0.2">
      <c r="B14" s="5" t="s">
        <v>155</v>
      </c>
      <c r="C14" s="2">
        <f t="shared" si="9"/>
        <v>5</v>
      </c>
      <c r="D14" s="2">
        <f>D13</f>
        <v>5</v>
      </c>
      <c r="E14" s="3">
        <f t="shared" si="2"/>
        <v>25</v>
      </c>
      <c r="F14" s="154">
        <f t="shared" si="3"/>
        <v>750</v>
      </c>
      <c r="H14" s="5" t="s">
        <v>155</v>
      </c>
      <c r="I14" s="2">
        <f t="shared" si="10"/>
        <v>159</v>
      </c>
      <c r="J14" s="2">
        <f>J13</f>
        <v>4</v>
      </c>
      <c r="K14" s="3">
        <f t="shared" si="4"/>
        <v>636</v>
      </c>
      <c r="L14" s="3">
        <f t="shared" si="5"/>
        <v>19080</v>
      </c>
      <c r="M14" s="152">
        <f t="shared" si="11"/>
        <v>3940</v>
      </c>
      <c r="N14" s="154">
        <f>L14-M14</f>
        <v>15140</v>
      </c>
      <c r="P14" s="5" t="s">
        <v>155</v>
      </c>
      <c r="Q14" s="155">
        <f t="shared" si="0"/>
        <v>15890</v>
      </c>
      <c r="R14" s="155">
        <f t="shared" si="1"/>
        <v>6038.2</v>
      </c>
      <c r="S14" s="155">
        <f t="shared" si="7"/>
        <v>3893.0499999999997</v>
      </c>
      <c r="T14" s="165">
        <f t="shared" si="8"/>
        <v>823.10200000000009</v>
      </c>
    </row>
    <row r="15" spans="2:20" x14ac:dyDescent="0.2">
      <c r="B15" s="5" t="s">
        <v>156</v>
      </c>
      <c r="C15" s="2">
        <f t="shared" si="9"/>
        <v>5</v>
      </c>
      <c r="D15" s="2">
        <f>D14</f>
        <v>5</v>
      </c>
      <c r="E15" s="3">
        <f t="shared" si="2"/>
        <v>25</v>
      </c>
      <c r="F15" s="154">
        <f t="shared" si="3"/>
        <v>750</v>
      </c>
      <c r="H15" s="5" t="s">
        <v>156</v>
      </c>
      <c r="I15" s="2">
        <f t="shared" si="10"/>
        <v>159</v>
      </c>
      <c r="J15" s="2">
        <f>J14</f>
        <v>4</v>
      </c>
      <c r="K15" s="3">
        <f t="shared" si="4"/>
        <v>636</v>
      </c>
      <c r="L15" s="3">
        <f t="shared" si="5"/>
        <v>19080</v>
      </c>
      <c r="M15" s="152">
        <f t="shared" si="11"/>
        <v>3940</v>
      </c>
      <c r="N15" s="154">
        <f>L15-M15</f>
        <v>15140</v>
      </c>
      <c r="P15" s="5" t="s">
        <v>156</v>
      </c>
      <c r="Q15" s="155">
        <f t="shared" si="0"/>
        <v>15890</v>
      </c>
      <c r="R15" s="155">
        <f t="shared" si="1"/>
        <v>6038.2</v>
      </c>
      <c r="S15" s="155">
        <f t="shared" si="7"/>
        <v>3893.0499999999997</v>
      </c>
      <c r="T15" s="165">
        <f t="shared" si="8"/>
        <v>823.10200000000009</v>
      </c>
    </row>
    <row r="16" spans="2:20" ht="13.5" thickBot="1" x14ac:dyDescent="0.25">
      <c r="B16" s="238" t="s">
        <v>157</v>
      </c>
      <c r="C16" s="318">
        <f t="shared" si="9"/>
        <v>5</v>
      </c>
      <c r="D16" s="318">
        <f>D15</f>
        <v>5</v>
      </c>
      <c r="E16" s="319">
        <f t="shared" si="2"/>
        <v>25</v>
      </c>
      <c r="F16" s="509">
        <f t="shared" si="3"/>
        <v>750</v>
      </c>
      <c r="H16" s="6" t="s">
        <v>157</v>
      </c>
      <c r="I16" s="394">
        <f t="shared" si="10"/>
        <v>159</v>
      </c>
      <c r="J16" s="394">
        <f>J15</f>
        <v>4</v>
      </c>
      <c r="K16" s="4">
        <f t="shared" si="4"/>
        <v>636</v>
      </c>
      <c r="L16" s="4">
        <f t="shared" si="5"/>
        <v>19080</v>
      </c>
      <c r="M16" s="395">
        <f>L16*$J$18</f>
        <v>3940</v>
      </c>
      <c r="N16" s="556">
        <f>L16-M16</f>
        <v>15140</v>
      </c>
      <c r="P16" s="6" t="s">
        <v>157</v>
      </c>
      <c r="Q16" s="155">
        <f t="shared" si="0"/>
        <v>15890</v>
      </c>
      <c r="R16" s="155">
        <f t="shared" si="1"/>
        <v>6038.2</v>
      </c>
      <c r="S16" s="155">
        <f t="shared" si="7"/>
        <v>3893.0499999999997</v>
      </c>
      <c r="T16" s="165">
        <f t="shared" si="8"/>
        <v>823.10200000000009</v>
      </c>
    </row>
    <row r="17" spans="2:22" ht="13.5" thickBot="1" x14ac:dyDescent="0.25">
      <c r="B17" s="314" t="s">
        <v>1</v>
      </c>
      <c r="C17" s="315"/>
      <c r="D17" s="315"/>
      <c r="E17" s="315">
        <f>SUM(E5:E16)</f>
        <v>360</v>
      </c>
      <c r="F17" s="315">
        <f>SUM(F5:F16)</f>
        <v>10800</v>
      </c>
      <c r="H17" s="145" t="s">
        <v>1</v>
      </c>
      <c r="I17" s="129"/>
      <c r="J17" s="129"/>
      <c r="K17" s="129">
        <f>SUM(K5:K16)</f>
        <v>9540</v>
      </c>
      <c r="L17" s="129">
        <f>SUM(L5:L16)</f>
        <v>286200</v>
      </c>
      <c r="M17" s="107">
        <f>SUM(M5:M16)</f>
        <v>59100</v>
      </c>
      <c r="N17" s="109">
        <f>SUM(N5:N16)</f>
        <v>227100</v>
      </c>
      <c r="P17" s="145" t="s">
        <v>160</v>
      </c>
      <c r="Q17" s="107">
        <f>SUM(Q5:Q16)</f>
        <v>237900</v>
      </c>
      <c r="R17" s="107">
        <f>SUM(R5:R16)</f>
        <v>90401.999999999985</v>
      </c>
      <c r="S17" s="107">
        <f>SUM(S5:S16)</f>
        <v>58285.500000000015</v>
      </c>
      <c r="T17" s="109">
        <f>SUM(T5:T16)</f>
        <v>12323.220000000005</v>
      </c>
      <c r="V17" s="36"/>
    </row>
    <row r="18" spans="2:22" s="21" customFormat="1" ht="13.5" thickBot="1" x14ac:dyDescent="0.25">
      <c r="B18" s="533" t="s">
        <v>162</v>
      </c>
      <c r="C18" s="534"/>
      <c r="D18" s="534"/>
      <c r="E18" s="534"/>
      <c r="F18" s="534"/>
      <c r="H18" s="535" t="s">
        <v>394</v>
      </c>
      <c r="I18" s="534"/>
      <c r="J18" s="536">
        <f>197/K7</f>
        <v>0.20649895178197064</v>
      </c>
      <c r="K18" s="534"/>
      <c r="L18" s="534"/>
      <c r="M18" s="534"/>
      <c r="N18" s="534"/>
      <c r="P18" s="534"/>
      <c r="Q18" s="534"/>
      <c r="R18" s="537"/>
      <c r="S18" s="537"/>
      <c r="T18" s="537"/>
    </row>
    <row r="19" spans="2:22" s="21" customFormat="1" ht="13.5" thickBot="1" x14ac:dyDescent="0.25">
      <c r="B19" s="533"/>
      <c r="C19" s="533"/>
      <c r="D19" s="533"/>
      <c r="E19" s="533"/>
      <c r="F19" s="533"/>
      <c r="H19" s="533" t="s">
        <v>162</v>
      </c>
      <c r="I19" s="533"/>
      <c r="J19" s="533"/>
      <c r="K19" s="533"/>
      <c r="L19" s="533"/>
      <c r="M19" s="533"/>
      <c r="N19" s="533"/>
      <c r="P19" s="653" t="s">
        <v>299</v>
      </c>
      <c r="Q19" s="654"/>
      <c r="R19" s="320" t="s">
        <v>295</v>
      </c>
      <c r="S19" s="321" t="s">
        <v>300</v>
      </c>
      <c r="T19" s="533"/>
    </row>
    <row r="20" spans="2:22" s="21" customFormat="1" x14ac:dyDescent="0.2">
      <c r="P20" s="655" t="s">
        <v>296</v>
      </c>
      <c r="Q20" s="656"/>
      <c r="R20" s="308">
        <v>1</v>
      </c>
      <c r="S20" s="309">
        <v>0.38</v>
      </c>
      <c r="T20" s="533"/>
    </row>
    <row r="21" spans="2:22" s="21" customFormat="1" x14ac:dyDescent="0.2">
      <c r="P21" s="657" t="s">
        <v>297</v>
      </c>
      <c r="Q21" s="658"/>
      <c r="R21" s="310">
        <v>0.98</v>
      </c>
      <c r="S21" s="311">
        <v>0.25</v>
      </c>
      <c r="T21" s="533"/>
    </row>
    <row r="22" spans="2:22" ht="13.5" thickBot="1" x14ac:dyDescent="0.25">
      <c r="P22" s="659" t="s">
        <v>298</v>
      </c>
      <c r="Q22" s="660"/>
      <c r="R22" s="265">
        <v>0.14000000000000001</v>
      </c>
      <c r="S22" s="188">
        <v>0.37</v>
      </c>
      <c r="T22" s="533"/>
    </row>
    <row r="23" spans="2:22" ht="13.5" thickBot="1" x14ac:dyDescent="0.25">
      <c r="P23" s="540"/>
      <c r="Q23" s="540"/>
      <c r="R23" s="541"/>
      <c r="S23" s="541"/>
      <c r="T23" s="533"/>
    </row>
    <row r="24" spans="2:22" ht="13.5" thickBot="1" x14ac:dyDescent="0.25">
      <c r="B24" s="614" t="s">
        <v>441</v>
      </c>
      <c r="C24" s="615"/>
      <c r="D24" s="615"/>
      <c r="E24" s="615"/>
      <c r="F24" s="616"/>
      <c r="H24" s="644" t="s">
        <v>442</v>
      </c>
      <c r="I24" s="645"/>
      <c r="J24" s="645"/>
      <c r="K24" s="645"/>
      <c r="L24" s="645"/>
      <c r="M24" s="645"/>
      <c r="N24" s="646"/>
      <c r="P24" s="644" t="s">
        <v>445</v>
      </c>
      <c r="Q24" s="645"/>
      <c r="R24" s="645"/>
      <c r="S24" s="645"/>
      <c r="T24" s="646"/>
    </row>
    <row r="25" spans="2:22" ht="13.5" thickBot="1" x14ac:dyDescent="0.25">
      <c r="P25" s="14"/>
    </row>
    <row r="26" spans="2:22" ht="42.75" customHeight="1" thickBot="1" x14ac:dyDescent="0.25">
      <c r="B26" s="312" t="s">
        <v>209</v>
      </c>
      <c r="C26" s="313" t="s">
        <v>326</v>
      </c>
      <c r="D26" s="313" t="s">
        <v>400</v>
      </c>
      <c r="E26" s="313" t="s">
        <v>399</v>
      </c>
      <c r="F26" s="313" t="s">
        <v>401</v>
      </c>
      <c r="H26" s="312" t="s">
        <v>209</v>
      </c>
      <c r="I26" s="313" t="s">
        <v>402</v>
      </c>
      <c r="J26" s="313" t="s">
        <v>400</v>
      </c>
      <c r="K26" s="313" t="s">
        <v>399</v>
      </c>
      <c r="L26" s="313" t="s">
        <v>406</v>
      </c>
      <c r="M26" s="313" t="s">
        <v>407</v>
      </c>
      <c r="N26" s="313" t="s">
        <v>405</v>
      </c>
      <c r="P26" s="174" t="s">
        <v>209</v>
      </c>
      <c r="Q26" s="97" t="s">
        <v>408</v>
      </c>
      <c r="R26" s="97" t="s">
        <v>409</v>
      </c>
      <c r="S26" s="97" t="s">
        <v>410</v>
      </c>
      <c r="T26" s="175" t="s">
        <v>301</v>
      </c>
    </row>
    <row r="27" spans="2:22" x14ac:dyDescent="0.2">
      <c r="B27" s="181" t="s">
        <v>146</v>
      </c>
      <c r="C27" s="316">
        <v>24</v>
      </c>
      <c r="D27" s="316">
        <v>7</v>
      </c>
      <c r="E27" s="317">
        <f>C27*D27</f>
        <v>168</v>
      </c>
      <c r="F27" s="182">
        <f>E27*30</f>
        <v>5040</v>
      </c>
      <c r="H27" s="181" t="s">
        <v>146</v>
      </c>
      <c r="I27" s="392">
        <v>159</v>
      </c>
      <c r="J27" s="316">
        <v>6</v>
      </c>
      <c r="K27" s="182">
        <f>I27*J27</f>
        <v>954</v>
      </c>
      <c r="L27" s="182">
        <f>K27*30</f>
        <v>28620</v>
      </c>
      <c r="M27" s="182">
        <f>L27*$J$40</f>
        <v>5910</v>
      </c>
      <c r="N27" s="182">
        <f>L27-M27</f>
        <v>22710</v>
      </c>
      <c r="P27" s="164" t="s">
        <v>146</v>
      </c>
      <c r="Q27" s="155">
        <f t="shared" ref="Q27:Q38" si="12">N27+F27</f>
        <v>27750</v>
      </c>
      <c r="R27" s="497">
        <f>Q27*$R$42*$S$42</f>
        <v>10545</v>
      </c>
      <c r="S27" s="497">
        <f>Q27*$R$43*$S$43</f>
        <v>6798.75</v>
      </c>
      <c r="T27" s="498">
        <f>Q27*$R$44*$S$44</f>
        <v>1437.45</v>
      </c>
    </row>
    <row r="28" spans="2:22" x14ac:dyDescent="0.2">
      <c r="B28" s="5" t="s">
        <v>147</v>
      </c>
      <c r="C28" s="2">
        <f>$C$27</f>
        <v>24</v>
      </c>
      <c r="D28" s="2">
        <f>D27</f>
        <v>7</v>
      </c>
      <c r="E28" s="3">
        <f>C28*D28</f>
        <v>168</v>
      </c>
      <c r="F28" s="152">
        <f t="shared" ref="F28:F38" si="13">E28*30</f>
        <v>5040</v>
      </c>
      <c r="H28" s="5" t="s">
        <v>147</v>
      </c>
      <c r="I28" s="393">
        <f>I27</f>
        <v>159</v>
      </c>
      <c r="J28" s="2">
        <f>J$27</f>
        <v>6</v>
      </c>
      <c r="K28" s="152">
        <f>I28*J28</f>
        <v>954</v>
      </c>
      <c r="L28" s="152">
        <f t="shared" ref="L28:L38" si="14">K28*30</f>
        <v>28620</v>
      </c>
      <c r="M28" s="152">
        <f>L28*$J$40</f>
        <v>5910</v>
      </c>
      <c r="N28" s="152">
        <f t="shared" ref="N28:N33" si="15">L28-M28</f>
        <v>22710</v>
      </c>
      <c r="P28" s="5" t="s">
        <v>147</v>
      </c>
      <c r="Q28" s="155">
        <f t="shared" si="12"/>
        <v>27750</v>
      </c>
      <c r="R28" s="497">
        <f>Q28*$R$42*$S$42</f>
        <v>10545</v>
      </c>
      <c r="S28" s="497">
        <f t="shared" ref="S28:S38" si="16">Q28*$R$43*$S$43</f>
        <v>6798.75</v>
      </c>
      <c r="T28" s="498">
        <f t="shared" ref="T28:T38" si="17">Q28*$R$44*$S$44</f>
        <v>1437.45</v>
      </c>
    </row>
    <row r="29" spans="2:22" x14ac:dyDescent="0.2">
      <c r="B29" s="5" t="s">
        <v>148</v>
      </c>
      <c r="C29" s="2">
        <f t="shared" ref="C29:C38" si="18">$C$27</f>
        <v>24</v>
      </c>
      <c r="D29" s="2">
        <f>D28</f>
        <v>7</v>
      </c>
      <c r="E29" s="3">
        <f t="shared" ref="E29:E37" si="19">C29*D29</f>
        <v>168</v>
      </c>
      <c r="F29" s="152">
        <f t="shared" si="13"/>
        <v>5040</v>
      </c>
      <c r="H29" s="5" t="s">
        <v>148</v>
      </c>
      <c r="I29" s="393">
        <f t="shared" ref="I29:I38" si="20">I28</f>
        <v>159</v>
      </c>
      <c r="J29" s="2">
        <f>J$27</f>
        <v>6</v>
      </c>
      <c r="K29" s="152">
        <f t="shared" ref="K29:K37" si="21">I29*J29</f>
        <v>954</v>
      </c>
      <c r="L29" s="152">
        <f t="shared" si="14"/>
        <v>28620</v>
      </c>
      <c r="M29" s="152">
        <f t="shared" ref="M29:M37" si="22">L29*$J$40</f>
        <v>5910</v>
      </c>
      <c r="N29" s="152">
        <f t="shared" si="15"/>
        <v>22710</v>
      </c>
      <c r="P29" s="5" t="s">
        <v>148</v>
      </c>
      <c r="Q29" s="155">
        <f t="shared" si="12"/>
        <v>27750</v>
      </c>
      <c r="R29" s="497">
        <f t="shared" ref="R29:R38" si="23">Q29*$R$42*$S$42</f>
        <v>10545</v>
      </c>
      <c r="S29" s="497">
        <f t="shared" si="16"/>
        <v>6798.75</v>
      </c>
      <c r="T29" s="498">
        <f t="shared" si="17"/>
        <v>1437.45</v>
      </c>
    </row>
    <row r="30" spans="2:22" x14ac:dyDescent="0.2">
      <c r="B30" s="5" t="s">
        <v>149</v>
      </c>
      <c r="C30" s="2">
        <f t="shared" si="18"/>
        <v>24</v>
      </c>
      <c r="D30" s="2">
        <f>D29</f>
        <v>7</v>
      </c>
      <c r="E30" s="3">
        <f t="shared" si="19"/>
        <v>168</v>
      </c>
      <c r="F30" s="152">
        <f t="shared" si="13"/>
        <v>5040</v>
      </c>
      <c r="H30" s="5" t="s">
        <v>149</v>
      </c>
      <c r="I30" s="393">
        <f t="shared" si="20"/>
        <v>159</v>
      </c>
      <c r="J30" s="2">
        <f>J$27</f>
        <v>6</v>
      </c>
      <c r="K30" s="152">
        <f t="shared" si="21"/>
        <v>954</v>
      </c>
      <c r="L30" s="152">
        <f t="shared" si="14"/>
        <v>28620</v>
      </c>
      <c r="M30" s="152">
        <f t="shared" si="22"/>
        <v>5910</v>
      </c>
      <c r="N30" s="152">
        <f t="shared" si="15"/>
        <v>22710</v>
      </c>
      <c r="P30" s="5" t="s">
        <v>149</v>
      </c>
      <c r="Q30" s="155">
        <f t="shared" si="12"/>
        <v>27750</v>
      </c>
      <c r="R30" s="497">
        <f t="shared" si="23"/>
        <v>10545</v>
      </c>
      <c r="S30" s="497">
        <f t="shared" si="16"/>
        <v>6798.75</v>
      </c>
      <c r="T30" s="498">
        <f t="shared" si="17"/>
        <v>1437.45</v>
      </c>
    </row>
    <row r="31" spans="2:22" x14ac:dyDescent="0.2">
      <c r="B31" s="5" t="s">
        <v>150</v>
      </c>
      <c r="C31" s="2">
        <f t="shared" si="18"/>
        <v>24</v>
      </c>
      <c r="D31" s="2">
        <f>D30</f>
        <v>7</v>
      </c>
      <c r="E31" s="3">
        <f t="shared" si="19"/>
        <v>168</v>
      </c>
      <c r="F31" s="152">
        <f t="shared" si="13"/>
        <v>5040</v>
      </c>
      <c r="H31" s="5" t="s">
        <v>150</v>
      </c>
      <c r="I31" s="393">
        <f t="shared" si="20"/>
        <v>159</v>
      </c>
      <c r="J31" s="2">
        <f>J$27</f>
        <v>6</v>
      </c>
      <c r="K31" s="152">
        <f t="shared" si="21"/>
        <v>954</v>
      </c>
      <c r="L31" s="152">
        <f t="shared" si="14"/>
        <v>28620</v>
      </c>
      <c r="M31" s="152">
        <f t="shared" si="22"/>
        <v>5910</v>
      </c>
      <c r="N31" s="152">
        <f t="shared" si="15"/>
        <v>22710</v>
      </c>
      <c r="P31" s="5" t="s">
        <v>150</v>
      </c>
      <c r="Q31" s="155">
        <f t="shared" si="12"/>
        <v>27750</v>
      </c>
      <c r="R31" s="497">
        <f t="shared" si="23"/>
        <v>10545</v>
      </c>
      <c r="S31" s="497">
        <f t="shared" si="16"/>
        <v>6798.75</v>
      </c>
      <c r="T31" s="498">
        <f t="shared" si="17"/>
        <v>1437.45</v>
      </c>
    </row>
    <row r="32" spans="2:22" x14ac:dyDescent="0.2">
      <c r="B32" s="5" t="s">
        <v>151</v>
      </c>
      <c r="C32" s="2">
        <f t="shared" si="18"/>
        <v>24</v>
      </c>
      <c r="D32" s="2">
        <f>D31</f>
        <v>7</v>
      </c>
      <c r="E32" s="3">
        <f t="shared" si="19"/>
        <v>168</v>
      </c>
      <c r="F32" s="152">
        <f t="shared" si="13"/>
        <v>5040</v>
      </c>
      <c r="H32" s="5" t="s">
        <v>151</v>
      </c>
      <c r="I32" s="393">
        <f t="shared" si="20"/>
        <v>159</v>
      </c>
      <c r="J32" s="2">
        <f>J$27</f>
        <v>6</v>
      </c>
      <c r="K32" s="152">
        <f t="shared" si="21"/>
        <v>954</v>
      </c>
      <c r="L32" s="152">
        <f t="shared" si="14"/>
        <v>28620</v>
      </c>
      <c r="M32" s="152">
        <f t="shared" si="22"/>
        <v>5910</v>
      </c>
      <c r="N32" s="152">
        <f t="shared" si="15"/>
        <v>22710</v>
      </c>
      <c r="P32" s="5" t="s">
        <v>151</v>
      </c>
      <c r="Q32" s="155">
        <f t="shared" si="12"/>
        <v>27750</v>
      </c>
      <c r="R32" s="497">
        <f t="shared" si="23"/>
        <v>10545</v>
      </c>
      <c r="S32" s="497">
        <f t="shared" si="16"/>
        <v>6798.75</v>
      </c>
      <c r="T32" s="498">
        <f t="shared" si="17"/>
        <v>1437.45</v>
      </c>
    </row>
    <row r="33" spans="2:20" x14ac:dyDescent="0.2">
      <c r="B33" s="5" t="s">
        <v>152</v>
      </c>
      <c r="C33" s="2">
        <f t="shared" si="18"/>
        <v>24</v>
      </c>
      <c r="D33" s="2">
        <v>5</v>
      </c>
      <c r="E33" s="3">
        <f t="shared" si="19"/>
        <v>120</v>
      </c>
      <c r="F33" s="152">
        <f t="shared" si="13"/>
        <v>3600</v>
      </c>
      <c r="H33" s="5" t="s">
        <v>152</v>
      </c>
      <c r="I33" s="393">
        <f t="shared" si="20"/>
        <v>159</v>
      </c>
      <c r="J33" s="2">
        <v>4</v>
      </c>
      <c r="K33" s="152">
        <f t="shared" si="21"/>
        <v>636</v>
      </c>
      <c r="L33" s="152">
        <f t="shared" si="14"/>
        <v>19080</v>
      </c>
      <c r="M33" s="152">
        <f t="shared" si="22"/>
        <v>3940</v>
      </c>
      <c r="N33" s="152">
        <f t="shared" si="15"/>
        <v>15140</v>
      </c>
      <c r="P33" s="5" t="s">
        <v>152</v>
      </c>
      <c r="Q33" s="155">
        <f t="shared" si="12"/>
        <v>18740</v>
      </c>
      <c r="R33" s="497">
        <f t="shared" si="23"/>
        <v>7121.2</v>
      </c>
      <c r="S33" s="497">
        <f t="shared" si="16"/>
        <v>4591.3</v>
      </c>
      <c r="T33" s="498">
        <f t="shared" si="17"/>
        <v>970.73200000000008</v>
      </c>
    </row>
    <row r="34" spans="2:20" x14ac:dyDescent="0.2">
      <c r="B34" s="5" t="s">
        <v>153</v>
      </c>
      <c r="C34" s="2">
        <f t="shared" si="18"/>
        <v>24</v>
      </c>
      <c r="D34" s="2">
        <f>D33</f>
        <v>5</v>
      </c>
      <c r="E34" s="3">
        <f t="shared" si="19"/>
        <v>120</v>
      </c>
      <c r="F34" s="152">
        <f t="shared" si="13"/>
        <v>3600</v>
      </c>
      <c r="H34" s="5" t="s">
        <v>153</v>
      </c>
      <c r="I34" s="393">
        <f t="shared" si="20"/>
        <v>159</v>
      </c>
      <c r="J34" s="2">
        <f>J33</f>
        <v>4</v>
      </c>
      <c r="K34" s="152">
        <f t="shared" si="21"/>
        <v>636</v>
      </c>
      <c r="L34" s="152">
        <f t="shared" si="14"/>
        <v>19080</v>
      </c>
      <c r="M34" s="152">
        <f t="shared" si="22"/>
        <v>3940</v>
      </c>
      <c r="N34" s="152">
        <f>L34-M34</f>
        <v>15140</v>
      </c>
      <c r="P34" s="5" t="s">
        <v>153</v>
      </c>
      <c r="Q34" s="155">
        <f t="shared" si="12"/>
        <v>18740</v>
      </c>
      <c r="R34" s="497">
        <f t="shared" si="23"/>
        <v>7121.2</v>
      </c>
      <c r="S34" s="497">
        <f t="shared" si="16"/>
        <v>4591.3</v>
      </c>
      <c r="T34" s="498">
        <f t="shared" si="17"/>
        <v>970.73200000000008</v>
      </c>
    </row>
    <row r="35" spans="2:20" x14ac:dyDescent="0.2">
      <c r="B35" s="5" t="s">
        <v>154</v>
      </c>
      <c r="C35" s="2">
        <f t="shared" si="18"/>
        <v>24</v>
      </c>
      <c r="D35" s="2">
        <f>D34</f>
        <v>5</v>
      </c>
      <c r="E35" s="3">
        <f t="shared" si="19"/>
        <v>120</v>
      </c>
      <c r="F35" s="152">
        <f t="shared" si="13"/>
        <v>3600</v>
      </c>
      <c r="H35" s="5" t="s">
        <v>154</v>
      </c>
      <c r="I35" s="393">
        <f t="shared" si="20"/>
        <v>159</v>
      </c>
      <c r="J35" s="2">
        <f>J34</f>
        <v>4</v>
      </c>
      <c r="K35" s="152">
        <f t="shared" si="21"/>
        <v>636</v>
      </c>
      <c r="L35" s="152">
        <f t="shared" si="14"/>
        <v>19080</v>
      </c>
      <c r="M35" s="152">
        <f t="shared" si="22"/>
        <v>3940</v>
      </c>
      <c r="N35" s="152">
        <f>L35-M35</f>
        <v>15140</v>
      </c>
      <c r="P35" s="5" t="s">
        <v>154</v>
      </c>
      <c r="Q35" s="155">
        <f t="shared" si="12"/>
        <v>18740</v>
      </c>
      <c r="R35" s="497">
        <f t="shared" si="23"/>
        <v>7121.2</v>
      </c>
      <c r="S35" s="497">
        <f t="shared" si="16"/>
        <v>4591.3</v>
      </c>
      <c r="T35" s="498">
        <f t="shared" si="17"/>
        <v>970.73200000000008</v>
      </c>
    </row>
    <row r="36" spans="2:20" x14ac:dyDescent="0.2">
      <c r="B36" s="5" t="s">
        <v>155</v>
      </c>
      <c r="C36" s="2">
        <f t="shared" si="18"/>
        <v>24</v>
      </c>
      <c r="D36" s="2">
        <f>D35</f>
        <v>5</v>
      </c>
      <c r="E36" s="3">
        <f t="shared" si="19"/>
        <v>120</v>
      </c>
      <c r="F36" s="152">
        <f t="shared" si="13"/>
        <v>3600</v>
      </c>
      <c r="H36" s="5" t="s">
        <v>155</v>
      </c>
      <c r="I36" s="393">
        <f t="shared" si="20"/>
        <v>159</v>
      </c>
      <c r="J36" s="2">
        <f>J35</f>
        <v>4</v>
      </c>
      <c r="K36" s="152">
        <f t="shared" si="21"/>
        <v>636</v>
      </c>
      <c r="L36" s="152">
        <f t="shared" si="14"/>
        <v>19080</v>
      </c>
      <c r="M36" s="152">
        <f t="shared" si="22"/>
        <v>3940</v>
      </c>
      <c r="N36" s="152">
        <f>L36-M36</f>
        <v>15140</v>
      </c>
      <c r="P36" s="5" t="s">
        <v>155</v>
      </c>
      <c r="Q36" s="155">
        <f t="shared" si="12"/>
        <v>18740</v>
      </c>
      <c r="R36" s="497">
        <f t="shared" si="23"/>
        <v>7121.2</v>
      </c>
      <c r="S36" s="497">
        <f t="shared" si="16"/>
        <v>4591.3</v>
      </c>
      <c r="T36" s="498">
        <f t="shared" si="17"/>
        <v>970.73200000000008</v>
      </c>
    </row>
    <row r="37" spans="2:20" x14ac:dyDescent="0.2">
      <c r="B37" s="5" t="s">
        <v>156</v>
      </c>
      <c r="C37" s="2">
        <f t="shared" si="18"/>
        <v>24</v>
      </c>
      <c r="D37" s="2">
        <f>D36</f>
        <v>5</v>
      </c>
      <c r="E37" s="3">
        <f t="shared" si="19"/>
        <v>120</v>
      </c>
      <c r="F37" s="152">
        <f t="shared" si="13"/>
        <v>3600</v>
      </c>
      <c r="H37" s="5" t="s">
        <v>156</v>
      </c>
      <c r="I37" s="393">
        <f t="shared" si="20"/>
        <v>159</v>
      </c>
      <c r="J37" s="2">
        <f>J36</f>
        <v>4</v>
      </c>
      <c r="K37" s="152">
        <f t="shared" si="21"/>
        <v>636</v>
      </c>
      <c r="L37" s="152">
        <f t="shared" si="14"/>
        <v>19080</v>
      </c>
      <c r="M37" s="152">
        <f t="shared" si="22"/>
        <v>3940</v>
      </c>
      <c r="N37" s="152">
        <f>L37-M37</f>
        <v>15140</v>
      </c>
      <c r="P37" s="5" t="s">
        <v>156</v>
      </c>
      <c r="Q37" s="155">
        <f t="shared" si="12"/>
        <v>18740</v>
      </c>
      <c r="R37" s="497">
        <f t="shared" si="23"/>
        <v>7121.2</v>
      </c>
      <c r="S37" s="497">
        <f t="shared" si="16"/>
        <v>4591.3</v>
      </c>
      <c r="T37" s="498">
        <f t="shared" si="17"/>
        <v>970.73200000000008</v>
      </c>
    </row>
    <row r="38" spans="2:20" ht="13.5" thickBot="1" x14ac:dyDescent="0.25">
      <c r="B38" s="238" t="s">
        <v>157</v>
      </c>
      <c r="C38" s="2">
        <f t="shared" si="18"/>
        <v>24</v>
      </c>
      <c r="D38" s="318">
        <f>D37</f>
        <v>5</v>
      </c>
      <c r="E38" s="319">
        <f>C38*D38</f>
        <v>120</v>
      </c>
      <c r="F38" s="187">
        <f t="shared" si="13"/>
        <v>3600</v>
      </c>
      <c r="H38" s="238" t="s">
        <v>157</v>
      </c>
      <c r="I38" s="393">
        <f t="shared" si="20"/>
        <v>159</v>
      </c>
      <c r="J38" s="318">
        <f>J37</f>
        <v>4</v>
      </c>
      <c r="K38" s="187">
        <f>I38*J38</f>
        <v>636</v>
      </c>
      <c r="L38" s="187">
        <f t="shared" si="14"/>
        <v>19080</v>
      </c>
      <c r="M38" s="187">
        <f>L38*J40</f>
        <v>3940</v>
      </c>
      <c r="N38" s="187">
        <f>L38-M38</f>
        <v>15140</v>
      </c>
      <c r="P38" s="6" t="s">
        <v>157</v>
      </c>
      <c r="Q38" s="155">
        <f t="shared" si="12"/>
        <v>18740</v>
      </c>
      <c r="R38" s="497">
        <f t="shared" si="23"/>
        <v>7121.2</v>
      </c>
      <c r="S38" s="497">
        <f t="shared" si="16"/>
        <v>4591.3</v>
      </c>
      <c r="T38" s="498">
        <f t="shared" si="17"/>
        <v>970.73200000000008</v>
      </c>
    </row>
    <row r="39" spans="2:20" ht="13.5" thickBot="1" x14ac:dyDescent="0.25">
      <c r="B39" s="145" t="s">
        <v>1</v>
      </c>
      <c r="C39" s="129"/>
      <c r="D39" s="129"/>
      <c r="E39" s="129">
        <f>SUM(E27:E38)</f>
        <v>1728</v>
      </c>
      <c r="F39" s="129">
        <f>SUM(F27:F38)</f>
        <v>51840</v>
      </c>
      <c r="H39" s="145" t="s">
        <v>1</v>
      </c>
      <c r="I39" s="129"/>
      <c r="J39" s="129"/>
      <c r="K39" s="107">
        <f>SUM(K27:K38)</f>
        <v>9540</v>
      </c>
      <c r="L39" s="107">
        <f>SUM(L27:L38)</f>
        <v>286200</v>
      </c>
      <c r="M39" s="107">
        <f>SUM(M27:M38)</f>
        <v>59100</v>
      </c>
      <c r="N39" s="107">
        <f>SUM(N27:N38)</f>
        <v>227100</v>
      </c>
      <c r="P39" s="145" t="s">
        <v>160</v>
      </c>
      <c r="Q39" s="107">
        <f>SUM(Q27:Q38)</f>
        <v>278940</v>
      </c>
      <c r="R39" s="162">
        <f>SUM(R27:R38)</f>
        <v>105997.19999999998</v>
      </c>
      <c r="S39" s="162">
        <f>SUM(S27:S38)</f>
        <v>68340.300000000017</v>
      </c>
      <c r="T39" s="166">
        <f>SUM(T27:T38)</f>
        <v>14449.092000000001</v>
      </c>
    </row>
    <row r="40" spans="2:20" s="21" customFormat="1" ht="13.5" thickBot="1" x14ac:dyDescent="0.25">
      <c r="B40" s="533" t="s">
        <v>395</v>
      </c>
      <c r="C40" s="534"/>
      <c r="D40" s="534"/>
      <c r="E40" s="534"/>
      <c r="F40" s="534"/>
      <c r="H40" s="535" t="s">
        <v>394</v>
      </c>
      <c r="I40" s="534"/>
      <c r="J40" s="536">
        <f>197/K27</f>
        <v>0.20649895178197064</v>
      </c>
      <c r="K40" s="534"/>
      <c r="L40" s="534"/>
      <c r="M40" s="534"/>
      <c r="N40" s="534"/>
      <c r="P40" s="534"/>
      <c r="Q40" s="534"/>
      <c r="R40" s="537"/>
      <c r="S40" s="537"/>
      <c r="T40" s="537"/>
    </row>
    <row r="41" spans="2:20" s="21" customFormat="1" ht="13.5" thickBot="1" x14ac:dyDescent="0.25">
      <c r="B41" s="533"/>
      <c r="C41" s="533"/>
      <c r="D41" s="533"/>
      <c r="E41" s="533"/>
      <c r="F41" s="533"/>
      <c r="H41" s="533" t="s">
        <v>162</v>
      </c>
      <c r="I41" s="533"/>
      <c r="J41" s="533"/>
      <c r="K41" s="533"/>
      <c r="L41" s="533"/>
      <c r="M41" s="533"/>
      <c r="N41" s="533"/>
      <c r="P41" s="653" t="s">
        <v>299</v>
      </c>
      <c r="Q41" s="654"/>
      <c r="R41" s="320" t="s">
        <v>295</v>
      </c>
      <c r="S41" s="321" t="s">
        <v>300</v>
      </c>
      <c r="T41" s="533"/>
    </row>
    <row r="42" spans="2:20" s="21" customFormat="1" x14ac:dyDescent="0.2">
      <c r="B42" s="533"/>
      <c r="C42" s="533"/>
      <c r="D42" s="533"/>
      <c r="E42" s="533"/>
      <c r="F42" s="533"/>
      <c r="H42" s="533"/>
      <c r="I42" s="533"/>
      <c r="J42" s="533"/>
      <c r="K42" s="533"/>
      <c r="L42" s="533"/>
      <c r="M42" s="533"/>
      <c r="N42" s="533"/>
      <c r="P42" s="655" t="s">
        <v>296</v>
      </c>
      <c r="Q42" s="656"/>
      <c r="R42" s="308">
        <v>1</v>
      </c>
      <c r="S42" s="309">
        <v>0.38</v>
      </c>
      <c r="T42" s="533"/>
    </row>
    <row r="43" spans="2:20" s="21" customFormat="1" x14ac:dyDescent="0.2">
      <c r="P43" s="657" t="s">
        <v>297</v>
      </c>
      <c r="Q43" s="658"/>
      <c r="R43" s="310">
        <v>0.98</v>
      </c>
      <c r="S43" s="311">
        <v>0.25</v>
      </c>
      <c r="T43" s="533"/>
    </row>
    <row r="44" spans="2:20" ht="13.5" thickBot="1" x14ac:dyDescent="0.25">
      <c r="P44" s="659" t="s">
        <v>298</v>
      </c>
      <c r="Q44" s="660"/>
      <c r="R44" s="265">
        <v>0.14000000000000001</v>
      </c>
      <c r="S44" s="188">
        <v>0.37</v>
      </c>
      <c r="T44" s="533"/>
    </row>
    <row r="45" spans="2:20" ht="13.5" thickBot="1" x14ac:dyDescent="0.25">
      <c r="P45" s="540"/>
      <c r="Q45" s="540"/>
      <c r="R45" s="541"/>
      <c r="S45" s="533"/>
      <c r="T45" s="533"/>
    </row>
    <row r="46" spans="2:20" ht="13.5" thickBot="1" x14ac:dyDescent="0.25">
      <c r="B46" s="647" t="s">
        <v>443</v>
      </c>
      <c r="C46" s="648"/>
      <c r="D46" s="648"/>
      <c r="E46" s="648"/>
      <c r="F46" s="649"/>
      <c r="P46" s="650" t="s">
        <v>446</v>
      </c>
      <c r="Q46" s="651"/>
      <c r="R46" s="651"/>
      <c r="S46" s="652"/>
      <c r="T46" s="1"/>
    </row>
    <row r="47" spans="2:20" ht="13.5" thickBot="1" x14ac:dyDescent="0.25">
      <c r="P47" s="14"/>
    </row>
    <row r="48" spans="2:20" ht="42" customHeight="1" thickBot="1" x14ac:dyDescent="0.25">
      <c r="B48" s="312" t="s">
        <v>209</v>
      </c>
      <c r="C48" s="313" t="s">
        <v>326</v>
      </c>
      <c r="D48" s="313" t="s">
        <v>398</v>
      </c>
      <c r="E48" s="313" t="s">
        <v>396</v>
      </c>
      <c r="F48" s="522" t="s">
        <v>397</v>
      </c>
      <c r="P48" s="174" t="s">
        <v>209</v>
      </c>
      <c r="Q48" s="97" t="s">
        <v>158</v>
      </c>
      <c r="R48" s="175" t="s">
        <v>302</v>
      </c>
      <c r="S48" s="544"/>
      <c r="T48" s="544"/>
    </row>
    <row r="49" spans="2:20" x14ac:dyDescent="0.2">
      <c r="B49" s="181" t="s">
        <v>146</v>
      </c>
      <c r="C49" s="316">
        <v>5</v>
      </c>
      <c r="D49" s="316">
        <v>7</v>
      </c>
      <c r="E49" s="317">
        <f>C49*D49</f>
        <v>35</v>
      </c>
      <c r="F49" s="508">
        <f>E49*30</f>
        <v>1050</v>
      </c>
      <c r="P49" s="164" t="s">
        <v>146</v>
      </c>
      <c r="Q49" s="155">
        <f>F49</f>
        <v>1050</v>
      </c>
      <c r="R49" s="165">
        <f>Q49*$R$64*$S$64</f>
        <v>1050</v>
      </c>
      <c r="S49" s="545"/>
      <c r="T49" s="545"/>
    </row>
    <row r="50" spans="2:20" x14ac:dyDescent="0.2">
      <c r="B50" s="5" t="s">
        <v>147</v>
      </c>
      <c r="C50" s="2">
        <f>$C$49</f>
        <v>5</v>
      </c>
      <c r="D50" s="2">
        <f>D49</f>
        <v>7</v>
      </c>
      <c r="E50" s="3">
        <f>C50*D50</f>
        <v>35</v>
      </c>
      <c r="F50" s="154">
        <f t="shared" ref="F50:F60" si="24">E50*30</f>
        <v>1050</v>
      </c>
      <c r="P50" s="5" t="s">
        <v>147</v>
      </c>
      <c r="Q50" s="155">
        <f t="shared" ref="Q50:Q60" si="25">F50</f>
        <v>1050</v>
      </c>
      <c r="R50" s="165">
        <f t="shared" ref="R50:R60" si="26">Q50*$R$64*$S$64</f>
        <v>1050</v>
      </c>
      <c r="S50" s="545"/>
      <c r="T50" s="545"/>
    </row>
    <row r="51" spans="2:20" x14ac:dyDescent="0.2">
      <c r="B51" s="5" t="s">
        <v>148</v>
      </c>
      <c r="C51" s="2">
        <f t="shared" ref="C51:C59" si="27">$C$49</f>
        <v>5</v>
      </c>
      <c r="D51" s="2">
        <f>D50</f>
        <v>7</v>
      </c>
      <c r="E51" s="3">
        <f t="shared" ref="E51:E59" si="28">C51*D51</f>
        <v>35</v>
      </c>
      <c r="F51" s="154">
        <f t="shared" si="24"/>
        <v>1050</v>
      </c>
      <c r="P51" s="5" t="s">
        <v>148</v>
      </c>
      <c r="Q51" s="155">
        <f t="shared" si="25"/>
        <v>1050</v>
      </c>
      <c r="R51" s="165">
        <f t="shared" si="26"/>
        <v>1050</v>
      </c>
      <c r="S51" s="545"/>
      <c r="T51" s="545"/>
    </row>
    <row r="52" spans="2:20" x14ac:dyDescent="0.2">
      <c r="B52" s="5" t="s">
        <v>149</v>
      </c>
      <c r="C52" s="2">
        <f t="shared" si="27"/>
        <v>5</v>
      </c>
      <c r="D52" s="2">
        <f>D51</f>
        <v>7</v>
      </c>
      <c r="E52" s="3">
        <f t="shared" si="28"/>
        <v>35</v>
      </c>
      <c r="F52" s="154">
        <f t="shared" si="24"/>
        <v>1050</v>
      </c>
      <c r="P52" s="5" t="s">
        <v>149</v>
      </c>
      <c r="Q52" s="155">
        <f t="shared" si="25"/>
        <v>1050</v>
      </c>
      <c r="R52" s="165">
        <f t="shared" si="26"/>
        <v>1050</v>
      </c>
      <c r="S52" s="545"/>
      <c r="T52" s="545"/>
    </row>
    <row r="53" spans="2:20" x14ac:dyDescent="0.2">
      <c r="B53" s="5" t="s">
        <v>150</v>
      </c>
      <c r="C53" s="2">
        <f t="shared" si="27"/>
        <v>5</v>
      </c>
      <c r="D53" s="2">
        <f>D52</f>
        <v>7</v>
      </c>
      <c r="E53" s="3">
        <f t="shared" si="28"/>
        <v>35</v>
      </c>
      <c r="F53" s="154">
        <f t="shared" si="24"/>
        <v>1050</v>
      </c>
      <c r="P53" s="5" t="s">
        <v>150</v>
      </c>
      <c r="Q53" s="155">
        <f t="shared" si="25"/>
        <v>1050</v>
      </c>
      <c r="R53" s="165">
        <f t="shared" si="26"/>
        <v>1050</v>
      </c>
      <c r="S53" s="545"/>
      <c r="T53" s="545"/>
    </row>
    <row r="54" spans="2:20" x14ac:dyDescent="0.2">
      <c r="B54" s="5" t="s">
        <v>151</v>
      </c>
      <c r="C54" s="2">
        <f t="shared" si="27"/>
        <v>5</v>
      </c>
      <c r="D54" s="2">
        <f>D53</f>
        <v>7</v>
      </c>
      <c r="E54" s="3">
        <f t="shared" si="28"/>
        <v>35</v>
      </c>
      <c r="F54" s="154">
        <f t="shared" si="24"/>
        <v>1050</v>
      </c>
      <c r="P54" s="5" t="s">
        <v>151</v>
      </c>
      <c r="Q54" s="155">
        <f t="shared" si="25"/>
        <v>1050</v>
      </c>
      <c r="R54" s="165">
        <f t="shared" si="26"/>
        <v>1050</v>
      </c>
      <c r="S54" s="545"/>
      <c r="T54" s="545"/>
    </row>
    <row r="55" spans="2:20" x14ac:dyDescent="0.2">
      <c r="B55" s="5" t="s">
        <v>152</v>
      </c>
      <c r="C55" s="2">
        <f t="shared" si="27"/>
        <v>5</v>
      </c>
      <c r="D55" s="2">
        <v>5</v>
      </c>
      <c r="E55" s="3">
        <f t="shared" si="28"/>
        <v>25</v>
      </c>
      <c r="F55" s="154">
        <f t="shared" si="24"/>
        <v>750</v>
      </c>
      <c r="P55" s="5" t="s">
        <v>152</v>
      </c>
      <c r="Q55" s="155">
        <f t="shared" si="25"/>
        <v>750</v>
      </c>
      <c r="R55" s="165">
        <f t="shared" si="26"/>
        <v>750</v>
      </c>
      <c r="S55" s="545"/>
      <c r="T55" s="545"/>
    </row>
    <row r="56" spans="2:20" x14ac:dyDescent="0.2">
      <c r="B56" s="5" t="s">
        <v>153</v>
      </c>
      <c r="C56" s="2">
        <f t="shared" si="27"/>
        <v>5</v>
      </c>
      <c r="D56" s="2">
        <f>D55</f>
        <v>5</v>
      </c>
      <c r="E56" s="3">
        <f t="shared" si="28"/>
        <v>25</v>
      </c>
      <c r="F56" s="154">
        <f t="shared" si="24"/>
        <v>750</v>
      </c>
      <c r="P56" s="5" t="s">
        <v>153</v>
      </c>
      <c r="Q56" s="155">
        <f t="shared" si="25"/>
        <v>750</v>
      </c>
      <c r="R56" s="165">
        <f t="shared" si="26"/>
        <v>750</v>
      </c>
      <c r="S56" s="545"/>
      <c r="T56" s="545"/>
    </row>
    <row r="57" spans="2:20" x14ac:dyDescent="0.2">
      <c r="B57" s="5" t="s">
        <v>154</v>
      </c>
      <c r="C57" s="2">
        <f t="shared" si="27"/>
        <v>5</v>
      </c>
      <c r="D57" s="2">
        <f>D56</f>
        <v>5</v>
      </c>
      <c r="E57" s="3">
        <f t="shared" si="28"/>
        <v>25</v>
      </c>
      <c r="F57" s="154">
        <f t="shared" si="24"/>
        <v>750</v>
      </c>
      <c r="P57" s="5" t="s">
        <v>154</v>
      </c>
      <c r="Q57" s="155">
        <f t="shared" si="25"/>
        <v>750</v>
      </c>
      <c r="R57" s="165">
        <f t="shared" si="26"/>
        <v>750</v>
      </c>
      <c r="S57" s="545"/>
      <c r="T57" s="545"/>
    </row>
    <row r="58" spans="2:20" x14ac:dyDescent="0.2">
      <c r="B58" s="5" t="s">
        <v>155</v>
      </c>
      <c r="C58" s="2">
        <f t="shared" si="27"/>
        <v>5</v>
      </c>
      <c r="D58" s="2">
        <f>D57</f>
        <v>5</v>
      </c>
      <c r="E58" s="3">
        <f t="shared" si="28"/>
        <v>25</v>
      </c>
      <c r="F58" s="154">
        <f t="shared" si="24"/>
        <v>750</v>
      </c>
      <c r="P58" s="5" t="s">
        <v>155</v>
      </c>
      <c r="Q58" s="155">
        <f t="shared" si="25"/>
        <v>750</v>
      </c>
      <c r="R58" s="165">
        <f t="shared" si="26"/>
        <v>750</v>
      </c>
      <c r="S58" s="545"/>
      <c r="T58" s="545"/>
    </row>
    <row r="59" spans="2:20" x14ac:dyDescent="0.2">
      <c r="B59" s="5" t="s">
        <v>156</v>
      </c>
      <c r="C59" s="2">
        <f t="shared" si="27"/>
        <v>5</v>
      </c>
      <c r="D59" s="2">
        <f>D58</f>
        <v>5</v>
      </c>
      <c r="E59" s="3">
        <f t="shared" si="28"/>
        <v>25</v>
      </c>
      <c r="F59" s="154">
        <f t="shared" si="24"/>
        <v>750</v>
      </c>
      <c r="P59" s="5" t="s">
        <v>156</v>
      </c>
      <c r="Q59" s="155">
        <f t="shared" si="25"/>
        <v>750</v>
      </c>
      <c r="R59" s="165">
        <f t="shared" si="26"/>
        <v>750</v>
      </c>
      <c r="S59" s="545"/>
      <c r="T59" s="545"/>
    </row>
    <row r="60" spans="2:20" ht="13.5" thickBot="1" x14ac:dyDescent="0.25">
      <c r="B60" s="6" t="s">
        <v>157</v>
      </c>
      <c r="C60" s="394">
        <f>$C$49</f>
        <v>5</v>
      </c>
      <c r="D60" s="394">
        <f>D59</f>
        <v>5</v>
      </c>
      <c r="E60" s="4">
        <f>C60*D60</f>
        <v>25</v>
      </c>
      <c r="F60" s="556">
        <f t="shared" si="24"/>
        <v>750</v>
      </c>
      <c r="P60" s="6" t="s">
        <v>157</v>
      </c>
      <c r="Q60" s="155">
        <f t="shared" si="25"/>
        <v>750</v>
      </c>
      <c r="R60" s="165">
        <f t="shared" si="26"/>
        <v>750</v>
      </c>
      <c r="S60" s="545"/>
      <c r="T60" s="545"/>
    </row>
    <row r="61" spans="2:20" ht="13.5" thickBot="1" x14ac:dyDescent="0.25">
      <c r="B61" s="145" t="s">
        <v>1</v>
      </c>
      <c r="C61" s="129"/>
      <c r="D61" s="129"/>
      <c r="E61" s="129">
        <f>SUM(E49:E60)</f>
        <v>360</v>
      </c>
      <c r="F61" s="557">
        <f>SUM(F49:F60)</f>
        <v>10800</v>
      </c>
      <c r="P61" s="145" t="s">
        <v>160</v>
      </c>
      <c r="Q61" s="129">
        <f>SUM(Q49:Q60)</f>
        <v>10800</v>
      </c>
      <c r="R61" s="109">
        <f>SUM(R49:R60)</f>
        <v>10800</v>
      </c>
      <c r="S61" s="537"/>
      <c r="T61" s="537"/>
    </row>
    <row r="62" spans="2:20" s="21" customFormat="1" ht="13.5" thickBot="1" x14ac:dyDescent="0.25">
      <c r="B62" s="533" t="s">
        <v>395</v>
      </c>
      <c r="C62" s="538"/>
      <c r="D62" s="538"/>
      <c r="E62" s="539"/>
      <c r="F62" s="539"/>
      <c r="P62" s="534"/>
      <c r="Q62" s="534"/>
      <c r="R62" s="534"/>
      <c r="S62" s="537"/>
      <c r="T62" s="537"/>
    </row>
    <row r="63" spans="2:20" s="21" customFormat="1" ht="13.5" thickBot="1" x14ac:dyDescent="0.25">
      <c r="B63" s="533"/>
      <c r="C63" s="533"/>
      <c r="D63" s="533"/>
      <c r="E63" s="533"/>
      <c r="F63" s="533"/>
      <c r="P63" s="653" t="s">
        <v>299</v>
      </c>
      <c r="Q63" s="654"/>
      <c r="R63" s="320" t="s">
        <v>295</v>
      </c>
      <c r="S63" s="321" t="s">
        <v>300</v>
      </c>
      <c r="T63" s="539"/>
    </row>
    <row r="64" spans="2:20" s="21" customFormat="1" x14ac:dyDescent="0.2">
      <c r="P64" s="655" t="s">
        <v>296</v>
      </c>
      <c r="Q64" s="656"/>
      <c r="R64" s="308">
        <v>1</v>
      </c>
      <c r="S64" s="309">
        <v>1</v>
      </c>
      <c r="T64" s="539"/>
    </row>
    <row r="65" spans="2:20" x14ac:dyDescent="0.2">
      <c r="B65" s="21"/>
      <c r="C65" s="21"/>
      <c r="D65" s="21"/>
      <c r="E65" s="19"/>
      <c r="F65" s="19"/>
      <c r="P65" s="533"/>
      <c r="Q65" s="19"/>
      <c r="R65" s="541"/>
      <c r="S65" s="541"/>
      <c r="T65" s="539"/>
    </row>
    <row r="66" spans="2:20" x14ac:dyDescent="0.2">
      <c r="B66" s="21"/>
      <c r="C66" s="21"/>
      <c r="D66" s="21"/>
      <c r="E66" s="19"/>
      <c r="P66" s="533"/>
      <c r="Q66" s="19"/>
      <c r="R66" s="533"/>
      <c r="S66" s="533"/>
      <c r="T66" s="533"/>
    </row>
  </sheetData>
  <mergeCells count="17">
    <mergeCell ref="P22:Q22"/>
    <mergeCell ref="P63:Q63"/>
    <mergeCell ref="P64:Q64"/>
    <mergeCell ref="P41:Q41"/>
    <mergeCell ref="P42:Q42"/>
    <mergeCell ref="P43:Q43"/>
    <mergeCell ref="P44:Q44"/>
    <mergeCell ref="B2:F2"/>
    <mergeCell ref="H2:N2"/>
    <mergeCell ref="H24:N24"/>
    <mergeCell ref="B46:F46"/>
    <mergeCell ref="P2:T2"/>
    <mergeCell ref="P24:T24"/>
    <mergeCell ref="P46:S46"/>
    <mergeCell ref="P19:Q19"/>
    <mergeCell ref="P20:Q20"/>
    <mergeCell ref="P21:Q21"/>
  </mergeCells>
  <phoneticPr fontId="0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:F26"/>
  <sheetViews>
    <sheetView workbookViewId="0">
      <selection activeCell="C6" sqref="C6"/>
    </sheetView>
  </sheetViews>
  <sheetFormatPr defaultRowHeight="12.75" x14ac:dyDescent="0.2"/>
  <cols>
    <col min="1" max="1" width="11.42578125" customWidth="1"/>
    <col min="2" max="2" width="9" customWidth="1"/>
    <col min="3" max="3" width="14.140625" customWidth="1"/>
    <col min="4" max="4" width="14.42578125" customWidth="1"/>
    <col min="5" max="5" width="13.7109375" customWidth="1"/>
    <col min="6" max="6" width="16.5703125" customWidth="1"/>
    <col min="7" max="256" width="11.42578125" customWidth="1"/>
  </cols>
  <sheetData>
    <row r="2" spans="2:6" ht="13.5" thickBot="1" x14ac:dyDescent="0.25"/>
    <row r="3" spans="2:6" ht="13.5" thickBot="1" x14ac:dyDescent="0.25">
      <c r="B3" s="663" t="s">
        <v>304</v>
      </c>
      <c r="C3" s="664"/>
      <c r="D3" s="664"/>
      <c r="E3" s="664"/>
      <c r="F3" s="665"/>
    </row>
    <row r="4" spans="2:6" ht="13.5" thickBot="1" x14ac:dyDescent="0.25">
      <c r="B4" s="661"/>
      <c r="C4" s="661"/>
      <c r="D4" s="661"/>
      <c r="E4" s="661"/>
      <c r="F4" s="661"/>
    </row>
    <row r="5" spans="2:6" ht="51.75" customHeight="1" thickBot="1" x14ac:dyDescent="0.25">
      <c r="B5" s="96" t="s">
        <v>163</v>
      </c>
      <c r="C5" s="97" t="s">
        <v>373</v>
      </c>
      <c r="D5" s="97" t="s">
        <v>303</v>
      </c>
      <c r="E5" s="97" t="s">
        <v>447</v>
      </c>
      <c r="F5" s="175" t="s">
        <v>448</v>
      </c>
    </row>
    <row r="6" spans="2:6" x14ac:dyDescent="0.2">
      <c r="B6" s="266">
        <v>2014</v>
      </c>
      <c r="C6" s="397">
        <f>'Oferta M.P.'!Q17</f>
        <v>237900</v>
      </c>
      <c r="D6" s="397">
        <f>'Oferta M.P.'!R17</f>
        <v>90401.999999999985</v>
      </c>
      <c r="E6" s="397">
        <f>'Oferta M.P.'!S17</f>
        <v>58285.500000000015</v>
      </c>
      <c r="F6" s="398">
        <f>'Oferta M.P.'!T17</f>
        <v>12323.220000000005</v>
      </c>
    </row>
    <row r="7" spans="2:6" x14ac:dyDescent="0.2">
      <c r="B7" s="267">
        <v>2015</v>
      </c>
      <c r="C7" s="268">
        <f>'Oferta M.P.'!Q39</f>
        <v>278940</v>
      </c>
      <c r="D7" s="268">
        <f>'Oferta M.P.'!R39</f>
        <v>105997.19999999998</v>
      </c>
      <c r="E7" s="268">
        <f>'Oferta M.P.'!S39</f>
        <v>68340.300000000017</v>
      </c>
      <c r="F7" s="271">
        <f>'Oferta M.P.'!T39</f>
        <v>14449.092000000001</v>
      </c>
    </row>
    <row r="8" spans="2:6" x14ac:dyDescent="0.2">
      <c r="B8" s="269">
        <v>2016</v>
      </c>
      <c r="C8" s="268">
        <f t="shared" ref="C8:F11" si="0">C7*1.0092</f>
        <v>281506.24800000002</v>
      </c>
      <c r="D8" s="268">
        <f t="shared" si="0"/>
        <v>106972.37423999999</v>
      </c>
      <c r="E8" s="268">
        <f t="shared" si="0"/>
        <v>68969.030760000023</v>
      </c>
      <c r="F8" s="271">
        <f t="shared" si="0"/>
        <v>14582.023646400003</v>
      </c>
    </row>
    <row r="9" spans="2:6" x14ac:dyDescent="0.2">
      <c r="B9" s="269">
        <v>2017</v>
      </c>
      <c r="C9" s="268">
        <f t="shared" si="0"/>
        <v>284096.10548160004</v>
      </c>
      <c r="D9" s="268">
        <f t="shared" si="0"/>
        <v>107956.520083008</v>
      </c>
      <c r="E9" s="268">
        <f t="shared" si="0"/>
        <v>69603.545842992025</v>
      </c>
      <c r="F9" s="271">
        <f t="shared" si="0"/>
        <v>14716.178263946884</v>
      </c>
    </row>
    <row r="10" spans="2:6" x14ac:dyDescent="0.2">
      <c r="B10" s="269">
        <v>2018</v>
      </c>
      <c r="C10" s="268">
        <f t="shared" si="0"/>
        <v>286709.7896520308</v>
      </c>
      <c r="D10" s="268">
        <f t="shared" si="0"/>
        <v>108949.72006777169</v>
      </c>
      <c r="E10" s="268">
        <f t="shared" si="0"/>
        <v>70243.898464747559</v>
      </c>
      <c r="F10" s="271">
        <f t="shared" si="0"/>
        <v>14851.567103975196</v>
      </c>
    </row>
    <row r="11" spans="2:6" ht="13.5" thickBot="1" x14ac:dyDescent="0.25">
      <c r="B11" s="270">
        <v>2019</v>
      </c>
      <c r="C11" s="520">
        <f t="shared" si="0"/>
        <v>289347.51971682953</v>
      </c>
      <c r="D11" s="520">
        <f t="shared" si="0"/>
        <v>109952.05749239519</v>
      </c>
      <c r="E11" s="520">
        <f t="shared" si="0"/>
        <v>70890.142330623246</v>
      </c>
      <c r="F11" s="521">
        <f t="shared" si="0"/>
        <v>14988.20152133177</v>
      </c>
    </row>
    <row r="12" spans="2:6" x14ac:dyDescent="0.2">
      <c r="B12" s="542" t="s">
        <v>161</v>
      </c>
      <c r="C12" s="533"/>
      <c r="D12" s="533"/>
      <c r="E12" s="543"/>
      <c r="F12" s="533"/>
    </row>
    <row r="13" spans="2:6" x14ac:dyDescent="0.2">
      <c r="B13" s="533"/>
      <c r="C13" s="533"/>
      <c r="D13" s="533"/>
      <c r="E13" s="533"/>
      <c r="F13" s="533"/>
    </row>
    <row r="14" spans="2:6" x14ac:dyDescent="0.2">
      <c r="C14">
        <f>C8/365</f>
        <v>771.24999452054806</v>
      </c>
      <c r="D14">
        <f>C6/365</f>
        <v>651.78082191780823</v>
      </c>
    </row>
    <row r="15" spans="2:6" ht="13.5" thickBot="1" x14ac:dyDescent="0.25">
      <c r="B15" s="218"/>
    </row>
    <row r="16" spans="2:6" ht="13.5" thickBot="1" x14ac:dyDescent="0.25">
      <c r="B16" s="666" t="s">
        <v>327</v>
      </c>
      <c r="C16" s="667"/>
      <c r="D16" s="668"/>
    </row>
    <row r="17" spans="2:6" ht="13.5" thickBot="1" x14ac:dyDescent="0.25">
      <c r="B17" s="661"/>
      <c r="C17" s="661"/>
      <c r="D17" s="661"/>
      <c r="E17" s="662"/>
      <c r="F17" s="662"/>
    </row>
    <row r="18" spans="2:6" ht="51.75" thickBot="1" x14ac:dyDescent="0.25">
      <c r="B18" s="96" t="s">
        <v>163</v>
      </c>
      <c r="C18" s="97" t="s">
        <v>233</v>
      </c>
      <c r="D18" s="175" t="s">
        <v>303</v>
      </c>
      <c r="E18" s="274"/>
      <c r="F18" s="274"/>
    </row>
    <row r="19" spans="2:6" x14ac:dyDescent="0.2">
      <c r="B19" s="212">
        <v>2014</v>
      </c>
      <c r="C19" s="322">
        <f>'Oferta M.P.'!Q61</f>
        <v>10800</v>
      </c>
      <c r="D19" s="272">
        <f>'Oferta M.P.'!R61</f>
        <v>10800</v>
      </c>
      <c r="E19" s="307"/>
      <c r="F19" s="307"/>
    </row>
    <row r="20" spans="2:6" x14ac:dyDescent="0.2">
      <c r="B20" s="264">
        <v>2015</v>
      </c>
      <c r="C20" s="214">
        <f t="shared" ref="C20:D24" si="1">C19*1.0098</f>
        <v>10905.84</v>
      </c>
      <c r="D20" s="273">
        <f t="shared" si="1"/>
        <v>10905.84</v>
      </c>
      <c r="E20" s="307"/>
      <c r="F20" s="307"/>
    </row>
    <row r="21" spans="2:6" x14ac:dyDescent="0.2">
      <c r="B21" s="213">
        <v>2016</v>
      </c>
      <c r="C21" s="214">
        <f t="shared" si="1"/>
        <v>11012.717232000001</v>
      </c>
      <c r="D21" s="273">
        <f t="shared" si="1"/>
        <v>11012.717232000001</v>
      </c>
      <c r="E21" s="307"/>
      <c r="F21" s="307"/>
    </row>
    <row r="22" spans="2:6" x14ac:dyDescent="0.2">
      <c r="B22" s="213">
        <v>2017</v>
      </c>
      <c r="C22" s="214">
        <f t="shared" si="1"/>
        <v>11120.641860873602</v>
      </c>
      <c r="D22" s="273">
        <f t="shared" si="1"/>
        <v>11120.641860873602</v>
      </c>
      <c r="E22" s="307"/>
      <c r="F22" s="307"/>
    </row>
    <row r="23" spans="2:6" x14ac:dyDescent="0.2">
      <c r="B23" s="213">
        <v>2018</v>
      </c>
      <c r="C23" s="214">
        <f t="shared" si="1"/>
        <v>11229.624151110163</v>
      </c>
      <c r="D23" s="273">
        <f t="shared" si="1"/>
        <v>11229.624151110163</v>
      </c>
      <c r="E23" s="307"/>
      <c r="F23" s="307"/>
    </row>
    <row r="24" spans="2:6" ht="13.5" thickBot="1" x14ac:dyDescent="0.25">
      <c r="B24" s="215">
        <v>2019</v>
      </c>
      <c r="C24" s="216">
        <f t="shared" si="1"/>
        <v>11339.674467791043</v>
      </c>
      <c r="D24" s="217">
        <f t="shared" si="1"/>
        <v>11339.674467791043</v>
      </c>
      <c r="E24" s="307"/>
      <c r="F24" s="307"/>
    </row>
    <row r="25" spans="2:6" x14ac:dyDescent="0.2">
      <c r="B25" s="542" t="s">
        <v>161</v>
      </c>
      <c r="C25" s="533"/>
      <c r="D25" s="533"/>
    </row>
    <row r="26" spans="2:6" x14ac:dyDescent="0.2">
      <c r="B26" s="533"/>
      <c r="C26" s="533"/>
      <c r="D26" s="533"/>
    </row>
  </sheetData>
  <mergeCells count="4">
    <mergeCell ref="B4:F4"/>
    <mergeCell ref="B17:F17"/>
    <mergeCell ref="B3:F3"/>
    <mergeCell ref="B16:D16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H26"/>
  <sheetViews>
    <sheetView workbookViewId="0">
      <selection activeCell="I12" sqref="I12"/>
    </sheetView>
  </sheetViews>
  <sheetFormatPr defaultRowHeight="12.75" x14ac:dyDescent="0.2"/>
  <cols>
    <col min="1" max="1" width="2.5703125" customWidth="1"/>
    <col min="2" max="2" width="27.140625" customWidth="1"/>
    <col min="3" max="6" width="9.5703125" customWidth="1"/>
    <col min="7" max="256" width="11.42578125" customWidth="1"/>
  </cols>
  <sheetData>
    <row r="1" spans="2:8" ht="13.5" thickBot="1" x14ac:dyDescent="0.25"/>
    <row r="2" spans="2:8" ht="13.5" thickBot="1" x14ac:dyDescent="0.25">
      <c r="B2" s="641" t="s">
        <v>305</v>
      </c>
      <c r="C2" s="642"/>
      <c r="D2" s="642"/>
      <c r="E2" s="642"/>
      <c r="F2" s="642"/>
      <c r="G2" s="642"/>
      <c r="H2" s="643"/>
    </row>
    <row r="3" spans="2:8" ht="13.5" thickBot="1" x14ac:dyDescent="0.25"/>
    <row r="4" spans="2:8" ht="13.5" thickBot="1" x14ac:dyDescent="0.25">
      <c r="B4" s="104" t="s">
        <v>4</v>
      </c>
      <c r="C4" s="105">
        <v>1</v>
      </c>
      <c r="D4" s="105">
        <v>2</v>
      </c>
      <c r="E4" s="105">
        <v>3</v>
      </c>
      <c r="F4" s="105">
        <v>4</v>
      </c>
      <c r="G4" s="105">
        <v>5</v>
      </c>
      <c r="H4" s="108">
        <v>6</v>
      </c>
    </row>
    <row r="5" spans="2:8" x14ac:dyDescent="0.2">
      <c r="B5" s="323" t="s">
        <v>164</v>
      </c>
      <c r="C5" s="324">
        <f>ProgramaProd.!E6</f>
        <v>58285.500000000015</v>
      </c>
      <c r="D5" s="324">
        <f>ProgramaProd.!E7</f>
        <v>68340.300000000017</v>
      </c>
      <c r="E5" s="324">
        <f>ProgramaProd.!E8</f>
        <v>68969.030760000023</v>
      </c>
      <c r="F5" s="324">
        <f>ProgramaProd.!E9</f>
        <v>69603.545842992025</v>
      </c>
      <c r="G5" s="324">
        <f>ProgramaProd.!E10</f>
        <v>70243.898464747559</v>
      </c>
      <c r="H5" s="512">
        <f>ProgramaProd.!E11</f>
        <v>70890.142330623246</v>
      </c>
    </row>
    <row r="6" spans="2:8" x14ac:dyDescent="0.2">
      <c r="B6" s="29" t="s">
        <v>2</v>
      </c>
      <c r="C6" s="298">
        <f t="shared" ref="C6:H6" si="0">Precio_yogur__soles_litro</f>
        <v>4</v>
      </c>
      <c r="D6" s="298">
        <f t="shared" si="0"/>
        <v>4</v>
      </c>
      <c r="E6" s="298">
        <f t="shared" si="0"/>
        <v>4</v>
      </c>
      <c r="F6" s="298">
        <f t="shared" si="0"/>
        <v>4</v>
      </c>
      <c r="G6" s="298">
        <f t="shared" si="0"/>
        <v>4</v>
      </c>
      <c r="H6" s="513">
        <f t="shared" si="0"/>
        <v>4</v>
      </c>
    </row>
    <row r="7" spans="2:8" x14ac:dyDescent="0.2">
      <c r="B7" s="46" t="s">
        <v>165</v>
      </c>
      <c r="C7" s="295">
        <f t="shared" ref="C7:H7" si="1">C5*C6</f>
        <v>233142.00000000006</v>
      </c>
      <c r="D7" s="295">
        <f t="shared" si="1"/>
        <v>273361.20000000007</v>
      </c>
      <c r="E7" s="295">
        <f t="shared" si="1"/>
        <v>275876.12304000009</v>
      </c>
      <c r="F7" s="296">
        <f t="shared" si="1"/>
        <v>278414.1833719681</v>
      </c>
      <c r="G7" s="296">
        <f t="shared" si="1"/>
        <v>280975.59385899024</v>
      </c>
      <c r="H7" s="514">
        <f t="shared" si="1"/>
        <v>283560.56932249299</v>
      </c>
    </row>
    <row r="8" spans="2:8" x14ac:dyDescent="0.2">
      <c r="B8" s="29" t="s">
        <v>294</v>
      </c>
      <c r="C8" s="297">
        <f>ProgramaProd.!F6</f>
        <v>12323.220000000005</v>
      </c>
      <c r="D8" s="297">
        <f>ProgramaProd.!F7</f>
        <v>14449.092000000001</v>
      </c>
      <c r="E8" s="297">
        <f>ProgramaProd.!F8</f>
        <v>14582.023646400003</v>
      </c>
      <c r="F8" s="297">
        <f>ProgramaProd.!F9</f>
        <v>14716.178263946884</v>
      </c>
      <c r="G8" s="297">
        <f>ProgramaProd.!F10</f>
        <v>14851.567103975196</v>
      </c>
      <c r="H8" s="515">
        <f>ProgramaProd.!F11</f>
        <v>14988.20152133177</v>
      </c>
    </row>
    <row r="9" spans="2:8" x14ac:dyDescent="0.2">
      <c r="B9" s="29" t="s">
        <v>2</v>
      </c>
      <c r="C9" s="298">
        <f t="shared" ref="C9:H9" si="2">Precio_queso_soles_kilo</f>
        <v>11</v>
      </c>
      <c r="D9" s="298">
        <f t="shared" si="2"/>
        <v>11</v>
      </c>
      <c r="E9" s="298">
        <f t="shared" si="2"/>
        <v>11</v>
      </c>
      <c r="F9" s="298">
        <f t="shared" si="2"/>
        <v>11</v>
      </c>
      <c r="G9" s="298">
        <f t="shared" si="2"/>
        <v>11</v>
      </c>
      <c r="H9" s="513">
        <f t="shared" si="2"/>
        <v>11</v>
      </c>
    </row>
    <row r="10" spans="2:8" x14ac:dyDescent="0.2">
      <c r="B10" s="46" t="s">
        <v>312</v>
      </c>
      <c r="C10" s="296">
        <f t="shared" ref="C10:H10" si="3">C8*C9</f>
        <v>135555.42000000004</v>
      </c>
      <c r="D10" s="296">
        <f t="shared" si="3"/>
        <v>158940.01200000002</v>
      </c>
      <c r="E10" s="296">
        <f t="shared" si="3"/>
        <v>160402.26011040004</v>
      </c>
      <c r="F10" s="296">
        <f t="shared" si="3"/>
        <v>161877.96090341572</v>
      </c>
      <c r="G10" s="296">
        <f t="shared" si="3"/>
        <v>163367.23814372715</v>
      </c>
      <c r="H10" s="514">
        <f t="shared" si="3"/>
        <v>164870.21673464947</v>
      </c>
    </row>
    <row r="11" spans="2:8" x14ac:dyDescent="0.2">
      <c r="B11" s="29" t="s">
        <v>292</v>
      </c>
      <c r="C11" s="297">
        <f>ProgramaProd.!D6</f>
        <v>90401.999999999985</v>
      </c>
      <c r="D11" s="297">
        <f>ProgramaProd.!D7</f>
        <v>105997.19999999998</v>
      </c>
      <c r="E11" s="297">
        <f>ProgramaProd.!D8</f>
        <v>106972.37423999999</v>
      </c>
      <c r="F11" s="297">
        <f>ProgramaProd.!D9</f>
        <v>107956.520083008</v>
      </c>
      <c r="G11" s="297">
        <f>ProgramaProd.!D10</f>
        <v>108949.72006777169</v>
      </c>
      <c r="H11" s="515">
        <f>ProgramaProd.!D11</f>
        <v>109952.05749239519</v>
      </c>
    </row>
    <row r="12" spans="2:8" x14ac:dyDescent="0.2">
      <c r="B12" s="29" t="s">
        <v>293</v>
      </c>
      <c r="C12" s="298">
        <f t="shared" ref="C12:H12" si="4">Precio_manjar__soles_kilo</f>
        <v>1.5</v>
      </c>
      <c r="D12" s="298">
        <f t="shared" si="4"/>
        <v>1.5</v>
      </c>
      <c r="E12" s="298">
        <f t="shared" si="4"/>
        <v>1.5</v>
      </c>
      <c r="F12" s="298">
        <f t="shared" si="4"/>
        <v>1.5</v>
      </c>
      <c r="G12" s="298">
        <f t="shared" si="4"/>
        <v>1.5</v>
      </c>
      <c r="H12" s="513">
        <f t="shared" si="4"/>
        <v>1.5</v>
      </c>
    </row>
    <row r="13" spans="2:8" ht="13.5" thickBot="1" x14ac:dyDescent="0.25">
      <c r="B13" s="169" t="s">
        <v>290</v>
      </c>
      <c r="C13" s="325">
        <f t="shared" ref="C13:H13" si="5">C11*C12</f>
        <v>135602.99999999997</v>
      </c>
      <c r="D13" s="325">
        <f t="shared" si="5"/>
        <v>158995.79999999999</v>
      </c>
      <c r="E13" s="325">
        <f t="shared" si="5"/>
        <v>160458.56135999999</v>
      </c>
      <c r="F13" s="325">
        <f t="shared" si="5"/>
        <v>161934.78012451201</v>
      </c>
      <c r="G13" s="325">
        <f t="shared" si="5"/>
        <v>163424.58010165754</v>
      </c>
      <c r="H13" s="516">
        <f t="shared" si="5"/>
        <v>164928.0862385928</v>
      </c>
    </row>
    <row r="14" spans="2:8" ht="13.5" thickBot="1" x14ac:dyDescent="0.25">
      <c r="B14" s="145" t="s">
        <v>27</v>
      </c>
      <c r="C14" s="162">
        <f t="shared" ref="C14:H14" si="6">C7+C10+C13</f>
        <v>504300.42000000004</v>
      </c>
      <c r="D14" s="162">
        <f t="shared" si="6"/>
        <v>591297.0120000001</v>
      </c>
      <c r="E14" s="162">
        <f t="shared" si="6"/>
        <v>596736.94451040006</v>
      </c>
      <c r="F14" s="162">
        <f t="shared" si="6"/>
        <v>602226.92439989583</v>
      </c>
      <c r="G14" s="162">
        <f t="shared" si="6"/>
        <v>607767.41210437496</v>
      </c>
      <c r="H14" s="166">
        <f t="shared" si="6"/>
        <v>613358.87229573517</v>
      </c>
    </row>
    <row r="15" spans="2:8" x14ac:dyDescent="0.2">
      <c r="B15" s="78" t="s">
        <v>167</v>
      </c>
      <c r="C15" s="77"/>
      <c r="D15" s="77"/>
      <c r="E15" s="77"/>
      <c r="F15" s="77"/>
      <c r="G15" s="77"/>
    </row>
    <row r="17" spans="2:8" x14ac:dyDescent="0.2">
      <c r="C17" s="36">
        <f>C5+C8</f>
        <v>70608.720000000016</v>
      </c>
    </row>
    <row r="18" spans="2:8" ht="13.5" thickBot="1" x14ac:dyDescent="0.25">
      <c r="C18" s="36"/>
    </row>
    <row r="19" spans="2:8" ht="13.5" thickBot="1" x14ac:dyDescent="0.25">
      <c r="B19" s="647" t="s">
        <v>316</v>
      </c>
      <c r="C19" s="648"/>
      <c r="D19" s="648"/>
      <c r="E19" s="648"/>
      <c r="F19" s="648"/>
      <c r="G19" s="648"/>
      <c r="H19" s="649"/>
    </row>
    <row r="20" spans="2:8" ht="13.5" thickBot="1" x14ac:dyDescent="0.25"/>
    <row r="21" spans="2:8" ht="13.5" thickBot="1" x14ac:dyDescent="0.25">
      <c r="B21" s="104" t="s">
        <v>4</v>
      </c>
      <c r="C21" s="105">
        <v>1</v>
      </c>
      <c r="D21" s="105">
        <v>2</v>
      </c>
      <c r="E21" s="105">
        <v>3</v>
      </c>
      <c r="F21" s="105">
        <v>4</v>
      </c>
      <c r="G21" s="105">
        <v>5</v>
      </c>
      <c r="H21" s="108">
        <v>6</v>
      </c>
    </row>
    <row r="22" spans="2:8" x14ac:dyDescent="0.2">
      <c r="B22" s="323" t="s">
        <v>292</v>
      </c>
      <c r="C22" s="326">
        <f>ProgramaProd.!D19</f>
        <v>10800</v>
      </c>
      <c r="D22" s="326">
        <f>ProgramaProd.!D20</f>
        <v>10905.84</v>
      </c>
      <c r="E22" s="326">
        <f>ProgramaProd.!D21</f>
        <v>11012.717232000001</v>
      </c>
      <c r="F22" s="326">
        <f>ProgramaProd.!D22</f>
        <v>11120.641860873602</v>
      </c>
      <c r="G22" s="326">
        <f>ProgramaProd.!D23</f>
        <v>11229.624151110163</v>
      </c>
      <c r="H22" s="517">
        <f>ProgramaProd.!D24</f>
        <v>11339.674467791043</v>
      </c>
    </row>
    <row r="23" spans="2:8" x14ac:dyDescent="0.2">
      <c r="B23" s="29" t="s">
        <v>293</v>
      </c>
      <c r="C23" s="263">
        <f>Precio_manjar__soles_kilo</f>
        <v>1.5</v>
      </c>
      <c r="D23" s="263">
        <f>$C$23</f>
        <v>1.5</v>
      </c>
      <c r="E23" s="263">
        <f>$C$23</f>
        <v>1.5</v>
      </c>
      <c r="F23" s="263">
        <f>$C$23</f>
        <v>1.5</v>
      </c>
      <c r="G23" s="263">
        <f>$C$23</f>
        <v>1.5</v>
      </c>
      <c r="H23" s="518">
        <f>$C$23</f>
        <v>1.5</v>
      </c>
    </row>
    <row r="24" spans="2:8" ht="13.5" thickBot="1" x14ac:dyDescent="0.25">
      <c r="B24" s="169" t="s">
        <v>290</v>
      </c>
      <c r="C24" s="170">
        <f t="shared" ref="C24:H24" si="7">C22*C23</f>
        <v>16200</v>
      </c>
      <c r="D24" s="170">
        <f t="shared" si="7"/>
        <v>16358.76</v>
      </c>
      <c r="E24" s="170">
        <f t="shared" si="7"/>
        <v>16519.075848</v>
      </c>
      <c r="F24" s="170">
        <f t="shared" si="7"/>
        <v>16680.962791310405</v>
      </c>
      <c r="G24" s="170">
        <f t="shared" si="7"/>
        <v>16844.436226665246</v>
      </c>
      <c r="H24" s="519">
        <f t="shared" si="7"/>
        <v>17009.511701686562</v>
      </c>
    </row>
    <row r="25" spans="2:8" ht="13.5" thickBot="1" x14ac:dyDescent="0.25">
      <c r="B25" s="145" t="s">
        <v>27</v>
      </c>
      <c r="C25" s="162">
        <f t="shared" ref="C25:H25" si="8">C24</f>
        <v>16200</v>
      </c>
      <c r="D25" s="162">
        <f t="shared" si="8"/>
        <v>16358.76</v>
      </c>
      <c r="E25" s="162">
        <f t="shared" si="8"/>
        <v>16519.075848</v>
      </c>
      <c r="F25" s="162">
        <f t="shared" si="8"/>
        <v>16680.962791310405</v>
      </c>
      <c r="G25" s="162">
        <f t="shared" si="8"/>
        <v>16844.436226665246</v>
      </c>
      <c r="H25" s="166">
        <f t="shared" si="8"/>
        <v>17009.511701686562</v>
      </c>
    </row>
    <row r="26" spans="2:8" x14ac:dyDescent="0.2">
      <c r="B26" s="78" t="s">
        <v>167</v>
      </c>
      <c r="C26" s="77"/>
      <c r="D26" s="77"/>
      <c r="E26" s="77"/>
      <c r="F26" s="77"/>
      <c r="G26" s="77"/>
    </row>
  </sheetData>
  <mergeCells count="2">
    <mergeCell ref="B2:H2"/>
    <mergeCell ref="B19:H19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:F69"/>
  <sheetViews>
    <sheetView topLeftCell="A59" workbookViewId="0">
      <selection activeCell="E69" sqref="E69"/>
    </sheetView>
  </sheetViews>
  <sheetFormatPr defaultRowHeight="12.75" x14ac:dyDescent="0.2"/>
  <cols>
    <col min="1" max="1" width="2.7109375" customWidth="1"/>
    <col min="2" max="2" width="43.140625" customWidth="1"/>
    <col min="3" max="3" width="11.85546875" customWidth="1"/>
    <col min="4" max="4" width="13" customWidth="1"/>
    <col min="5" max="5" width="10.7109375" customWidth="1"/>
    <col min="6" max="256" width="11.42578125" customWidth="1"/>
  </cols>
  <sheetData>
    <row r="2" spans="2:5" ht="13.5" thickBot="1" x14ac:dyDescent="0.25"/>
    <row r="3" spans="2:5" ht="13.5" thickBot="1" x14ac:dyDescent="0.25">
      <c r="B3" s="641" t="s">
        <v>449</v>
      </c>
      <c r="C3" s="642"/>
      <c r="D3" s="642"/>
      <c r="E3" s="643"/>
    </row>
    <row r="4" spans="2:5" ht="13.5" thickBot="1" x14ac:dyDescent="0.25"/>
    <row r="5" spans="2:5" ht="20.25" customHeight="1" x14ac:dyDescent="0.2">
      <c r="B5" s="675" t="s">
        <v>4</v>
      </c>
      <c r="C5" s="678" t="s">
        <v>175</v>
      </c>
      <c r="D5" s="678" t="s">
        <v>247</v>
      </c>
      <c r="E5" s="681" t="s">
        <v>188</v>
      </c>
    </row>
    <row r="6" spans="2:5" ht="3" customHeight="1" x14ac:dyDescent="0.2">
      <c r="B6" s="676"/>
      <c r="C6" s="679"/>
      <c r="D6" s="679"/>
      <c r="E6" s="682"/>
    </row>
    <row r="7" spans="2:5" ht="3.75" hidden="1" customHeight="1" x14ac:dyDescent="0.2">
      <c r="B7" s="677"/>
      <c r="C7" s="680"/>
      <c r="D7" s="680"/>
      <c r="E7" s="683"/>
    </row>
    <row r="8" spans="2:5" x14ac:dyDescent="0.2">
      <c r="B8" s="617" t="s">
        <v>189</v>
      </c>
      <c r="C8" s="618"/>
      <c r="D8" s="619"/>
      <c r="E8" s="620">
        <f>E9+E45</f>
        <v>174233</v>
      </c>
    </row>
    <row r="9" spans="2:5" x14ac:dyDescent="0.2">
      <c r="B9" s="669" t="s">
        <v>190</v>
      </c>
      <c r="C9" s="670"/>
      <c r="D9" s="671"/>
      <c r="E9" s="581">
        <f>E10+E13+E16</f>
        <v>164933</v>
      </c>
    </row>
    <row r="10" spans="2:5" x14ac:dyDescent="0.2">
      <c r="B10" s="669" t="s">
        <v>272</v>
      </c>
      <c r="C10" s="670"/>
      <c r="D10" s="671"/>
      <c r="E10" s="581">
        <f>SUM(E11:E12)</f>
        <v>18450</v>
      </c>
    </row>
    <row r="11" spans="2:5" x14ac:dyDescent="0.2">
      <c r="B11" s="190" t="s">
        <v>384</v>
      </c>
      <c r="C11" s="353">
        <v>15</v>
      </c>
      <c r="D11" s="353">
        <v>430</v>
      </c>
      <c r="E11" s="328">
        <f>D11*C11</f>
        <v>6450</v>
      </c>
    </row>
    <row r="12" spans="2:5" x14ac:dyDescent="0.2">
      <c r="B12" s="190" t="s">
        <v>329</v>
      </c>
      <c r="C12" s="354">
        <v>30</v>
      </c>
      <c r="D12" s="354">
        <v>400</v>
      </c>
      <c r="E12" s="328">
        <f>D12*C12</f>
        <v>12000</v>
      </c>
    </row>
    <row r="13" spans="2:5" x14ac:dyDescent="0.2">
      <c r="B13" s="669" t="s">
        <v>323</v>
      </c>
      <c r="C13" s="670"/>
      <c r="D13" s="671"/>
      <c r="E13" s="581">
        <f>SUM(E14:E15)</f>
        <v>127300</v>
      </c>
    </row>
    <row r="14" spans="2:5" x14ac:dyDescent="0.2">
      <c r="B14" s="29" t="s">
        <v>324</v>
      </c>
      <c r="C14" s="257">
        <v>1</v>
      </c>
      <c r="D14" s="257">
        <f>F64</f>
        <v>47500</v>
      </c>
      <c r="E14" s="328">
        <f>D14*C14</f>
        <v>47500</v>
      </c>
    </row>
    <row r="15" spans="2:5" x14ac:dyDescent="0.2">
      <c r="B15" s="190" t="s">
        <v>350</v>
      </c>
      <c r="C15" s="257">
        <v>19</v>
      </c>
      <c r="D15" s="257">
        <v>4200</v>
      </c>
      <c r="E15" s="328">
        <f>D15*C15</f>
        <v>79800</v>
      </c>
    </row>
    <row r="16" spans="2:5" x14ac:dyDescent="0.2">
      <c r="B16" s="669" t="s">
        <v>248</v>
      </c>
      <c r="C16" s="670"/>
      <c r="D16" s="671"/>
      <c r="E16" s="581">
        <f>SUM(E17:E44)</f>
        <v>19183</v>
      </c>
    </row>
    <row r="17" spans="2:5" x14ac:dyDescent="0.2">
      <c r="B17" s="122" t="s">
        <v>278</v>
      </c>
      <c r="C17" s="257">
        <v>1</v>
      </c>
      <c r="D17" s="257">
        <v>5000</v>
      </c>
      <c r="E17" s="329">
        <f>C17*D17</f>
        <v>5000</v>
      </c>
    </row>
    <row r="18" spans="2:5" x14ac:dyDescent="0.2">
      <c r="B18" s="122" t="s">
        <v>279</v>
      </c>
      <c r="C18" s="257">
        <v>1</v>
      </c>
      <c r="D18" s="257">
        <v>210</v>
      </c>
      <c r="E18" s="329">
        <f t="shared" ref="E18:E44" si="0">C18*D18</f>
        <v>210</v>
      </c>
    </row>
    <row r="19" spans="2:5" x14ac:dyDescent="0.2">
      <c r="B19" s="122" t="s">
        <v>281</v>
      </c>
      <c r="C19" s="257">
        <v>1</v>
      </c>
      <c r="D19" s="257">
        <v>180</v>
      </c>
      <c r="E19" s="329">
        <f t="shared" si="0"/>
        <v>180</v>
      </c>
    </row>
    <row r="20" spans="2:5" x14ac:dyDescent="0.2">
      <c r="B20" s="122" t="s">
        <v>282</v>
      </c>
      <c r="C20" s="257">
        <v>2</v>
      </c>
      <c r="D20" s="257">
        <v>30</v>
      </c>
      <c r="E20" s="329">
        <f t="shared" si="0"/>
        <v>60</v>
      </c>
    </row>
    <row r="21" spans="2:5" x14ac:dyDescent="0.2">
      <c r="B21" s="122" t="s">
        <v>283</v>
      </c>
      <c r="C21" s="257">
        <v>1</v>
      </c>
      <c r="D21" s="257">
        <v>35</v>
      </c>
      <c r="E21" s="329">
        <f t="shared" si="0"/>
        <v>35</v>
      </c>
    </row>
    <row r="22" spans="2:5" x14ac:dyDescent="0.2">
      <c r="B22" s="122" t="s">
        <v>284</v>
      </c>
      <c r="C22" s="257">
        <v>1</v>
      </c>
      <c r="D22" s="257">
        <v>190</v>
      </c>
      <c r="E22" s="329">
        <f t="shared" si="0"/>
        <v>190</v>
      </c>
    </row>
    <row r="23" spans="2:5" x14ac:dyDescent="0.2">
      <c r="B23" s="122" t="s">
        <v>285</v>
      </c>
      <c r="C23" s="257">
        <v>3</v>
      </c>
      <c r="D23" s="257">
        <v>10</v>
      </c>
      <c r="E23" s="329">
        <f t="shared" si="0"/>
        <v>30</v>
      </c>
    </row>
    <row r="24" spans="2:5" x14ac:dyDescent="0.2">
      <c r="B24" s="122" t="s">
        <v>286</v>
      </c>
      <c r="C24" s="257">
        <v>2</v>
      </c>
      <c r="D24" s="257">
        <v>5</v>
      </c>
      <c r="E24" s="329">
        <f t="shared" si="0"/>
        <v>10</v>
      </c>
    </row>
    <row r="25" spans="2:5" x14ac:dyDescent="0.2">
      <c r="B25" s="122" t="s">
        <v>200</v>
      </c>
      <c r="C25" s="257">
        <v>2</v>
      </c>
      <c r="D25" s="257">
        <v>120</v>
      </c>
      <c r="E25" s="329">
        <f t="shared" si="0"/>
        <v>240</v>
      </c>
    </row>
    <row r="26" spans="2:5" x14ac:dyDescent="0.2">
      <c r="B26" s="122" t="s">
        <v>249</v>
      </c>
      <c r="C26" s="257">
        <v>10</v>
      </c>
      <c r="D26" s="257">
        <f>160</f>
        <v>160</v>
      </c>
      <c r="E26" s="329">
        <f t="shared" si="0"/>
        <v>1600</v>
      </c>
    </row>
    <row r="27" spans="2:5" x14ac:dyDescent="0.2">
      <c r="B27" s="122" t="s">
        <v>201</v>
      </c>
      <c r="C27" s="257">
        <v>2</v>
      </c>
      <c r="D27" s="257">
        <f>290</f>
        <v>290</v>
      </c>
      <c r="E27" s="329">
        <f t="shared" si="0"/>
        <v>580</v>
      </c>
    </row>
    <row r="28" spans="2:5" x14ac:dyDescent="0.2">
      <c r="B28" s="330" t="s">
        <v>250</v>
      </c>
      <c r="C28" s="257">
        <v>1</v>
      </c>
      <c r="D28" s="257">
        <f>1800</f>
        <v>1800</v>
      </c>
      <c r="E28" s="329">
        <f t="shared" si="0"/>
        <v>1800</v>
      </c>
    </row>
    <row r="29" spans="2:5" x14ac:dyDescent="0.2">
      <c r="B29" s="122" t="s">
        <v>191</v>
      </c>
      <c r="C29" s="257">
        <v>3</v>
      </c>
      <c r="D29" s="257">
        <f>204</f>
        <v>204</v>
      </c>
      <c r="E29" s="329">
        <f t="shared" si="0"/>
        <v>612</v>
      </c>
    </row>
    <row r="30" spans="2:5" x14ac:dyDescent="0.2">
      <c r="B30" s="122" t="s">
        <v>251</v>
      </c>
      <c r="C30" s="257">
        <v>1</v>
      </c>
      <c r="D30" s="257">
        <v>1250</v>
      </c>
      <c r="E30" s="329">
        <f t="shared" si="0"/>
        <v>1250</v>
      </c>
    </row>
    <row r="31" spans="2:5" x14ac:dyDescent="0.2">
      <c r="B31" s="122" t="s">
        <v>252</v>
      </c>
      <c r="C31" s="257">
        <v>1</v>
      </c>
      <c r="D31" s="257">
        <v>3000</v>
      </c>
      <c r="E31" s="329">
        <f t="shared" si="0"/>
        <v>3000</v>
      </c>
    </row>
    <row r="32" spans="2:5" x14ac:dyDescent="0.2">
      <c r="B32" s="122" t="s">
        <v>280</v>
      </c>
      <c r="C32" s="255">
        <v>2</v>
      </c>
      <c r="D32" s="255">
        <v>20</v>
      </c>
      <c r="E32" s="329">
        <f t="shared" si="0"/>
        <v>40</v>
      </c>
    </row>
    <row r="33" spans="2:5" x14ac:dyDescent="0.2">
      <c r="B33" s="122" t="s">
        <v>253</v>
      </c>
      <c r="C33" s="255">
        <v>80</v>
      </c>
      <c r="D33" s="361">
        <v>7</v>
      </c>
      <c r="E33" s="329">
        <f t="shared" si="0"/>
        <v>560</v>
      </c>
    </row>
    <row r="34" spans="2:5" x14ac:dyDescent="0.2">
      <c r="B34" s="122" t="s">
        <v>254</v>
      </c>
      <c r="C34" s="255">
        <v>1</v>
      </c>
      <c r="D34" s="255">
        <v>1300</v>
      </c>
      <c r="E34" s="329">
        <f t="shared" si="0"/>
        <v>1300</v>
      </c>
    </row>
    <row r="35" spans="2:5" x14ac:dyDescent="0.2">
      <c r="B35" s="330" t="s">
        <v>255</v>
      </c>
      <c r="C35" s="255">
        <v>1</v>
      </c>
      <c r="D35" s="255">
        <f>350</f>
        <v>350</v>
      </c>
      <c r="E35" s="329">
        <f t="shared" si="0"/>
        <v>350</v>
      </c>
    </row>
    <row r="36" spans="2:5" x14ac:dyDescent="0.2">
      <c r="B36" s="122" t="s">
        <v>256</v>
      </c>
      <c r="C36" s="255">
        <v>10</v>
      </c>
      <c r="D36" s="255">
        <v>15</v>
      </c>
      <c r="E36" s="329">
        <f t="shared" si="0"/>
        <v>150</v>
      </c>
    </row>
    <row r="37" spans="2:5" x14ac:dyDescent="0.2">
      <c r="B37" s="122" t="s">
        <v>257</v>
      </c>
      <c r="C37" s="255">
        <v>10</v>
      </c>
      <c r="D37" s="255">
        <v>100</v>
      </c>
      <c r="E37" s="329">
        <f t="shared" si="0"/>
        <v>1000</v>
      </c>
    </row>
    <row r="38" spans="2:5" x14ac:dyDescent="0.2">
      <c r="B38" s="122" t="s">
        <v>258</v>
      </c>
      <c r="C38" s="255">
        <v>1</v>
      </c>
      <c r="D38" s="255">
        <v>250</v>
      </c>
      <c r="E38" s="329">
        <f t="shared" si="0"/>
        <v>250</v>
      </c>
    </row>
    <row r="39" spans="2:5" x14ac:dyDescent="0.2">
      <c r="B39" s="122" t="s">
        <v>259</v>
      </c>
      <c r="C39" s="255">
        <v>5</v>
      </c>
      <c r="D39" s="255">
        <v>25</v>
      </c>
      <c r="E39" s="329">
        <f t="shared" si="0"/>
        <v>125</v>
      </c>
    </row>
    <row r="40" spans="2:5" ht="11.25" customHeight="1" x14ac:dyDescent="0.2">
      <c r="B40" s="122" t="s">
        <v>260</v>
      </c>
      <c r="C40" s="255">
        <v>1</v>
      </c>
      <c r="D40" s="255">
        <v>350</v>
      </c>
      <c r="E40" s="329">
        <f t="shared" si="0"/>
        <v>350</v>
      </c>
    </row>
    <row r="41" spans="2:5" ht="11.25" customHeight="1" x14ac:dyDescent="0.2">
      <c r="B41" s="122" t="s">
        <v>261</v>
      </c>
      <c r="C41" s="255">
        <v>2</v>
      </c>
      <c r="D41" s="255">
        <v>60</v>
      </c>
      <c r="E41" s="329">
        <f t="shared" si="0"/>
        <v>120</v>
      </c>
    </row>
    <row r="42" spans="2:5" ht="12" customHeight="1" x14ac:dyDescent="0.2">
      <c r="B42" s="122" t="s">
        <v>192</v>
      </c>
      <c r="C42" s="255">
        <v>3</v>
      </c>
      <c r="D42" s="255">
        <v>15</v>
      </c>
      <c r="E42" s="329">
        <f t="shared" si="0"/>
        <v>45</v>
      </c>
    </row>
    <row r="43" spans="2:5" ht="12" customHeight="1" x14ac:dyDescent="0.2">
      <c r="B43" s="122" t="s">
        <v>193</v>
      </c>
      <c r="C43" s="255">
        <v>3</v>
      </c>
      <c r="D43" s="255">
        <v>12</v>
      </c>
      <c r="E43" s="329">
        <f t="shared" si="0"/>
        <v>36</v>
      </c>
    </row>
    <row r="44" spans="2:5" ht="12" customHeight="1" x14ac:dyDescent="0.2">
      <c r="B44" s="122" t="s">
        <v>194</v>
      </c>
      <c r="C44" s="255">
        <v>3</v>
      </c>
      <c r="D44" s="255">
        <v>20</v>
      </c>
      <c r="E44" s="329">
        <f t="shared" si="0"/>
        <v>60</v>
      </c>
    </row>
    <row r="45" spans="2:5" x14ac:dyDescent="0.2">
      <c r="B45" s="669" t="s">
        <v>195</v>
      </c>
      <c r="C45" s="670"/>
      <c r="D45" s="671"/>
      <c r="E45" s="581">
        <f>SUM(E46:E52)</f>
        <v>9300</v>
      </c>
    </row>
    <row r="46" spans="2:5" x14ac:dyDescent="0.2">
      <c r="B46" s="122" t="s">
        <v>262</v>
      </c>
      <c r="C46" s="255">
        <v>1</v>
      </c>
      <c r="D46" s="255">
        <v>1000</v>
      </c>
      <c r="E46" s="328">
        <f>C46*D46</f>
        <v>1000</v>
      </c>
    </row>
    <row r="47" spans="2:5" x14ac:dyDescent="0.2">
      <c r="B47" s="122" t="s">
        <v>273</v>
      </c>
      <c r="C47" s="255">
        <v>1</v>
      </c>
      <c r="D47" s="255">
        <v>100</v>
      </c>
      <c r="E47" s="328">
        <f t="shared" ref="E47:E52" si="1">C47*D47</f>
        <v>100</v>
      </c>
    </row>
    <row r="48" spans="2:5" x14ac:dyDescent="0.2">
      <c r="B48" s="122" t="s">
        <v>202</v>
      </c>
      <c r="C48" s="255">
        <v>2</v>
      </c>
      <c r="D48" s="255">
        <v>1100</v>
      </c>
      <c r="E48" s="328">
        <f t="shared" si="1"/>
        <v>2200</v>
      </c>
    </row>
    <row r="49" spans="2:6" x14ac:dyDescent="0.2">
      <c r="B49" s="122" t="s">
        <v>385</v>
      </c>
      <c r="C49" s="257">
        <v>1</v>
      </c>
      <c r="D49" s="255">
        <f>1500</f>
        <v>1500</v>
      </c>
      <c r="E49" s="328">
        <f t="shared" si="1"/>
        <v>1500</v>
      </c>
    </row>
    <row r="50" spans="2:6" x14ac:dyDescent="0.2">
      <c r="B50" s="122" t="s">
        <v>386</v>
      </c>
      <c r="C50" s="257">
        <v>1</v>
      </c>
      <c r="D50" s="255">
        <f>1500</f>
        <v>1500</v>
      </c>
      <c r="E50" s="328">
        <f t="shared" si="1"/>
        <v>1500</v>
      </c>
    </row>
    <row r="51" spans="2:6" x14ac:dyDescent="0.2">
      <c r="B51" s="122" t="s">
        <v>387</v>
      </c>
      <c r="C51" s="257">
        <v>1</v>
      </c>
      <c r="D51" s="255">
        <v>1500</v>
      </c>
      <c r="E51" s="328">
        <f t="shared" si="1"/>
        <v>1500</v>
      </c>
    </row>
    <row r="52" spans="2:6" x14ac:dyDescent="0.2">
      <c r="B52" s="122" t="s">
        <v>388</v>
      </c>
      <c r="C52" s="257">
        <v>1</v>
      </c>
      <c r="D52" s="255">
        <v>1500</v>
      </c>
      <c r="E52" s="328">
        <f t="shared" si="1"/>
        <v>1500</v>
      </c>
    </row>
    <row r="53" spans="2:6" x14ac:dyDescent="0.2">
      <c r="B53" s="669" t="s">
        <v>372</v>
      </c>
      <c r="C53" s="670"/>
      <c r="D53" s="671"/>
      <c r="E53" s="583">
        <f>SUM(E54:E56)</f>
        <v>25517.799263013701</v>
      </c>
    </row>
    <row r="54" spans="2:6" x14ac:dyDescent="0.2">
      <c r="B54" s="331" t="s">
        <v>383</v>
      </c>
      <c r="C54" s="258">
        <v>30</v>
      </c>
      <c r="D54" s="259">
        <f>OPERACION!C7/365</f>
        <v>260.61782054794514</v>
      </c>
      <c r="E54" s="582">
        <f>C54*D54</f>
        <v>7818.5346164383545</v>
      </c>
    </row>
    <row r="55" spans="2:6" x14ac:dyDescent="0.2">
      <c r="B55" s="331" t="s">
        <v>382</v>
      </c>
      <c r="C55" s="258">
        <v>30</v>
      </c>
      <c r="D55" s="259">
        <f>OPERACION!C9/365</f>
        <v>264.08507726027398</v>
      </c>
      <c r="E55" s="332">
        <f>C55*D55</f>
        <v>7922.5523178082194</v>
      </c>
    </row>
    <row r="56" spans="2:6" ht="13.5" thickBot="1" x14ac:dyDescent="0.25">
      <c r="B56" s="368" t="s">
        <v>381</v>
      </c>
      <c r="C56" s="501">
        <v>30</v>
      </c>
      <c r="D56" s="369">
        <f>OPERACION!C8/365</f>
        <v>325.89041095890417</v>
      </c>
      <c r="E56" s="502">
        <f>C56*D56</f>
        <v>9776.7123287671257</v>
      </c>
    </row>
    <row r="57" spans="2:6" ht="13.5" thickBot="1" x14ac:dyDescent="0.25">
      <c r="B57" s="672" t="s">
        <v>287</v>
      </c>
      <c r="C57" s="673"/>
      <c r="D57" s="674"/>
      <c r="E57" s="584">
        <f>E8+E53</f>
        <v>199750.7992630137</v>
      </c>
    </row>
    <row r="59" spans="2:6" ht="13.5" thickBot="1" x14ac:dyDescent="0.25"/>
    <row r="60" spans="2:6" ht="13.5" thickBot="1" x14ac:dyDescent="0.25">
      <c r="B60" s="341" t="s">
        <v>330</v>
      </c>
      <c r="C60" s="342" t="s">
        <v>331</v>
      </c>
      <c r="D60" s="342" t="s">
        <v>332</v>
      </c>
      <c r="E60" s="342" t="s">
        <v>175</v>
      </c>
      <c r="F60" s="343" t="s">
        <v>1</v>
      </c>
    </row>
    <row r="61" spans="2:6" x14ac:dyDescent="0.2">
      <c r="B61" s="181" t="s">
        <v>333</v>
      </c>
      <c r="C61" s="317" t="s">
        <v>334</v>
      </c>
      <c r="D61" s="317">
        <v>3000</v>
      </c>
      <c r="E61" s="351">
        <v>15</v>
      </c>
      <c r="F61" s="348">
        <f>E61*D61</f>
        <v>45000</v>
      </c>
    </row>
    <row r="62" spans="2:6" x14ac:dyDescent="0.2">
      <c r="B62" s="5" t="s">
        <v>335</v>
      </c>
      <c r="C62" s="3" t="s">
        <v>334</v>
      </c>
      <c r="D62" s="3">
        <v>500</v>
      </c>
      <c r="E62" s="277">
        <v>5</v>
      </c>
      <c r="F62" s="340">
        <f>E62*D62</f>
        <v>2500</v>
      </c>
    </row>
    <row r="63" spans="2:6" ht="13.5" thickBot="1" x14ac:dyDescent="0.25">
      <c r="B63" s="238" t="s">
        <v>336</v>
      </c>
      <c r="C63" s="319" t="s">
        <v>334</v>
      </c>
      <c r="D63" s="319">
        <v>1500</v>
      </c>
      <c r="E63" s="352">
        <v>0</v>
      </c>
      <c r="F63" s="349">
        <f>E63*D63</f>
        <v>0</v>
      </c>
    </row>
    <row r="64" spans="2:6" ht="13.5" thickBot="1" x14ac:dyDescent="0.25">
      <c r="B64" s="333"/>
      <c r="F64" s="580">
        <f>SUM(F61:F63)</f>
        <v>47500</v>
      </c>
    </row>
    <row r="65" spans="2:5" ht="18" customHeight="1" thickBot="1" x14ac:dyDescent="0.25"/>
    <row r="66" spans="2:5" ht="13.5" thickBot="1" x14ac:dyDescent="0.25">
      <c r="B66" s="341" t="s">
        <v>337</v>
      </c>
      <c r="C66" s="342" t="s">
        <v>338</v>
      </c>
      <c r="D66" s="342" t="s">
        <v>339</v>
      </c>
      <c r="E66" s="343" t="s">
        <v>1</v>
      </c>
    </row>
    <row r="67" spans="2:5" x14ac:dyDescent="0.2">
      <c r="B67" s="347" t="s">
        <v>389</v>
      </c>
      <c r="C67" s="317">
        <v>8</v>
      </c>
      <c r="D67" s="317">
        <v>430</v>
      </c>
      <c r="E67" s="348">
        <f>C67*D67</f>
        <v>3440</v>
      </c>
    </row>
    <row r="68" spans="2:5" ht="13.5" thickBot="1" x14ac:dyDescent="0.25">
      <c r="B68" s="186" t="s">
        <v>340</v>
      </c>
      <c r="C68" s="319">
        <v>17</v>
      </c>
      <c r="D68" s="319">
        <v>300</v>
      </c>
      <c r="E68" s="349">
        <f>C68*D68</f>
        <v>5100</v>
      </c>
    </row>
    <row r="69" spans="2:5" ht="13.5" thickBot="1" x14ac:dyDescent="0.25">
      <c r="B69" s="344" t="s">
        <v>0</v>
      </c>
      <c r="C69" s="345"/>
      <c r="D69" s="345">
        <f>SUM(D67:D68)</f>
        <v>730</v>
      </c>
      <c r="E69" s="346">
        <f>SUM(E67:E68)</f>
        <v>8540</v>
      </c>
    </row>
  </sheetData>
  <mergeCells count="12">
    <mergeCell ref="B3:E3"/>
    <mergeCell ref="B9:D9"/>
    <mergeCell ref="B10:D10"/>
    <mergeCell ref="B13:D13"/>
    <mergeCell ref="B16:D16"/>
    <mergeCell ref="B45:D45"/>
    <mergeCell ref="B53:D53"/>
    <mergeCell ref="B57:D57"/>
    <mergeCell ref="B5:B7"/>
    <mergeCell ref="C5:C7"/>
    <mergeCell ref="D5:D7"/>
    <mergeCell ref="E5:E7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:M59"/>
  <sheetViews>
    <sheetView workbookViewId="0">
      <selection activeCell="J22" sqref="J22"/>
    </sheetView>
  </sheetViews>
  <sheetFormatPr defaultRowHeight="12.75" x14ac:dyDescent="0.2"/>
  <cols>
    <col min="1" max="1" width="11.42578125" customWidth="1"/>
    <col min="2" max="2" width="40.5703125" customWidth="1"/>
    <col min="3" max="3" width="8.28515625" customWidth="1"/>
    <col min="4" max="4" width="8.85546875" customWidth="1"/>
    <col min="5" max="5" width="7.85546875" customWidth="1"/>
    <col min="6" max="6" width="10.85546875" customWidth="1"/>
    <col min="7" max="7" width="10.140625" customWidth="1"/>
    <col min="8" max="8" width="9.28515625" customWidth="1"/>
    <col min="9" max="9" width="11.42578125" customWidth="1"/>
    <col min="10" max="10" width="27" customWidth="1"/>
    <col min="11" max="11" width="8.28515625" customWidth="1"/>
    <col min="12" max="256" width="11.42578125" customWidth="1"/>
  </cols>
  <sheetData>
    <row r="2" spans="2:13" ht="13.5" thickBot="1" x14ac:dyDescent="0.25"/>
    <row r="3" spans="2:13" ht="13.5" thickBot="1" x14ac:dyDescent="0.25">
      <c r="B3" s="663" t="s">
        <v>203</v>
      </c>
      <c r="C3" s="664"/>
      <c r="D3" s="664"/>
      <c r="E3" s="664"/>
      <c r="F3" s="664"/>
      <c r="G3" s="664"/>
      <c r="H3" s="664"/>
      <c r="J3" s="663" t="s">
        <v>417</v>
      </c>
      <c r="K3" s="664"/>
      <c r="L3" s="665"/>
    </row>
    <row r="4" spans="2:13" ht="13.5" thickBot="1" x14ac:dyDescent="0.25">
      <c r="B4" s="19"/>
      <c r="C4" s="19"/>
      <c r="D4" s="19"/>
      <c r="E4" s="19"/>
      <c r="F4" s="19"/>
      <c r="G4" s="19"/>
      <c r="H4" s="19"/>
    </row>
    <row r="5" spans="2:13" x14ac:dyDescent="0.2">
      <c r="B5" s="696" t="s">
        <v>4</v>
      </c>
      <c r="C5" s="699" t="s">
        <v>204</v>
      </c>
      <c r="D5" s="699" t="s">
        <v>175</v>
      </c>
      <c r="E5" s="699" t="s">
        <v>188</v>
      </c>
      <c r="F5" s="693" t="s">
        <v>205</v>
      </c>
      <c r="G5" s="693"/>
      <c r="H5" s="694"/>
    </row>
    <row r="6" spans="2:13" ht="13.5" thickBot="1" x14ac:dyDescent="0.25">
      <c r="B6" s="697"/>
      <c r="C6" s="700"/>
      <c r="D6" s="700"/>
      <c r="E6" s="700"/>
      <c r="F6" s="695" t="s">
        <v>206</v>
      </c>
      <c r="G6" s="695"/>
      <c r="H6" s="702" t="s">
        <v>348</v>
      </c>
    </row>
    <row r="7" spans="2:13" ht="13.5" thickBot="1" x14ac:dyDescent="0.25">
      <c r="B7" s="698"/>
      <c r="C7" s="701"/>
      <c r="D7" s="701"/>
      <c r="E7" s="701"/>
      <c r="F7" s="376" t="s">
        <v>207</v>
      </c>
      <c r="G7" s="376" t="s">
        <v>208</v>
      </c>
      <c r="H7" s="703"/>
      <c r="J7" s="262" t="s">
        <v>243</v>
      </c>
      <c r="K7" s="134" t="s">
        <v>89</v>
      </c>
      <c r="L7" s="102" t="s">
        <v>244</v>
      </c>
    </row>
    <row r="8" spans="2:13" x14ac:dyDescent="0.2">
      <c r="B8" s="383" t="s">
        <v>189</v>
      </c>
      <c r="C8" s="384"/>
      <c r="D8" s="385"/>
      <c r="E8" s="385">
        <f>E9+E45</f>
        <v>174233</v>
      </c>
      <c r="F8" s="172"/>
      <c r="G8" s="172"/>
      <c r="H8" s="386"/>
      <c r="J8" s="181" t="s">
        <v>245</v>
      </c>
      <c r="K8" s="317">
        <f>F57</f>
        <v>65950</v>
      </c>
      <c r="L8" s="356">
        <f>K8/$K$11</f>
        <v>0.33016138229896658</v>
      </c>
      <c r="M8" s="176"/>
    </row>
    <row r="9" spans="2:13" x14ac:dyDescent="0.2">
      <c r="B9" s="377" t="s">
        <v>190</v>
      </c>
      <c r="C9" s="366"/>
      <c r="D9" s="366"/>
      <c r="E9" s="365">
        <f>E10+E13+E16</f>
        <v>164933</v>
      </c>
      <c r="F9" s="380">
        <f>SUM(F10:F44)</f>
        <v>65950</v>
      </c>
      <c r="G9" s="380">
        <f>SUM(G10:G44)</f>
        <v>0</v>
      </c>
      <c r="H9" s="381">
        <f>SUM(H10:H44)</f>
        <v>98983</v>
      </c>
      <c r="J9" s="5" t="s">
        <v>246</v>
      </c>
      <c r="K9" s="152">
        <f>G57</f>
        <v>0</v>
      </c>
      <c r="L9" s="357">
        <f>K9/$K$11</f>
        <v>0</v>
      </c>
      <c r="M9" s="176"/>
    </row>
    <row r="10" spans="2:13" ht="13.5" thickBot="1" x14ac:dyDescent="0.25">
      <c r="B10" s="46" t="s">
        <v>272</v>
      </c>
      <c r="C10" s="254"/>
      <c r="D10" s="254"/>
      <c r="E10" s="364">
        <f>SUM(E11:E12)</f>
        <v>18450</v>
      </c>
      <c r="F10" s="114"/>
      <c r="G10" s="114"/>
      <c r="H10" s="115"/>
      <c r="J10" s="360" t="s">
        <v>349</v>
      </c>
      <c r="K10" s="4">
        <f>H57</f>
        <v>133800.7992630137</v>
      </c>
      <c r="L10" s="358">
        <f>K10/$K$11</f>
        <v>0.66983861770103337</v>
      </c>
      <c r="M10" s="176"/>
    </row>
    <row r="11" spans="2:13" ht="13.5" thickBot="1" x14ac:dyDescent="0.25">
      <c r="B11" s="190" t="s">
        <v>328</v>
      </c>
      <c r="C11" s="353">
        <f>Inversion!C11</f>
        <v>15</v>
      </c>
      <c r="D11" s="353">
        <f>Inversion!D11</f>
        <v>430</v>
      </c>
      <c r="E11" s="257">
        <f>D11*C11</f>
        <v>6450</v>
      </c>
      <c r="F11" s="114">
        <f>E11</f>
        <v>6450</v>
      </c>
      <c r="G11" s="114"/>
      <c r="H11" s="115"/>
      <c r="J11" s="104" t="s">
        <v>1</v>
      </c>
      <c r="K11" s="129">
        <f>SUM(K7:K10)</f>
        <v>199750.7992630137</v>
      </c>
      <c r="L11" s="359">
        <f>K11/$K$11</f>
        <v>1</v>
      </c>
      <c r="M11" s="176"/>
    </row>
    <row r="12" spans="2:13" x14ac:dyDescent="0.2">
      <c r="B12" s="190" t="s">
        <v>329</v>
      </c>
      <c r="C12" s="353">
        <f>Inversion!C12</f>
        <v>30</v>
      </c>
      <c r="D12" s="353">
        <f>Inversion!D12</f>
        <v>400</v>
      </c>
      <c r="E12" s="257">
        <f>D12*C12</f>
        <v>12000</v>
      </c>
      <c r="F12" s="114">
        <f>E12</f>
        <v>12000</v>
      </c>
      <c r="G12" s="114"/>
      <c r="H12" s="115"/>
      <c r="J12" s="90"/>
      <c r="K12" s="35"/>
      <c r="L12" s="355"/>
      <c r="M12" s="176"/>
    </row>
    <row r="13" spans="2:13" x14ac:dyDescent="0.2">
      <c r="B13" s="46" t="s">
        <v>323</v>
      </c>
      <c r="C13" s="353"/>
      <c r="D13" s="353"/>
      <c r="E13" s="364">
        <f>SUM(E14:E15)</f>
        <v>127300</v>
      </c>
      <c r="F13" s="114"/>
      <c r="G13" s="114"/>
      <c r="H13" s="115"/>
      <c r="J13" s="23"/>
      <c r="K13" s="23"/>
      <c r="L13" s="23"/>
    </row>
    <row r="14" spans="2:13" x14ac:dyDescent="0.2">
      <c r="B14" s="29" t="s">
        <v>324</v>
      </c>
      <c r="C14" s="353">
        <f>Inversion!C14</f>
        <v>1</v>
      </c>
      <c r="D14" s="353">
        <f>Inversion!D14</f>
        <v>47500</v>
      </c>
      <c r="E14" s="257">
        <f>D14*C14</f>
        <v>47500</v>
      </c>
      <c r="F14" s="114">
        <f>E14</f>
        <v>47500</v>
      </c>
      <c r="G14" s="114"/>
      <c r="H14" s="115"/>
    </row>
    <row r="15" spans="2:13" x14ac:dyDescent="0.2">
      <c r="B15" s="190" t="s">
        <v>350</v>
      </c>
      <c r="C15" s="353">
        <f>Inversion!C15</f>
        <v>19</v>
      </c>
      <c r="D15" s="353">
        <f>Inversion!D15</f>
        <v>4200</v>
      </c>
      <c r="E15" s="257">
        <f>D15*C15</f>
        <v>79800</v>
      </c>
      <c r="F15" s="114"/>
      <c r="G15" s="114"/>
      <c r="H15" s="115">
        <f>E15</f>
        <v>79800</v>
      </c>
    </row>
    <row r="16" spans="2:13" x14ac:dyDescent="0.2">
      <c r="B16" s="327" t="s">
        <v>248</v>
      </c>
      <c r="C16" s="353"/>
      <c r="D16" s="353"/>
      <c r="E16" s="364">
        <f>SUM(E17:E44)</f>
        <v>19183</v>
      </c>
      <c r="F16" s="114"/>
      <c r="G16" s="114"/>
      <c r="H16" s="115"/>
    </row>
    <row r="17" spans="2:8" x14ac:dyDescent="0.2">
      <c r="B17" s="122" t="s">
        <v>278</v>
      </c>
      <c r="C17" s="353">
        <f>Inversion!C17</f>
        <v>1</v>
      </c>
      <c r="D17" s="353">
        <f>Inversion!D17</f>
        <v>5000</v>
      </c>
      <c r="E17" s="256">
        <f>C17*D17</f>
        <v>5000</v>
      </c>
      <c r="F17" s="114"/>
      <c r="G17" s="114"/>
      <c r="H17" s="115">
        <f>E17</f>
        <v>5000</v>
      </c>
    </row>
    <row r="18" spans="2:8" x14ac:dyDescent="0.2">
      <c r="B18" s="122" t="s">
        <v>279</v>
      </c>
      <c r="C18" s="353">
        <f>Inversion!C18</f>
        <v>1</v>
      </c>
      <c r="D18" s="353">
        <f>Inversion!D18</f>
        <v>210</v>
      </c>
      <c r="E18" s="256">
        <f t="shared" ref="E18:E44" si="0">C18*D18</f>
        <v>210</v>
      </c>
      <c r="F18" s="114"/>
      <c r="G18" s="114"/>
      <c r="H18" s="115">
        <f t="shared" ref="H18:H44" si="1">E18</f>
        <v>210</v>
      </c>
    </row>
    <row r="19" spans="2:8" x14ac:dyDescent="0.2">
      <c r="B19" s="122" t="s">
        <v>281</v>
      </c>
      <c r="C19" s="353">
        <f>Inversion!C19</f>
        <v>1</v>
      </c>
      <c r="D19" s="353">
        <f>Inversion!D19</f>
        <v>180</v>
      </c>
      <c r="E19" s="256">
        <f t="shared" si="0"/>
        <v>180</v>
      </c>
      <c r="F19" s="114"/>
      <c r="G19" s="114"/>
      <c r="H19" s="115">
        <f t="shared" si="1"/>
        <v>180</v>
      </c>
    </row>
    <row r="20" spans="2:8" x14ac:dyDescent="0.2">
      <c r="B20" s="122" t="s">
        <v>282</v>
      </c>
      <c r="C20" s="353">
        <f>Inversion!C20</f>
        <v>2</v>
      </c>
      <c r="D20" s="353">
        <f>Inversion!D20</f>
        <v>30</v>
      </c>
      <c r="E20" s="256">
        <f t="shared" si="0"/>
        <v>60</v>
      </c>
      <c r="F20" s="114"/>
      <c r="G20" s="114"/>
      <c r="H20" s="115">
        <f t="shared" si="1"/>
        <v>60</v>
      </c>
    </row>
    <row r="21" spans="2:8" x14ac:dyDescent="0.2">
      <c r="B21" s="122" t="s">
        <v>283</v>
      </c>
      <c r="C21" s="353">
        <f>Inversion!C21</f>
        <v>1</v>
      </c>
      <c r="D21" s="353">
        <f>Inversion!D21</f>
        <v>35</v>
      </c>
      <c r="E21" s="256">
        <f t="shared" si="0"/>
        <v>35</v>
      </c>
      <c r="F21" s="114"/>
      <c r="G21" s="114"/>
      <c r="H21" s="115">
        <f t="shared" si="1"/>
        <v>35</v>
      </c>
    </row>
    <row r="22" spans="2:8" x14ac:dyDescent="0.2">
      <c r="B22" s="122" t="s">
        <v>284</v>
      </c>
      <c r="C22" s="353">
        <f>Inversion!C22</f>
        <v>1</v>
      </c>
      <c r="D22" s="353">
        <f>Inversion!D22</f>
        <v>190</v>
      </c>
      <c r="E22" s="256">
        <f t="shared" si="0"/>
        <v>190</v>
      </c>
      <c r="F22" s="113"/>
      <c r="G22" s="113"/>
      <c r="H22" s="115">
        <f t="shared" si="1"/>
        <v>190</v>
      </c>
    </row>
    <row r="23" spans="2:8" x14ac:dyDescent="0.2">
      <c r="B23" s="122" t="s">
        <v>285</v>
      </c>
      <c r="C23" s="353">
        <f>Inversion!C23</f>
        <v>3</v>
      </c>
      <c r="D23" s="353">
        <f>Inversion!D23</f>
        <v>10</v>
      </c>
      <c r="E23" s="256">
        <f t="shared" si="0"/>
        <v>30</v>
      </c>
      <c r="F23" s="114"/>
      <c r="G23" s="114"/>
      <c r="H23" s="115">
        <f t="shared" si="1"/>
        <v>30</v>
      </c>
    </row>
    <row r="24" spans="2:8" x14ac:dyDescent="0.2">
      <c r="B24" s="122" t="s">
        <v>286</v>
      </c>
      <c r="C24" s="353">
        <f>Inversion!C24</f>
        <v>2</v>
      </c>
      <c r="D24" s="353">
        <f>Inversion!D24</f>
        <v>5</v>
      </c>
      <c r="E24" s="256">
        <f t="shared" si="0"/>
        <v>10</v>
      </c>
      <c r="F24" s="114"/>
      <c r="G24" s="114"/>
      <c r="H24" s="115">
        <f t="shared" si="1"/>
        <v>10</v>
      </c>
    </row>
    <row r="25" spans="2:8" x14ac:dyDescent="0.2">
      <c r="B25" s="122" t="s">
        <v>200</v>
      </c>
      <c r="C25" s="353">
        <f>Inversion!C25</f>
        <v>2</v>
      </c>
      <c r="D25" s="353">
        <f>Inversion!D25</f>
        <v>120</v>
      </c>
      <c r="E25" s="256">
        <f t="shared" si="0"/>
        <v>240</v>
      </c>
      <c r="F25" s="114"/>
      <c r="G25" s="114"/>
      <c r="H25" s="115">
        <f t="shared" si="1"/>
        <v>240</v>
      </c>
    </row>
    <row r="26" spans="2:8" x14ac:dyDescent="0.2">
      <c r="B26" s="122" t="s">
        <v>249</v>
      </c>
      <c r="C26" s="353">
        <f>Inversion!C26</f>
        <v>10</v>
      </c>
      <c r="D26" s="353">
        <f>Inversion!D26</f>
        <v>160</v>
      </c>
      <c r="E26" s="256">
        <f t="shared" si="0"/>
        <v>1600</v>
      </c>
      <c r="F26" s="114"/>
      <c r="G26" s="114"/>
      <c r="H26" s="115">
        <f t="shared" si="1"/>
        <v>1600</v>
      </c>
    </row>
    <row r="27" spans="2:8" x14ac:dyDescent="0.2">
      <c r="B27" s="122" t="s">
        <v>201</v>
      </c>
      <c r="C27" s="353">
        <f>Inversion!C27</f>
        <v>2</v>
      </c>
      <c r="D27" s="353">
        <f>Inversion!D27</f>
        <v>290</v>
      </c>
      <c r="E27" s="256">
        <f t="shared" si="0"/>
        <v>580</v>
      </c>
      <c r="F27" s="114"/>
      <c r="G27" s="114"/>
      <c r="H27" s="115">
        <f t="shared" si="1"/>
        <v>580</v>
      </c>
    </row>
    <row r="28" spans="2:8" x14ac:dyDescent="0.2">
      <c r="B28" s="330" t="s">
        <v>250</v>
      </c>
      <c r="C28" s="353">
        <f>Inversion!C28</f>
        <v>1</v>
      </c>
      <c r="D28" s="353">
        <f>Inversion!D28</f>
        <v>1800</v>
      </c>
      <c r="E28" s="256">
        <f t="shared" si="0"/>
        <v>1800</v>
      </c>
      <c r="F28" s="114"/>
      <c r="G28" s="114"/>
      <c r="H28" s="115">
        <f t="shared" si="1"/>
        <v>1800</v>
      </c>
    </row>
    <row r="29" spans="2:8" x14ac:dyDescent="0.2">
      <c r="B29" s="122" t="s">
        <v>191</v>
      </c>
      <c r="C29" s="353">
        <f>Inversion!C29</f>
        <v>3</v>
      </c>
      <c r="D29" s="353">
        <f>Inversion!D29</f>
        <v>204</v>
      </c>
      <c r="E29" s="256">
        <f t="shared" si="0"/>
        <v>612</v>
      </c>
      <c r="F29" s="114"/>
      <c r="G29" s="114"/>
      <c r="H29" s="115">
        <f t="shared" si="1"/>
        <v>612</v>
      </c>
    </row>
    <row r="30" spans="2:8" x14ac:dyDescent="0.2">
      <c r="B30" s="122" t="s">
        <v>251</v>
      </c>
      <c r="C30" s="353">
        <f>Inversion!C30</f>
        <v>1</v>
      </c>
      <c r="D30" s="353">
        <f>Inversion!D30</f>
        <v>1250</v>
      </c>
      <c r="E30" s="256">
        <f t="shared" si="0"/>
        <v>1250</v>
      </c>
      <c r="F30" s="114"/>
      <c r="G30" s="114"/>
      <c r="H30" s="115">
        <f t="shared" si="1"/>
        <v>1250</v>
      </c>
    </row>
    <row r="31" spans="2:8" x14ac:dyDescent="0.2">
      <c r="B31" s="122" t="s">
        <v>252</v>
      </c>
      <c r="C31" s="353">
        <f>Inversion!C31</f>
        <v>1</v>
      </c>
      <c r="D31" s="353">
        <f>Inversion!D31</f>
        <v>3000</v>
      </c>
      <c r="E31" s="256">
        <f t="shared" si="0"/>
        <v>3000</v>
      </c>
      <c r="F31" s="114"/>
      <c r="G31" s="114"/>
      <c r="H31" s="115">
        <f t="shared" si="1"/>
        <v>3000</v>
      </c>
    </row>
    <row r="32" spans="2:8" x14ac:dyDescent="0.2">
      <c r="B32" s="122" t="s">
        <v>280</v>
      </c>
      <c r="C32" s="353">
        <f>Inversion!C32</f>
        <v>2</v>
      </c>
      <c r="D32" s="353">
        <f>Inversion!D32</f>
        <v>20</v>
      </c>
      <c r="E32" s="256">
        <f t="shared" si="0"/>
        <v>40</v>
      </c>
      <c r="F32" s="114"/>
      <c r="G32" s="114"/>
      <c r="H32" s="115">
        <f t="shared" si="1"/>
        <v>40</v>
      </c>
    </row>
    <row r="33" spans="2:8" x14ac:dyDescent="0.2">
      <c r="B33" s="122" t="s">
        <v>253</v>
      </c>
      <c r="C33" s="353">
        <f>Inversion!C33</f>
        <v>80</v>
      </c>
      <c r="D33" s="353">
        <f>Inversion!D33</f>
        <v>7</v>
      </c>
      <c r="E33" s="256">
        <f t="shared" si="0"/>
        <v>560</v>
      </c>
      <c r="F33" s="168"/>
      <c r="G33" s="168"/>
      <c r="H33" s="115">
        <f t="shared" si="1"/>
        <v>560</v>
      </c>
    </row>
    <row r="34" spans="2:8" x14ac:dyDescent="0.2">
      <c r="B34" s="122" t="s">
        <v>254</v>
      </c>
      <c r="C34" s="353">
        <f>Inversion!C34</f>
        <v>1</v>
      </c>
      <c r="D34" s="353">
        <f>Inversion!D34</f>
        <v>1300</v>
      </c>
      <c r="E34" s="256">
        <f t="shared" si="0"/>
        <v>1300</v>
      </c>
      <c r="F34" s="362"/>
      <c r="G34" s="363"/>
      <c r="H34" s="115">
        <f t="shared" si="1"/>
        <v>1300</v>
      </c>
    </row>
    <row r="35" spans="2:8" x14ac:dyDescent="0.2">
      <c r="B35" s="330" t="s">
        <v>255</v>
      </c>
      <c r="C35" s="353">
        <f>Inversion!C35</f>
        <v>1</v>
      </c>
      <c r="D35" s="353">
        <f>Inversion!D35</f>
        <v>350</v>
      </c>
      <c r="E35" s="256">
        <f t="shared" si="0"/>
        <v>350</v>
      </c>
      <c r="F35" s="362"/>
      <c r="G35" s="277"/>
      <c r="H35" s="115">
        <f t="shared" si="1"/>
        <v>350</v>
      </c>
    </row>
    <row r="36" spans="2:8" x14ac:dyDescent="0.2">
      <c r="B36" s="122" t="s">
        <v>256</v>
      </c>
      <c r="C36" s="353">
        <f>Inversion!C36</f>
        <v>10</v>
      </c>
      <c r="D36" s="353">
        <f>Inversion!D36</f>
        <v>15</v>
      </c>
      <c r="E36" s="256">
        <f t="shared" si="0"/>
        <v>150</v>
      </c>
      <c r="F36" s="362"/>
      <c r="G36" s="363"/>
      <c r="H36" s="115">
        <f t="shared" si="1"/>
        <v>150</v>
      </c>
    </row>
    <row r="37" spans="2:8" x14ac:dyDescent="0.2">
      <c r="B37" s="122" t="s">
        <v>257</v>
      </c>
      <c r="C37" s="353">
        <f>Inversion!C37</f>
        <v>10</v>
      </c>
      <c r="D37" s="353">
        <f>Inversion!D37</f>
        <v>100</v>
      </c>
      <c r="E37" s="256">
        <f t="shared" si="0"/>
        <v>1000</v>
      </c>
      <c r="F37" s="296"/>
      <c r="G37" s="296"/>
      <c r="H37" s="115">
        <f t="shared" si="1"/>
        <v>1000</v>
      </c>
    </row>
    <row r="38" spans="2:8" x14ac:dyDescent="0.2">
      <c r="B38" s="122" t="s">
        <v>258</v>
      </c>
      <c r="C38" s="353">
        <f>Inversion!C38</f>
        <v>1</v>
      </c>
      <c r="D38" s="353">
        <f>Inversion!D38</f>
        <v>250</v>
      </c>
      <c r="E38" s="256">
        <f t="shared" si="0"/>
        <v>250</v>
      </c>
      <c r="F38" s="277"/>
      <c r="G38" s="277"/>
      <c r="H38" s="115">
        <f t="shared" si="1"/>
        <v>250</v>
      </c>
    </row>
    <row r="39" spans="2:8" x14ac:dyDescent="0.2">
      <c r="B39" s="122" t="s">
        <v>259</v>
      </c>
      <c r="C39" s="353">
        <f>Inversion!C39</f>
        <v>5</v>
      </c>
      <c r="D39" s="353">
        <f>Inversion!D39</f>
        <v>25</v>
      </c>
      <c r="E39" s="256">
        <f t="shared" si="0"/>
        <v>125</v>
      </c>
      <c r="F39" s="277"/>
      <c r="G39" s="277"/>
      <c r="H39" s="115">
        <f t="shared" si="1"/>
        <v>125</v>
      </c>
    </row>
    <row r="40" spans="2:8" x14ac:dyDescent="0.2">
      <c r="B40" s="122" t="s">
        <v>260</v>
      </c>
      <c r="C40" s="353">
        <f>Inversion!C40</f>
        <v>1</v>
      </c>
      <c r="D40" s="353">
        <f>Inversion!D40</f>
        <v>350</v>
      </c>
      <c r="E40" s="256">
        <f t="shared" si="0"/>
        <v>350</v>
      </c>
      <c r="F40" s="277"/>
      <c r="G40" s="277"/>
      <c r="H40" s="115">
        <f t="shared" si="1"/>
        <v>350</v>
      </c>
    </row>
    <row r="41" spans="2:8" x14ac:dyDescent="0.2">
      <c r="B41" s="122" t="s">
        <v>261</v>
      </c>
      <c r="C41" s="353">
        <f>Inversion!C41</f>
        <v>2</v>
      </c>
      <c r="D41" s="353">
        <f>Inversion!D41</f>
        <v>60</v>
      </c>
      <c r="E41" s="256">
        <f t="shared" si="0"/>
        <v>120</v>
      </c>
      <c r="F41" s="277"/>
      <c r="G41" s="277"/>
      <c r="H41" s="115">
        <f t="shared" si="1"/>
        <v>120</v>
      </c>
    </row>
    <row r="42" spans="2:8" x14ac:dyDescent="0.2">
      <c r="B42" s="122" t="s">
        <v>192</v>
      </c>
      <c r="C42" s="353">
        <f>Inversion!C42</f>
        <v>3</v>
      </c>
      <c r="D42" s="353">
        <f>Inversion!D42</f>
        <v>15</v>
      </c>
      <c r="E42" s="256">
        <f t="shared" si="0"/>
        <v>45</v>
      </c>
      <c r="F42" s="277"/>
      <c r="G42" s="277"/>
      <c r="H42" s="115">
        <f t="shared" si="1"/>
        <v>45</v>
      </c>
    </row>
    <row r="43" spans="2:8" x14ac:dyDescent="0.2">
      <c r="B43" s="122" t="s">
        <v>193</v>
      </c>
      <c r="C43" s="353">
        <f>Inversion!C43</f>
        <v>3</v>
      </c>
      <c r="D43" s="353">
        <f>Inversion!D43</f>
        <v>12</v>
      </c>
      <c r="E43" s="256">
        <f t="shared" si="0"/>
        <v>36</v>
      </c>
      <c r="F43" s="277"/>
      <c r="G43" s="277"/>
      <c r="H43" s="115">
        <f t="shared" si="1"/>
        <v>36</v>
      </c>
    </row>
    <row r="44" spans="2:8" x14ac:dyDescent="0.2">
      <c r="B44" s="122" t="s">
        <v>194</v>
      </c>
      <c r="C44" s="353">
        <f>Inversion!C44</f>
        <v>3</v>
      </c>
      <c r="D44" s="353">
        <f>Inversion!D44</f>
        <v>20</v>
      </c>
      <c r="E44" s="256">
        <f t="shared" si="0"/>
        <v>60</v>
      </c>
      <c r="F44" s="277"/>
      <c r="G44" s="277"/>
      <c r="H44" s="115">
        <f t="shared" si="1"/>
        <v>60</v>
      </c>
    </row>
    <row r="45" spans="2:8" x14ac:dyDescent="0.2">
      <c r="B45" s="377" t="s">
        <v>195</v>
      </c>
      <c r="C45" s="379"/>
      <c r="D45" s="379"/>
      <c r="E45" s="365">
        <f>SUM(E46:E52)</f>
        <v>9300</v>
      </c>
      <c r="F45" s="380">
        <f>SUM(F46:F52)</f>
        <v>0</v>
      </c>
      <c r="G45" s="380">
        <f>SUM(G46:G52)</f>
        <v>0</v>
      </c>
      <c r="H45" s="381">
        <f>SUM(H46:H52)</f>
        <v>9300</v>
      </c>
    </row>
    <row r="46" spans="2:8" x14ac:dyDescent="0.2">
      <c r="B46" s="122" t="s">
        <v>262</v>
      </c>
      <c r="C46" s="353">
        <f>Inversion!C46</f>
        <v>1</v>
      </c>
      <c r="D46" s="353">
        <f>Inversion!D46</f>
        <v>1000</v>
      </c>
      <c r="E46" s="257">
        <f>C46*D46</f>
        <v>1000</v>
      </c>
      <c r="F46" s="277"/>
      <c r="G46" s="277"/>
      <c r="H46" s="339">
        <f>E46</f>
        <v>1000</v>
      </c>
    </row>
    <row r="47" spans="2:8" x14ac:dyDescent="0.2">
      <c r="B47" s="122" t="s">
        <v>273</v>
      </c>
      <c r="C47" s="353">
        <f>Inversion!C47</f>
        <v>1</v>
      </c>
      <c r="D47" s="353">
        <f>Inversion!D47</f>
        <v>100</v>
      </c>
      <c r="E47" s="257">
        <f t="shared" ref="E47:E52" si="2">C47*D47</f>
        <v>100</v>
      </c>
      <c r="F47" s="277"/>
      <c r="G47" s="277"/>
      <c r="H47" s="339">
        <f t="shared" ref="H47:H52" si="3">E47</f>
        <v>100</v>
      </c>
    </row>
    <row r="48" spans="2:8" x14ac:dyDescent="0.2">
      <c r="B48" s="122" t="s">
        <v>202</v>
      </c>
      <c r="C48" s="353">
        <f>Inversion!C48</f>
        <v>2</v>
      </c>
      <c r="D48" s="353">
        <f>Inversion!D48</f>
        <v>1100</v>
      </c>
      <c r="E48" s="257">
        <f t="shared" si="2"/>
        <v>2200</v>
      </c>
      <c r="F48" s="277"/>
      <c r="G48" s="277"/>
      <c r="H48" s="339">
        <f t="shared" si="3"/>
        <v>2200</v>
      </c>
    </row>
    <row r="49" spans="2:8" x14ac:dyDescent="0.2">
      <c r="B49" s="122" t="s">
        <v>274</v>
      </c>
      <c r="C49" s="353">
        <f>Inversion!C49</f>
        <v>1</v>
      </c>
      <c r="D49" s="353">
        <f>Inversion!D49</f>
        <v>1500</v>
      </c>
      <c r="E49" s="257">
        <f t="shared" si="2"/>
        <v>1500</v>
      </c>
      <c r="F49" s="277"/>
      <c r="G49" s="277"/>
      <c r="H49" s="339">
        <f t="shared" si="3"/>
        <v>1500</v>
      </c>
    </row>
    <row r="50" spans="2:8" x14ac:dyDescent="0.2">
      <c r="B50" s="122" t="s">
        <v>275</v>
      </c>
      <c r="C50" s="353">
        <f>Inversion!C50</f>
        <v>1</v>
      </c>
      <c r="D50" s="353">
        <f>Inversion!D50</f>
        <v>1500</v>
      </c>
      <c r="E50" s="257">
        <f t="shared" si="2"/>
        <v>1500</v>
      </c>
      <c r="F50" s="277"/>
      <c r="G50" s="277"/>
      <c r="H50" s="339">
        <f t="shared" si="3"/>
        <v>1500</v>
      </c>
    </row>
    <row r="51" spans="2:8" x14ac:dyDescent="0.2">
      <c r="B51" s="122" t="s">
        <v>276</v>
      </c>
      <c r="C51" s="353">
        <f>Inversion!C51</f>
        <v>1</v>
      </c>
      <c r="D51" s="353">
        <f>Inversion!D51</f>
        <v>1500</v>
      </c>
      <c r="E51" s="257">
        <f t="shared" si="2"/>
        <v>1500</v>
      </c>
      <c r="F51" s="277"/>
      <c r="G51" s="277"/>
      <c r="H51" s="339">
        <f t="shared" si="3"/>
        <v>1500</v>
      </c>
    </row>
    <row r="52" spans="2:8" x14ac:dyDescent="0.2">
      <c r="B52" s="122" t="s">
        <v>277</v>
      </c>
      <c r="C52" s="353">
        <f>Inversion!C52</f>
        <v>1</v>
      </c>
      <c r="D52" s="353">
        <f>Inversion!D52</f>
        <v>1500</v>
      </c>
      <c r="E52" s="257">
        <f t="shared" si="2"/>
        <v>1500</v>
      </c>
      <c r="F52" s="277"/>
      <c r="G52" s="277"/>
      <c r="H52" s="339">
        <f t="shared" si="3"/>
        <v>1500</v>
      </c>
    </row>
    <row r="53" spans="2:8" x14ac:dyDescent="0.2">
      <c r="B53" s="378" t="s">
        <v>372</v>
      </c>
      <c r="C53" s="379"/>
      <c r="D53" s="379"/>
      <c r="E53" s="367">
        <f>SUM(E54:E56)</f>
        <v>25517.799263013701</v>
      </c>
      <c r="F53" s="380">
        <f>SUM(F54:F56)</f>
        <v>0</v>
      </c>
      <c r="G53" s="382">
        <f>SUM(G54:G56)</f>
        <v>0</v>
      </c>
      <c r="H53" s="381">
        <f>SUM(H54:H56)</f>
        <v>25517.799263013701</v>
      </c>
    </row>
    <row r="54" spans="2:8" x14ac:dyDescent="0.2">
      <c r="B54" s="331" t="s">
        <v>411</v>
      </c>
      <c r="C54" s="353">
        <f>Inversion!C54</f>
        <v>30</v>
      </c>
      <c r="D54" s="350">
        <f>Inversion!D54</f>
        <v>260.61782054794514</v>
      </c>
      <c r="E54" s="259">
        <f>C54*D54</f>
        <v>7818.5346164383545</v>
      </c>
      <c r="F54" s="277"/>
      <c r="G54" s="362"/>
      <c r="H54" s="555">
        <f>E54</f>
        <v>7818.5346164383545</v>
      </c>
    </row>
    <row r="55" spans="2:8" x14ac:dyDescent="0.2">
      <c r="B55" s="331" t="s">
        <v>412</v>
      </c>
      <c r="C55" s="353">
        <f>Inversion!C55</f>
        <v>30</v>
      </c>
      <c r="D55" s="350">
        <f>Inversion!D55</f>
        <v>264.08507726027398</v>
      </c>
      <c r="E55" s="259">
        <f>C55*D55</f>
        <v>7922.5523178082194</v>
      </c>
      <c r="F55" s="277"/>
      <c r="G55" s="362"/>
      <c r="H55" s="555">
        <f>E55</f>
        <v>7922.5523178082194</v>
      </c>
    </row>
    <row r="56" spans="2:8" ht="13.5" thickBot="1" x14ac:dyDescent="0.25">
      <c r="B56" s="368" t="s">
        <v>413</v>
      </c>
      <c r="C56" s="353">
        <f>Inversion!C56</f>
        <v>30</v>
      </c>
      <c r="D56" s="350">
        <f>Inversion!D56</f>
        <v>325.89041095890417</v>
      </c>
      <c r="E56" s="369">
        <f>C56*D56</f>
        <v>9776.7123287671257</v>
      </c>
      <c r="F56" s="370"/>
      <c r="G56" s="362"/>
      <c r="H56" s="555">
        <f>E56</f>
        <v>9776.7123287671257</v>
      </c>
    </row>
    <row r="57" spans="2:8" ht="13.5" thickBot="1" x14ac:dyDescent="0.25">
      <c r="B57" s="372" t="s">
        <v>287</v>
      </c>
      <c r="C57" s="373"/>
      <c r="D57" s="374"/>
      <c r="E57" s="375">
        <f>E8+E53</f>
        <v>199750.7992630137</v>
      </c>
      <c r="F57" s="387">
        <f>F9+F45+F53</f>
        <v>65950</v>
      </c>
      <c r="G57" s="389">
        <f>G9+G45+G53</f>
        <v>0</v>
      </c>
      <c r="H57" s="388">
        <f>H9+H45+H53</f>
        <v>133800.7992630137</v>
      </c>
    </row>
    <row r="58" spans="2:8" x14ac:dyDescent="0.2">
      <c r="B58" s="684" t="s">
        <v>351</v>
      </c>
      <c r="C58" s="685"/>
      <c r="D58" s="685"/>
      <c r="E58" s="686"/>
      <c r="F58" s="687">
        <f>F57+G57</f>
        <v>65950</v>
      </c>
      <c r="G58" s="688"/>
      <c r="H58" s="390">
        <f>H57</f>
        <v>133800.7992630137</v>
      </c>
    </row>
    <row r="59" spans="2:8" ht="13.5" thickBot="1" x14ac:dyDescent="0.25">
      <c r="B59" s="689" t="s">
        <v>352</v>
      </c>
      <c r="C59" s="690"/>
      <c r="D59" s="690"/>
      <c r="E59" s="691"/>
      <c r="F59" s="692">
        <f>F58/E57</f>
        <v>0.33016138229896658</v>
      </c>
      <c r="G59" s="692"/>
      <c r="H59" s="391">
        <f>H58/E57</f>
        <v>0.66983861770103337</v>
      </c>
    </row>
  </sheetData>
  <mergeCells count="13">
    <mergeCell ref="E5:E7"/>
    <mergeCell ref="H6:H7"/>
    <mergeCell ref="J3:L3"/>
    <mergeCell ref="B58:E58"/>
    <mergeCell ref="F58:G58"/>
    <mergeCell ref="B59:E59"/>
    <mergeCell ref="F59:G59"/>
    <mergeCell ref="B3:H3"/>
    <mergeCell ref="F5:H5"/>
    <mergeCell ref="F6:G6"/>
    <mergeCell ref="B5:B7"/>
    <mergeCell ref="C5:C7"/>
    <mergeCell ref="D5:D7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H27"/>
  <sheetViews>
    <sheetView topLeftCell="A10" workbookViewId="0">
      <selection activeCell="E34" sqref="E34"/>
    </sheetView>
  </sheetViews>
  <sheetFormatPr defaultRowHeight="12.75" x14ac:dyDescent="0.2"/>
  <cols>
    <col min="1" max="1" width="3.42578125" customWidth="1"/>
    <col min="2" max="2" width="22.28515625" customWidth="1"/>
    <col min="3" max="4" width="8.85546875" customWidth="1"/>
    <col min="5" max="5" width="6.85546875" customWidth="1"/>
    <col min="6" max="6" width="13.42578125" customWidth="1"/>
    <col min="7" max="7" width="10.42578125" customWidth="1"/>
    <col min="8" max="8" width="11.42578125" customWidth="1"/>
    <col min="9" max="9" width="22.140625" customWidth="1"/>
    <col min="10" max="10" width="10.85546875" customWidth="1"/>
    <col min="11" max="256" width="11.42578125" customWidth="1"/>
  </cols>
  <sheetData>
    <row r="1" spans="2:8" ht="13.5" thickBot="1" x14ac:dyDescent="0.25"/>
    <row r="2" spans="2:8" ht="13.5" thickBot="1" x14ac:dyDescent="0.25">
      <c r="B2" s="641" t="s">
        <v>450</v>
      </c>
      <c r="C2" s="642"/>
      <c r="D2" s="642"/>
      <c r="E2" s="642"/>
      <c r="F2" s="642"/>
      <c r="G2" s="643"/>
    </row>
    <row r="3" spans="2:8" ht="13.5" thickBot="1" x14ac:dyDescent="0.25">
      <c r="B3" s="19"/>
      <c r="C3" s="19"/>
      <c r="D3" s="19"/>
      <c r="E3" s="19"/>
      <c r="F3" s="19"/>
      <c r="G3" s="19"/>
    </row>
    <row r="4" spans="2:8" ht="12.75" customHeight="1" thickBot="1" x14ac:dyDescent="0.25">
      <c r="B4" s="96" t="s">
        <v>4</v>
      </c>
      <c r="C4" s="127" t="s">
        <v>139</v>
      </c>
      <c r="D4" s="127" t="s">
        <v>136</v>
      </c>
      <c r="E4" s="127" t="s">
        <v>138</v>
      </c>
      <c r="F4" s="127" t="s">
        <v>36</v>
      </c>
      <c r="G4" s="128" t="s">
        <v>63</v>
      </c>
    </row>
    <row r="5" spans="2:8" x14ac:dyDescent="0.2">
      <c r="B5" s="118" t="s">
        <v>196</v>
      </c>
      <c r="C5" s="293">
        <v>173463.11</v>
      </c>
      <c r="D5" s="120">
        <v>20</v>
      </c>
      <c r="E5" s="130">
        <f>1/D5</f>
        <v>0.05</v>
      </c>
      <c r="F5" s="119">
        <v>0</v>
      </c>
      <c r="G5" s="121">
        <v>0</v>
      </c>
    </row>
    <row r="6" spans="2:8" ht="13.5" thickBot="1" x14ac:dyDescent="0.25">
      <c r="B6" s="122" t="s">
        <v>197</v>
      </c>
      <c r="C6" s="116">
        <f>Inversion!E16</f>
        <v>19183</v>
      </c>
      <c r="D6" s="114">
        <v>10</v>
      </c>
      <c r="E6" s="126">
        <f>1/D6</f>
        <v>0.1</v>
      </c>
      <c r="F6" s="116">
        <f>C6*E6</f>
        <v>1918.3000000000002</v>
      </c>
      <c r="G6" s="123">
        <f>C6-(F6*MENU!$H$8)</f>
        <v>7673.1999999999989</v>
      </c>
    </row>
    <row r="7" spans="2:8" ht="13.5" thickBot="1" x14ac:dyDescent="0.25">
      <c r="B7" s="103" t="s">
        <v>0</v>
      </c>
      <c r="C7" s="107">
        <f>SUM(C5:C6)</f>
        <v>192646.11</v>
      </c>
      <c r="D7" s="129"/>
      <c r="E7" s="129"/>
      <c r="F7" s="107">
        <f>SUM(F5:F6)</f>
        <v>1918.3000000000002</v>
      </c>
      <c r="G7" s="109">
        <f>SUM(G5:G6)</f>
        <v>7673.1999999999989</v>
      </c>
    </row>
    <row r="8" spans="2:8" x14ac:dyDescent="0.2">
      <c r="B8" s="552" t="s">
        <v>167</v>
      </c>
      <c r="C8" s="552"/>
      <c r="D8" s="553"/>
      <c r="E8" s="553"/>
      <c r="F8" s="553"/>
      <c r="G8" s="553"/>
    </row>
    <row r="9" spans="2:8" x14ac:dyDescent="0.2">
      <c r="B9" s="585"/>
      <c r="C9" s="585"/>
      <c r="D9" s="553"/>
      <c r="E9" s="553"/>
      <c r="F9" s="553"/>
      <c r="G9" s="553"/>
    </row>
    <row r="10" spans="2:8" ht="13.5" thickBot="1" x14ac:dyDescent="0.25">
      <c r="B10" s="554" t="s">
        <v>419</v>
      </c>
      <c r="C10" s="586">
        <f>MENU!H9</f>
        <v>0.03</v>
      </c>
      <c r="D10" s="553"/>
      <c r="E10" s="553"/>
      <c r="F10" s="553"/>
      <c r="G10" s="553"/>
    </row>
    <row r="11" spans="2:8" ht="13.5" thickBot="1" x14ac:dyDescent="0.25">
      <c r="B11" s="705" t="s">
        <v>418</v>
      </c>
      <c r="C11" s="706"/>
      <c r="D11" s="706"/>
      <c r="E11" s="706"/>
      <c r="F11" s="706"/>
      <c r="G11" s="706"/>
      <c r="H11" s="707"/>
    </row>
    <row r="12" spans="2:8" x14ac:dyDescent="0.2">
      <c r="B12" s="579"/>
      <c r="C12" s="579"/>
      <c r="D12" s="553"/>
      <c r="E12" s="553"/>
      <c r="F12" s="553"/>
      <c r="G12" s="553"/>
    </row>
    <row r="13" spans="2:8" x14ac:dyDescent="0.2">
      <c r="B13" s="595" t="s">
        <v>4</v>
      </c>
      <c r="C13" s="596">
        <v>1</v>
      </c>
      <c r="D13" s="596">
        <f>C13+1</f>
        <v>2</v>
      </c>
      <c r="E13" s="596">
        <f>D13+1</f>
        <v>3</v>
      </c>
      <c r="F13" s="596">
        <f>E13+1</f>
        <v>4</v>
      </c>
      <c r="G13" s="596">
        <f>F13+1</f>
        <v>5</v>
      </c>
      <c r="H13" s="596">
        <f>G13+1</f>
        <v>6</v>
      </c>
    </row>
    <row r="14" spans="2:8" x14ac:dyDescent="0.2">
      <c r="B14" s="587" t="s">
        <v>420</v>
      </c>
      <c r="C14" s="587">
        <f t="shared" ref="C14:H14" si="0">$F$7*C17</f>
        <v>1862.4271844660195</v>
      </c>
      <c r="D14" s="587">
        <f t="shared" si="0"/>
        <v>1808.1817324912811</v>
      </c>
      <c r="E14" s="587">
        <f t="shared" si="0"/>
        <v>1755.5162451371662</v>
      </c>
      <c r="F14" s="587">
        <f t="shared" si="0"/>
        <v>1704.3847040166663</v>
      </c>
      <c r="G14" s="587">
        <f t="shared" si="0"/>
        <v>1654.7424310841423</v>
      </c>
      <c r="H14" s="587">
        <f t="shared" si="0"/>
        <v>1606.5460495962545</v>
      </c>
    </row>
    <row r="15" spans="2:8" x14ac:dyDescent="0.2">
      <c r="B15" s="579"/>
      <c r="C15" s="579"/>
      <c r="D15" s="553"/>
      <c r="E15" s="553"/>
      <c r="F15" s="553"/>
      <c r="G15" s="553"/>
    </row>
    <row r="16" spans="2:8" x14ac:dyDescent="0.2">
      <c r="B16" s="579"/>
      <c r="C16" s="579"/>
      <c r="D16" s="553"/>
      <c r="E16" s="553"/>
      <c r="F16" s="553"/>
      <c r="G16" s="553"/>
    </row>
    <row r="17" spans="2:8" x14ac:dyDescent="0.2">
      <c r="B17" s="587" t="s">
        <v>421</v>
      </c>
      <c r="C17" s="588">
        <f>1/POWER(1.03,1)</f>
        <v>0.970873786407767</v>
      </c>
      <c r="D17" s="588">
        <f>1/POWER(1.03,2)</f>
        <v>0.94259590913375435</v>
      </c>
      <c r="E17" s="588">
        <f>1/POWER(1.03,3)</f>
        <v>0.91514165935315961</v>
      </c>
      <c r="F17" s="588">
        <f>1/POWER(1.03,4)</f>
        <v>0.888487047915689</v>
      </c>
      <c r="G17" s="588">
        <f>1/POWER(1.03,5)</f>
        <v>0.86260878438416411</v>
      </c>
      <c r="H17" s="588">
        <f>1/POWER(1.03,6)</f>
        <v>0.83748425668365445</v>
      </c>
    </row>
    <row r="18" spans="2:8" x14ac:dyDescent="0.2">
      <c r="B18" s="579"/>
      <c r="C18" s="579"/>
      <c r="D18" s="553"/>
      <c r="E18" s="553"/>
      <c r="F18" s="553"/>
      <c r="G18" s="553"/>
    </row>
    <row r="19" spans="2:8" x14ac:dyDescent="0.2">
      <c r="B19" s="35" t="s">
        <v>232</v>
      </c>
    </row>
    <row r="20" spans="2:8" ht="13.5" thickBot="1" x14ac:dyDescent="0.25"/>
    <row r="21" spans="2:8" ht="13.5" customHeight="1" thickBot="1" x14ac:dyDescent="0.25">
      <c r="B21" s="96" t="s">
        <v>4</v>
      </c>
      <c r="C21" s="127" t="s">
        <v>139</v>
      </c>
      <c r="D21" s="127" t="s">
        <v>64</v>
      </c>
      <c r="E21" s="127" t="s">
        <v>137</v>
      </c>
      <c r="F21" s="128" t="s">
        <v>133</v>
      </c>
    </row>
    <row r="22" spans="2:8" ht="13.5" thickBot="1" x14ac:dyDescent="0.25">
      <c r="B22" s="131" t="s">
        <v>37</v>
      </c>
      <c r="C22" s="132">
        <f>Inversion!E45</f>
        <v>9300</v>
      </c>
      <c r="D22" s="132">
        <f>MENU!H8</f>
        <v>6</v>
      </c>
      <c r="E22" s="132">
        <f>1/D22</f>
        <v>0.16666666666666666</v>
      </c>
      <c r="F22" s="133">
        <f>C22*E22</f>
        <v>1550</v>
      </c>
    </row>
    <row r="23" spans="2:8" ht="13.5" thickBot="1" x14ac:dyDescent="0.25">
      <c r="B23" s="704" t="s">
        <v>167</v>
      </c>
      <c r="C23" s="704"/>
      <c r="D23" s="704"/>
      <c r="E23" s="704"/>
      <c r="F23" s="704"/>
      <c r="G23" s="101"/>
    </row>
    <row r="24" spans="2:8" ht="13.5" thickBot="1" x14ac:dyDescent="0.25">
      <c r="B24" s="705" t="s">
        <v>451</v>
      </c>
      <c r="C24" s="706"/>
      <c r="D24" s="706"/>
      <c r="E24" s="706"/>
      <c r="F24" s="706"/>
      <c r="G24" s="706"/>
      <c r="H24" s="707"/>
    </row>
    <row r="25" spans="2:8" ht="13.5" thickBot="1" x14ac:dyDescent="0.25"/>
    <row r="26" spans="2:8" ht="24.75" customHeight="1" thickBot="1" x14ac:dyDescent="0.25">
      <c r="B26" s="592" t="s">
        <v>4</v>
      </c>
      <c r="C26" s="593">
        <v>1</v>
      </c>
      <c r="D26" s="593">
        <f>C26+1</f>
        <v>2</v>
      </c>
      <c r="E26" s="593">
        <f>D26+1</f>
        <v>3</v>
      </c>
      <c r="F26" s="593">
        <f>E26+1</f>
        <v>4</v>
      </c>
      <c r="G26" s="593">
        <f>F26+1</f>
        <v>5</v>
      </c>
      <c r="H26" s="594">
        <f>G26+1</f>
        <v>6</v>
      </c>
    </row>
    <row r="27" spans="2:8" ht="13.5" thickBot="1" x14ac:dyDescent="0.25">
      <c r="B27" s="589" t="s">
        <v>422</v>
      </c>
      <c r="C27" s="590">
        <f t="shared" ref="C27:H27" si="1">$F$22*C17</f>
        <v>1504.8543689320388</v>
      </c>
      <c r="D27" s="590">
        <f t="shared" si="1"/>
        <v>1461.0236591573193</v>
      </c>
      <c r="E27" s="590">
        <f t="shared" si="1"/>
        <v>1418.4695719973975</v>
      </c>
      <c r="F27" s="590">
        <f t="shared" si="1"/>
        <v>1377.1549242693179</v>
      </c>
      <c r="G27" s="590">
        <f t="shared" si="1"/>
        <v>1337.0436157954543</v>
      </c>
      <c r="H27" s="591">
        <f t="shared" si="1"/>
        <v>1298.1005978596645</v>
      </c>
    </row>
  </sheetData>
  <mergeCells count="4">
    <mergeCell ref="B23:F23"/>
    <mergeCell ref="B11:H11"/>
    <mergeCell ref="B2:G2"/>
    <mergeCell ref="B24:H24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:I26"/>
  <sheetViews>
    <sheetView workbookViewId="0">
      <selection activeCell="K22" sqref="K22"/>
    </sheetView>
  </sheetViews>
  <sheetFormatPr defaultColWidth="11.42578125" defaultRowHeight="12.75" x14ac:dyDescent="0.2"/>
  <cols>
    <col min="1" max="1" width="6.140625" style="19" customWidth="1"/>
    <col min="2" max="2" width="22" style="19" customWidth="1"/>
    <col min="3" max="3" width="13" style="19" customWidth="1"/>
    <col min="4" max="4" width="8.42578125" style="19" customWidth="1"/>
    <col min="5" max="5" width="10.5703125" style="19" customWidth="1"/>
    <col min="6" max="6" width="8.42578125" style="49" customWidth="1"/>
    <col min="7" max="7" width="9.42578125" style="19" customWidth="1"/>
    <col min="8" max="8" width="9" style="19" customWidth="1"/>
    <col min="9" max="9" width="7.42578125" style="19" customWidth="1"/>
    <col min="10" max="16384" width="11.42578125" style="19"/>
  </cols>
  <sheetData>
    <row r="2" spans="2:9" ht="13.5" thickBot="1" x14ac:dyDescent="0.25">
      <c r="B2" s="711"/>
      <c r="C2" s="711"/>
      <c r="D2" s="711"/>
      <c r="E2" s="711"/>
      <c r="F2" s="711"/>
      <c r="G2" s="711"/>
      <c r="H2" s="711"/>
      <c r="I2" s="711"/>
    </row>
    <row r="3" spans="2:9" ht="16.5" thickBot="1" x14ac:dyDescent="0.3">
      <c r="B3" s="712" t="s">
        <v>353</v>
      </c>
      <c r="C3" s="713"/>
      <c r="D3" s="713"/>
      <c r="E3" s="713"/>
      <c r="F3" s="713"/>
      <c r="G3" s="713"/>
      <c r="H3" s="713"/>
      <c r="I3" s="714"/>
    </row>
    <row r="4" spans="2:9" ht="16.5" thickBot="1" x14ac:dyDescent="0.3">
      <c r="C4" s="41"/>
      <c r="D4" s="42"/>
      <c r="E4" s="41"/>
      <c r="F4" s="43"/>
      <c r="G4" s="41"/>
    </row>
    <row r="5" spans="2:9" x14ac:dyDescent="0.2">
      <c r="B5" s="696" t="s">
        <v>38</v>
      </c>
      <c r="C5" s="715" t="s">
        <v>39</v>
      </c>
      <c r="D5" s="716"/>
      <c r="E5" s="134" t="s">
        <v>40</v>
      </c>
      <c r="F5" s="135" t="s">
        <v>41</v>
      </c>
      <c r="G5" s="134" t="s">
        <v>42</v>
      </c>
      <c r="H5" s="134" t="s">
        <v>140</v>
      </c>
      <c r="I5" s="102" t="s">
        <v>1</v>
      </c>
    </row>
    <row r="6" spans="2:9" ht="13.5" thickBot="1" x14ac:dyDescent="0.25">
      <c r="B6" s="698"/>
      <c r="C6" s="136" t="s">
        <v>43</v>
      </c>
      <c r="D6" s="137" t="s">
        <v>44</v>
      </c>
      <c r="E6" s="138" t="s">
        <v>45</v>
      </c>
      <c r="F6" s="139" t="s">
        <v>46</v>
      </c>
      <c r="G6" s="138" t="s">
        <v>44</v>
      </c>
      <c r="H6" s="138" t="s">
        <v>47</v>
      </c>
      <c r="I6" s="140" t="s">
        <v>44</v>
      </c>
    </row>
    <row r="7" spans="2:9" x14ac:dyDescent="0.2">
      <c r="B7" s="469" t="s">
        <v>48</v>
      </c>
      <c r="C7" s="523">
        <f>SUM(C8:C9)</f>
        <v>2550</v>
      </c>
      <c r="D7" s="523">
        <f t="shared" ref="D7:I7" si="0">D8+D9</f>
        <v>30600</v>
      </c>
      <c r="E7" s="524">
        <f>C7*3</f>
        <v>7650</v>
      </c>
      <c r="F7" s="525"/>
      <c r="G7" s="525">
        <f t="shared" si="0"/>
        <v>38250</v>
      </c>
      <c r="H7" s="525">
        <f>H8+H9</f>
        <v>3442.5</v>
      </c>
      <c r="I7" s="526">
        <f t="shared" si="0"/>
        <v>41692.5</v>
      </c>
    </row>
    <row r="8" spans="2:9" x14ac:dyDescent="0.2">
      <c r="B8" s="190" t="s">
        <v>49</v>
      </c>
      <c r="C8" s="143">
        <v>1800</v>
      </c>
      <c r="D8" s="143">
        <f>C8*12</f>
        <v>21600</v>
      </c>
      <c r="E8" s="143">
        <f>C8*3</f>
        <v>5400</v>
      </c>
      <c r="F8" s="275">
        <v>1</v>
      </c>
      <c r="G8" s="143">
        <f>(D8+E8)*F8</f>
        <v>27000</v>
      </c>
      <c r="H8" s="143">
        <f>MENU!$H$6*SUELDOS!G8</f>
        <v>2430</v>
      </c>
      <c r="I8" s="527">
        <f>SUM(G8:H8)</f>
        <v>29430</v>
      </c>
    </row>
    <row r="9" spans="2:9" x14ac:dyDescent="0.2">
      <c r="B9" s="45" t="s">
        <v>62</v>
      </c>
      <c r="C9" s="143">
        <v>750</v>
      </c>
      <c r="D9" s="143">
        <f>C9*12</f>
        <v>9000</v>
      </c>
      <c r="E9" s="143">
        <f>C9*3</f>
        <v>2250</v>
      </c>
      <c r="F9" s="275">
        <v>1</v>
      </c>
      <c r="G9" s="143">
        <f>(D9+E9)*F9</f>
        <v>11250</v>
      </c>
      <c r="H9" s="143">
        <f>MENU!$H$6*SUELDOS!G9</f>
        <v>1012.5</v>
      </c>
      <c r="I9" s="527">
        <f>SUM(G9:H9)</f>
        <v>12262.5</v>
      </c>
    </row>
    <row r="10" spans="2:9" x14ac:dyDescent="0.2">
      <c r="B10" s="46" t="s">
        <v>50</v>
      </c>
      <c r="C10" s="276">
        <f>C11</f>
        <v>50</v>
      </c>
      <c r="D10" s="276">
        <f t="shared" ref="D10:I10" si="1">D11</f>
        <v>600</v>
      </c>
      <c r="E10" s="143">
        <f>C10*3</f>
        <v>150</v>
      </c>
      <c r="F10" s="143"/>
      <c r="G10" s="143">
        <f t="shared" si="1"/>
        <v>600</v>
      </c>
      <c r="H10" s="143">
        <f>H11</f>
        <v>0</v>
      </c>
      <c r="I10" s="527">
        <f t="shared" si="1"/>
        <v>600</v>
      </c>
    </row>
    <row r="11" spans="2:9" x14ac:dyDescent="0.2">
      <c r="B11" s="45" t="s">
        <v>51</v>
      </c>
      <c r="C11" s="141">
        <v>50</v>
      </c>
      <c r="D11" s="141">
        <v>600</v>
      </c>
      <c r="E11" s="141">
        <f>C11*3</f>
        <v>150</v>
      </c>
      <c r="F11" s="44">
        <v>0</v>
      </c>
      <c r="G11" s="141">
        <f>D11</f>
        <v>600</v>
      </c>
      <c r="H11" s="143">
        <v>0</v>
      </c>
      <c r="I11" s="142">
        <f>G11</f>
        <v>600</v>
      </c>
    </row>
    <row r="12" spans="2:9" x14ac:dyDescent="0.2">
      <c r="B12" s="46" t="s">
        <v>52</v>
      </c>
      <c r="C12" s="276">
        <f>C13</f>
        <v>750</v>
      </c>
      <c r="D12" s="276">
        <f t="shared" ref="D12:I12" si="2">D13</f>
        <v>9000</v>
      </c>
      <c r="E12" s="276">
        <f t="shared" si="2"/>
        <v>2250</v>
      </c>
      <c r="F12" s="143"/>
      <c r="G12" s="143">
        <f t="shared" si="2"/>
        <v>11250</v>
      </c>
      <c r="H12" s="143">
        <f>H13</f>
        <v>1012.5</v>
      </c>
      <c r="I12" s="527">
        <f t="shared" si="2"/>
        <v>12262.5</v>
      </c>
    </row>
    <row r="13" spans="2:9" ht="13.5" thickBot="1" x14ac:dyDescent="0.25">
      <c r="B13" s="528" t="s">
        <v>53</v>
      </c>
      <c r="C13" s="529">
        <v>750</v>
      </c>
      <c r="D13" s="529">
        <f>C13*12</f>
        <v>9000</v>
      </c>
      <c r="E13" s="529">
        <f>C13*3</f>
        <v>2250</v>
      </c>
      <c r="F13" s="530">
        <v>1</v>
      </c>
      <c r="G13" s="529">
        <f>(D13+E13)*F13</f>
        <v>11250</v>
      </c>
      <c r="H13" s="531">
        <f>MENU!$H$6*SUELDOS!G13</f>
        <v>1012.5</v>
      </c>
      <c r="I13" s="532">
        <f>SUM(G13:H13)</f>
        <v>12262.5</v>
      </c>
    </row>
    <row r="14" spans="2:9" ht="13.5" thickBot="1" x14ac:dyDescent="0.25">
      <c r="B14" s="145" t="s">
        <v>54</v>
      </c>
      <c r="C14" s="146">
        <f>C7+C10+C12</f>
        <v>3350</v>
      </c>
      <c r="D14" s="146">
        <f>D7+D10+D12</f>
        <v>40200</v>
      </c>
      <c r="E14" s="146">
        <f>E7+E10+E12</f>
        <v>10050</v>
      </c>
      <c r="F14" s="147">
        <f>SUM(F8:F13)</f>
        <v>3</v>
      </c>
      <c r="G14" s="146">
        <f>G7+G10+G12</f>
        <v>50100</v>
      </c>
      <c r="H14" s="146">
        <f>H7+H10+H12</f>
        <v>4455</v>
      </c>
      <c r="I14" s="144">
        <f>I7+I10+I12</f>
        <v>54555</v>
      </c>
    </row>
    <row r="15" spans="2:9" x14ac:dyDescent="0.2">
      <c r="B15" s="14" t="s">
        <v>167</v>
      </c>
      <c r="C15" s="47"/>
      <c r="D15" s="47"/>
      <c r="E15" s="47"/>
      <c r="F15" s="47"/>
      <c r="G15" s="47"/>
      <c r="H15" s="47"/>
      <c r="I15" s="47"/>
    </row>
    <row r="16" spans="2:9" x14ac:dyDescent="0.2">
      <c r="B16" s="48"/>
      <c r="C16" s="717"/>
      <c r="D16" s="717"/>
      <c r="E16" s="717"/>
      <c r="F16" s="717"/>
      <c r="G16" s="717"/>
      <c r="H16" s="717"/>
      <c r="I16" s="717"/>
    </row>
    <row r="17" spans="2:9" ht="16.5" customHeight="1" x14ac:dyDescent="0.25">
      <c r="B17" s="48"/>
      <c r="C17" s="718" t="s">
        <v>354</v>
      </c>
      <c r="D17" s="718"/>
      <c r="E17" s="718"/>
      <c r="F17" s="718"/>
      <c r="G17" s="718"/>
      <c r="H17" s="718"/>
      <c r="I17" s="718"/>
    </row>
    <row r="18" spans="2:9" ht="15" x14ac:dyDescent="0.25">
      <c r="B18" s="48"/>
      <c r="C18" s="708" t="s">
        <v>55</v>
      </c>
      <c r="D18" s="708"/>
      <c r="E18" s="708"/>
      <c r="F18" s="708"/>
      <c r="G18" s="708"/>
      <c r="H18" s="708"/>
      <c r="I18" s="708"/>
    </row>
    <row r="19" spans="2:9" ht="13.5" thickBot="1" x14ac:dyDescent="0.25">
      <c r="B19" s="48"/>
      <c r="C19" s="47"/>
      <c r="D19" s="47"/>
      <c r="E19" s="47"/>
      <c r="F19" s="47"/>
      <c r="G19" s="47"/>
      <c r="H19" s="47"/>
      <c r="I19" s="47"/>
    </row>
    <row r="20" spans="2:9" x14ac:dyDescent="0.2">
      <c r="B20" s="48"/>
      <c r="C20" s="709" t="s">
        <v>56</v>
      </c>
      <c r="D20" s="719" t="s">
        <v>57</v>
      </c>
      <c r="E20" s="719"/>
      <c r="F20" s="719"/>
      <c r="G20" s="719"/>
      <c r="H20" s="719"/>
      <c r="I20" s="720"/>
    </row>
    <row r="21" spans="2:9" ht="13.5" thickBot="1" x14ac:dyDescent="0.25">
      <c r="B21" s="48"/>
      <c r="C21" s="710"/>
      <c r="D21" s="448">
        <v>1</v>
      </c>
      <c r="E21" s="448">
        <v>2</v>
      </c>
      <c r="F21" s="448">
        <v>3</v>
      </c>
      <c r="G21" s="448">
        <v>4</v>
      </c>
      <c r="H21" s="448">
        <v>5</v>
      </c>
      <c r="I21" s="449">
        <v>6</v>
      </c>
    </row>
    <row r="22" spans="2:9" x14ac:dyDescent="0.2">
      <c r="B22" s="48"/>
      <c r="C22" s="454" t="s">
        <v>58</v>
      </c>
      <c r="D22" s="455">
        <f t="shared" ref="D22:I22" si="3">$I$7</f>
        <v>41692.5</v>
      </c>
      <c r="E22" s="455">
        <f t="shared" si="3"/>
        <v>41692.5</v>
      </c>
      <c r="F22" s="455">
        <f t="shared" si="3"/>
        <v>41692.5</v>
      </c>
      <c r="G22" s="455">
        <f t="shared" si="3"/>
        <v>41692.5</v>
      </c>
      <c r="H22" s="455">
        <f t="shared" si="3"/>
        <v>41692.5</v>
      </c>
      <c r="I22" s="456">
        <f t="shared" si="3"/>
        <v>41692.5</v>
      </c>
    </row>
    <row r="23" spans="2:9" x14ac:dyDescent="0.2">
      <c r="B23" s="48"/>
      <c r="C23" s="446" t="s">
        <v>59</v>
      </c>
      <c r="D23" s="275">
        <f t="shared" ref="D23:I23" si="4">$I$10</f>
        <v>600</v>
      </c>
      <c r="E23" s="275">
        <f t="shared" si="4"/>
        <v>600</v>
      </c>
      <c r="F23" s="275">
        <f t="shared" si="4"/>
        <v>600</v>
      </c>
      <c r="G23" s="275">
        <f t="shared" si="4"/>
        <v>600</v>
      </c>
      <c r="H23" s="275">
        <f t="shared" si="4"/>
        <v>600</v>
      </c>
      <c r="I23" s="447">
        <f t="shared" si="4"/>
        <v>600</v>
      </c>
    </row>
    <row r="24" spans="2:9" ht="13.5" thickBot="1" x14ac:dyDescent="0.25">
      <c r="B24" s="48"/>
      <c r="C24" s="457" t="s">
        <v>60</v>
      </c>
      <c r="D24" s="458">
        <f t="shared" ref="D24:I24" si="5">$I$12</f>
        <v>12262.5</v>
      </c>
      <c r="E24" s="458">
        <f t="shared" si="5"/>
        <v>12262.5</v>
      </c>
      <c r="F24" s="458">
        <f t="shared" si="5"/>
        <v>12262.5</v>
      </c>
      <c r="G24" s="458">
        <f t="shared" si="5"/>
        <v>12262.5</v>
      </c>
      <c r="H24" s="458">
        <f t="shared" si="5"/>
        <v>12262.5</v>
      </c>
      <c r="I24" s="459">
        <f t="shared" si="5"/>
        <v>12262.5</v>
      </c>
    </row>
    <row r="25" spans="2:9" ht="13.5" thickBot="1" x14ac:dyDescent="0.25">
      <c r="B25" s="48"/>
      <c r="C25" s="450" t="s">
        <v>61</v>
      </c>
      <c r="D25" s="451">
        <f t="shared" ref="D25:I25" si="6">SUM(D22:D24)</f>
        <v>54555</v>
      </c>
      <c r="E25" s="452">
        <f t="shared" si="6"/>
        <v>54555</v>
      </c>
      <c r="F25" s="452">
        <f t="shared" si="6"/>
        <v>54555</v>
      </c>
      <c r="G25" s="452">
        <f t="shared" si="6"/>
        <v>54555</v>
      </c>
      <c r="H25" s="452">
        <f t="shared" si="6"/>
        <v>54555</v>
      </c>
      <c r="I25" s="453">
        <f t="shared" si="6"/>
        <v>54555</v>
      </c>
    </row>
    <row r="26" spans="2:9" x14ac:dyDescent="0.2">
      <c r="B26" s="48"/>
      <c r="C26" s="14" t="s">
        <v>167</v>
      </c>
      <c r="D26" s="47"/>
      <c r="E26" s="47"/>
      <c r="F26" s="47"/>
      <c r="G26" s="47"/>
      <c r="H26" s="47"/>
      <c r="I26" s="47"/>
    </row>
  </sheetData>
  <mergeCells count="9">
    <mergeCell ref="C18:I18"/>
    <mergeCell ref="C20:C21"/>
    <mergeCell ref="B2:I2"/>
    <mergeCell ref="B3:I3"/>
    <mergeCell ref="C5:D5"/>
    <mergeCell ref="C16:I16"/>
    <mergeCell ref="B5:B6"/>
    <mergeCell ref="C17:I17"/>
    <mergeCell ref="D20:I20"/>
  </mergeCells>
  <phoneticPr fontId="3" type="noConversion"/>
  <pageMargins left="0.75" right="0.75" top="1" bottom="1" header="0" footer="0"/>
  <pageSetup paperSize="9" orientation="portrait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1:G17"/>
  <sheetViews>
    <sheetView workbookViewId="0">
      <selection activeCell="B2" sqref="B2:F16"/>
    </sheetView>
  </sheetViews>
  <sheetFormatPr defaultColWidth="11.42578125" defaultRowHeight="15" x14ac:dyDescent="0.3"/>
  <cols>
    <col min="1" max="1" width="6.5703125" style="167" customWidth="1"/>
    <col min="2" max="2" width="22.140625" style="167" customWidth="1"/>
    <col min="3" max="3" width="8.42578125" style="167" customWidth="1"/>
    <col min="4" max="4" width="10.140625" style="167" customWidth="1"/>
    <col min="5" max="5" width="15" style="167" customWidth="1"/>
    <col min="6" max="6" width="13.140625" style="167" bestFit="1" customWidth="1"/>
    <col min="7" max="7" width="7.140625" style="167" bestFit="1" customWidth="1"/>
    <col min="8" max="8" width="8.28515625" style="167" customWidth="1"/>
    <col min="9" max="9" width="2.7109375" style="167" customWidth="1"/>
    <col min="10" max="10" width="20.85546875" style="167" customWidth="1"/>
    <col min="11" max="11" width="11.42578125" style="167"/>
    <col min="12" max="12" width="18" style="167" customWidth="1"/>
    <col min="13" max="13" width="18.42578125" style="167" bestFit="1" customWidth="1"/>
    <col min="14" max="16384" width="11.42578125" style="167"/>
  </cols>
  <sheetData>
    <row r="1" spans="2:7" ht="15.75" thickBot="1" x14ac:dyDescent="0.35"/>
    <row r="2" spans="2:7" ht="17.25" thickBot="1" x14ac:dyDescent="0.35">
      <c r="B2" s="721" t="s">
        <v>289</v>
      </c>
      <c r="C2" s="722"/>
      <c r="D2" s="722"/>
      <c r="E2" s="722"/>
      <c r="F2" s="723"/>
    </row>
    <row r="3" spans="2:7" x14ac:dyDescent="0.3">
      <c r="B3" s="546" t="s">
        <v>271</v>
      </c>
      <c r="C3" s="546"/>
      <c r="D3" s="546"/>
      <c r="E3" s="546"/>
      <c r="F3" s="546"/>
    </row>
    <row r="4" spans="2:7" ht="15.75" thickBot="1" x14ac:dyDescent="0.35">
      <c r="B4" s="547" t="s">
        <v>242</v>
      </c>
      <c r="C4" s="546" t="s">
        <v>264</v>
      </c>
      <c r="D4" s="546"/>
      <c r="E4" s="548"/>
      <c r="F4" s="546"/>
    </row>
    <row r="5" spans="2:7" x14ac:dyDescent="0.3">
      <c r="B5" s="219" t="s">
        <v>168</v>
      </c>
      <c r="C5" s="220" t="s">
        <v>16</v>
      </c>
      <c r="D5" s="220" t="s">
        <v>3</v>
      </c>
      <c r="E5" s="220" t="s">
        <v>169</v>
      </c>
      <c r="F5" s="221" t="s">
        <v>170</v>
      </c>
    </row>
    <row r="6" spans="2:7" x14ac:dyDescent="0.3">
      <c r="B6" s="724" t="s">
        <v>171</v>
      </c>
      <c r="C6" s="725"/>
      <c r="D6" s="725"/>
      <c r="E6" s="725"/>
      <c r="F6" s="222">
        <f>SUM(F7:F10)</f>
        <v>41.69</v>
      </c>
    </row>
    <row r="7" spans="2:7" x14ac:dyDescent="0.3">
      <c r="B7" s="189" t="s">
        <v>235</v>
      </c>
      <c r="C7" s="261" t="s">
        <v>17</v>
      </c>
      <c r="D7" s="393">
        <v>40</v>
      </c>
      <c r="E7" s="401">
        <f>Precio_leche__soles_litro</f>
        <v>1</v>
      </c>
      <c r="F7" s="223">
        <f>+E7*D7</f>
        <v>40</v>
      </c>
    </row>
    <row r="8" spans="2:7" x14ac:dyDescent="0.3">
      <c r="B8" s="189" t="s">
        <v>172</v>
      </c>
      <c r="C8" s="261" t="s">
        <v>173</v>
      </c>
      <c r="D8" s="260">
        <v>0.5</v>
      </c>
      <c r="E8" s="401">
        <f>138/100</f>
        <v>1.38</v>
      </c>
      <c r="F8" s="223">
        <f>+E8*D8</f>
        <v>0.69</v>
      </c>
    </row>
    <row r="9" spans="2:7" x14ac:dyDescent="0.3">
      <c r="B9" s="189" t="s">
        <v>19</v>
      </c>
      <c r="C9" s="261" t="s">
        <v>5</v>
      </c>
      <c r="D9" s="260">
        <v>0.5</v>
      </c>
      <c r="E9" s="401">
        <v>0.8</v>
      </c>
      <c r="F9" s="223">
        <f>+E9*D9</f>
        <v>0.4</v>
      </c>
    </row>
    <row r="10" spans="2:7" x14ac:dyDescent="0.3">
      <c r="B10" s="189" t="s">
        <v>20</v>
      </c>
      <c r="C10" s="261" t="s">
        <v>5</v>
      </c>
      <c r="D10" s="260">
        <v>0.1</v>
      </c>
      <c r="E10" s="401">
        <v>6</v>
      </c>
      <c r="F10" s="223">
        <f>+E10*D10</f>
        <v>0.60000000000000009</v>
      </c>
    </row>
    <row r="11" spans="2:7" x14ac:dyDescent="0.3">
      <c r="B11" s="732" t="s">
        <v>454</v>
      </c>
      <c r="C11" s="733"/>
      <c r="D11" s="733"/>
      <c r="E11" s="734"/>
      <c r="F11" s="222">
        <f>F12</f>
        <v>0.4</v>
      </c>
    </row>
    <row r="12" spans="2:7" x14ac:dyDescent="0.3">
      <c r="B12" s="337" t="s">
        <v>358</v>
      </c>
      <c r="C12" s="415" t="s">
        <v>342</v>
      </c>
      <c r="D12" s="628">
        <f>F14</f>
        <v>40</v>
      </c>
      <c r="E12" s="627">
        <v>0.01</v>
      </c>
      <c r="F12" s="223">
        <f>+E12*D12</f>
        <v>0.4</v>
      </c>
    </row>
    <row r="13" spans="2:7" x14ac:dyDescent="0.3">
      <c r="B13" s="726" t="s">
        <v>174</v>
      </c>
      <c r="C13" s="727"/>
      <c r="D13" s="727"/>
      <c r="E13" s="728"/>
      <c r="F13" s="222">
        <f>F6+F11</f>
        <v>42.089999999999996</v>
      </c>
      <c r="G13" s="234"/>
    </row>
    <row r="14" spans="2:7" x14ac:dyDescent="0.3">
      <c r="B14" s="726" t="s">
        <v>263</v>
      </c>
      <c r="C14" s="727"/>
      <c r="D14" s="727"/>
      <c r="E14" s="728"/>
      <c r="F14" s="222">
        <v>40</v>
      </c>
      <c r="G14" s="235"/>
    </row>
    <row r="15" spans="2:7" ht="15.75" thickBot="1" x14ac:dyDescent="0.35">
      <c r="B15" s="729" t="s">
        <v>169</v>
      </c>
      <c r="C15" s="730"/>
      <c r="D15" s="730"/>
      <c r="E15" s="731"/>
      <c r="F15" s="224">
        <f>+F13/F14</f>
        <v>1.0522499999999999</v>
      </c>
    </row>
    <row r="16" spans="2:7" x14ac:dyDescent="0.3">
      <c r="B16" s="542" t="s">
        <v>234</v>
      </c>
      <c r="C16" s="546"/>
      <c r="D16" s="546"/>
      <c r="E16" s="546"/>
      <c r="F16" s="546"/>
    </row>
    <row r="17" spans="2:6" x14ac:dyDescent="0.3">
      <c r="B17" s="546"/>
      <c r="C17" s="546"/>
      <c r="D17" s="546"/>
      <c r="E17" s="546"/>
      <c r="F17" s="546"/>
    </row>
  </sheetData>
  <mergeCells count="6">
    <mergeCell ref="B2:F2"/>
    <mergeCell ref="B6:E6"/>
    <mergeCell ref="B13:E13"/>
    <mergeCell ref="B14:E14"/>
    <mergeCell ref="B15:E15"/>
    <mergeCell ref="B11:E11"/>
  </mergeCells>
  <pageMargins left="0.75" right="0.75" top="1" bottom="1" header="0" footer="0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MENU</vt:lpstr>
      <vt:lpstr>Oferta M.P.</vt:lpstr>
      <vt:lpstr>ProgramaProd.</vt:lpstr>
      <vt:lpstr>INGR</vt:lpstr>
      <vt:lpstr>Inversion</vt:lpstr>
      <vt:lpstr>FINANCIAMIENTO</vt:lpstr>
      <vt:lpstr>DEP</vt:lpstr>
      <vt:lpstr>SUELDOS</vt:lpstr>
      <vt:lpstr>CUCACHIPA</vt:lpstr>
      <vt:lpstr>CUQUESOS</vt:lpstr>
      <vt:lpstr>CUYOGUR</vt:lpstr>
      <vt:lpstr>OPERACION</vt:lpstr>
      <vt:lpstr>EGP</vt:lpstr>
      <vt:lpstr>CV-CF</vt:lpstr>
      <vt:lpstr>P.E</vt:lpstr>
      <vt:lpstr>F.CAJA</vt:lpstr>
      <vt:lpstr>E.ECON</vt:lpstr>
      <vt:lpstr>sensib.</vt:lpstr>
      <vt:lpstr>Hoja1</vt:lpstr>
      <vt:lpstr>Precio_de_queso_fresco_150_gr__soles_kilo</vt:lpstr>
      <vt:lpstr>Precio_leche__soles_litro</vt:lpstr>
      <vt:lpstr>Precio_manjar__soles_kilo</vt:lpstr>
      <vt:lpstr>Precio_queso_soles_kilo</vt:lpstr>
      <vt:lpstr>Precio_yogur__soles_litro</vt:lpstr>
      <vt:lpstr>TIRE</vt:lpstr>
      <vt:lpstr>TIRF</vt:lpstr>
      <vt:lpstr>VANE</vt:lpstr>
      <vt:lpstr>VANF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EDISON ACHALMA</cp:lastModifiedBy>
  <dcterms:created xsi:type="dcterms:W3CDTF">1996-11-27T10:00:04Z</dcterms:created>
  <dcterms:modified xsi:type="dcterms:W3CDTF">2021-08-03T16:59:05Z</dcterms:modified>
</cp:coreProperties>
</file>