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s/EVALUACION DE CASOS DE PROYECTOS NUEVOS/"/>
    </mc:Choice>
  </mc:AlternateContent>
  <xr:revisionPtr revIDLastSave="0" documentId="8_{2CA44C57-D6F9-464F-B043-1C2A18CDC419}" xr6:coauthVersionLast="47" xr6:coauthVersionMax="47" xr10:uidLastSave="{00000000-0000-0000-0000-000000000000}"/>
  <bookViews>
    <workbookView xWindow="-120" yWindow="-16320" windowWidth="29040" windowHeight="15720" activeTab="17"/>
  </bookViews>
  <sheets>
    <sheet name="Resumen" sheetId="14" r:id="rId1"/>
    <sheet name="Ventas_Unidades" sheetId="16" r:id="rId2"/>
    <sheet name="Presupuesto_Ventas" sheetId="1" r:id="rId3"/>
    <sheet name="Inversión_Inicial" sheetId="2" r:id="rId4"/>
    <sheet name="Depreciación_VR" sheetId="4" r:id="rId5"/>
    <sheet name="Costos_Producción" sheetId="23" r:id="rId6"/>
    <sheet name="Planilla" sheetId="21" r:id="rId7"/>
    <sheet name="Gastos_Operativos" sheetId="8" r:id="rId8"/>
    <sheet name="KW_Año 1" sheetId="15" r:id="rId9"/>
    <sheet name="Costos_Unitarios" sheetId="5" r:id="rId10"/>
    <sheet name="Punto de equilibrio" sheetId="6" r:id="rId11"/>
    <sheet name="Flujo_Deuda" sheetId="11" r:id="rId12"/>
    <sheet name="Estado de Resultados" sheetId="9" r:id="rId13"/>
    <sheet name="IGV" sheetId="22" r:id="rId14"/>
    <sheet name="Ku" sheetId="24" r:id="rId15"/>
    <sheet name="Ke y Kwacc" sheetId="25" r:id="rId16"/>
    <sheet name="Flujos de Caja" sheetId="10" r:id="rId17"/>
    <sheet name="Rentabilidad" sheetId="13" r:id="rId18"/>
    <sheet name="Hoja2" sheetId="27" r:id="rId19"/>
  </sheets>
  <externalReferences>
    <externalReference r:id="rId20"/>
  </externalReferences>
  <definedNames>
    <definedName name="_Hlk37002392" localSheetId="15">'Ke y Kwacc'!$B$15</definedName>
    <definedName name="_Hlk38462990" localSheetId="15">'Ke y Kwacc'!$G$14</definedName>
    <definedName name="MANO_DE_OBRA_M">[1]Resumen!$H$13</definedName>
    <definedName name="PRECIO_DE_VENTA_M">[1]Resumen!$H$12</definedName>
    <definedName name="TIRE" localSheetId="0">Resumen!$C$15</definedName>
    <definedName name="TIRF" localSheetId="0">Resumen!$E$15</definedName>
    <definedName name="Valor_de_venta" localSheetId="0">Resumen!$H$13</definedName>
    <definedName name="Valor_del_Rocoto" localSheetId="0">Resumen!$H$15</definedName>
    <definedName name="Valor_Mano_Obra" localSheetId="0">Resumen!$H$14</definedName>
    <definedName name="VANE" localSheetId="0">Resumen!$C$13</definedName>
    <definedName name="VANF" localSheetId="0">Resumen!$E$13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3" l="1"/>
  <c r="F7" i="23" s="1"/>
  <c r="F6" i="23" s="1"/>
  <c r="D12" i="23"/>
  <c r="F12" i="23"/>
  <c r="F11" i="23" s="1"/>
  <c r="C12" i="5" s="1"/>
  <c r="D5" i="13"/>
  <c r="C13" i="8"/>
  <c r="F13" i="8" s="1"/>
  <c r="C12" i="8"/>
  <c r="F12" i="8"/>
  <c r="F11" i="8" s="1"/>
  <c r="F6" i="8"/>
  <c r="C5" i="8"/>
  <c r="F5" i="8" s="1"/>
  <c r="F4" i="8" s="1"/>
  <c r="C9" i="1"/>
  <c r="L9" i="1"/>
  <c r="C10" i="1"/>
  <c r="M10" i="1" s="1"/>
  <c r="C11" i="1"/>
  <c r="M11" i="1" s="1"/>
  <c r="C12" i="1"/>
  <c r="M12" i="1"/>
  <c r="C8" i="1"/>
  <c r="L8" i="1"/>
  <c r="D4" i="13"/>
  <c r="C21" i="9"/>
  <c r="C19" i="25"/>
  <c r="C12" i="24"/>
  <c r="D2" i="13" s="1"/>
  <c r="D3" i="13" s="1"/>
  <c r="D6" i="13" s="1"/>
  <c r="H11" i="25"/>
  <c r="H10" i="25"/>
  <c r="H7" i="25"/>
  <c r="C22" i="25"/>
  <c r="C8" i="25" s="1"/>
  <c r="C12" i="25" s="1"/>
  <c r="H8" i="25" s="1"/>
  <c r="C10" i="25"/>
  <c r="K17" i="21"/>
  <c r="K12" i="21"/>
  <c r="F14" i="23"/>
  <c r="F13" i="23"/>
  <c r="C13" i="5" s="1"/>
  <c r="F10" i="23"/>
  <c r="F9" i="23"/>
  <c r="F8" i="23"/>
  <c r="H6" i="21"/>
  <c r="H5" i="21"/>
  <c r="H7" i="21" s="1"/>
  <c r="F17" i="21"/>
  <c r="E17" i="21"/>
  <c r="D17" i="21"/>
  <c r="G17" i="21"/>
  <c r="H17" i="21" s="1"/>
  <c r="I17" i="21" s="1"/>
  <c r="F16" i="21"/>
  <c r="E16" i="21"/>
  <c r="D16" i="21"/>
  <c r="G16" i="21" s="1"/>
  <c r="G26" i="10"/>
  <c r="H26" i="10"/>
  <c r="I26" i="10"/>
  <c r="C15" i="1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G33" i="2"/>
  <c r="G32" i="2"/>
  <c r="G31" i="2"/>
  <c r="G34" i="2" s="1"/>
  <c r="G28" i="2"/>
  <c r="G27" i="2"/>
  <c r="G26" i="2"/>
  <c r="G25" i="2"/>
  <c r="G23" i="2"/>
  <c r="G22" i="2"/>
  <c r="G21" i="2"/>
  <c r="G20" i="2"/>
  <c r="G19" i="2"/>
  <c r="G18" i="2"/>
  <c r="G17" i="2"/>
  <c r="G16" i="2"/>
  <c r="G15" i="2"/>
  <c r="G13" i="2"/>
  <c r="G12" i="2"/>
  <c r="G11" i="2"/>
  <c r="G9" i="2"/>
  <c r="G8" i="2"/>
  <c r="G7" i="2"/>
  <c r="G6" i="2" s="1"/>
  <c r="C5" i="4" s="1"/>
  <c r="G5" i="21"/>
  <c r="D6" i="21"/>
  <c r="G6" i="21" s="1"/>
  <c r="I6" i="21" s="1"/>
  <c r="D5" i="21"/>
  <c r="E7" i="4"/>
  <c r="E9" i="15"/>
  <c r="F9" i="15"/>
  <c r="G9" i="15"/>
  <c r="H9" i="15"/>
  <c r="I9" i="15"/>
  <c r="J9" i="15"/>
  <c r="K9" i="15"/>
  <c r="L9" i="15"/>
  <c r="M9" i="15"/>
  <c r="N9" i="15"/>
  <c r="O9" i="15"/>
  <c r="D9" i="15"/>
  <c r="O11" i="16"/>
  <c r="O10" i="16"/>
  <c r="O9" i="16"/>
  <c r="O8" i="16"/>
  <c r="O7" i="16"/>
  <c r="E4" i="11"/>
  <c r="E5" i="11"/>
  <c r="E6" i="11"/>
  <c r="E7" i="11" s="1"/>
  <c r="D19" i="10"/>
  <c r="F15" i="8"/>
  <c r="F14" i="8"/>
  <c r="F10" i="8"/>
  <c r="F9" i="8"/>
  <c r="F8" i="8"/>
  <c r="H11" i="22" s="1"/>
  <c r="F7" i="8"/>
  <c r="E6" i="4"/>
  <c r="E8" i="4"/>
  <c r="E5" i="4"/>
  <c r="I5" i="21"/>
  <c r="I7" i="21" s="1"/>
  <c r="G12" i="10"/>
  <c r="E18" i="10"/>
  <c r="E12" i="10"/>
  <c r="E11" i="22"/>
  <c r="D11" i="22"/>
  <c r="G10" i="2"/>
  <c r="C6" i="4" s="1"/>
  <c r="G14" i="2"/>
  <c r="F7" i="10" s="1"/>
  <c r="G24" i="2"/>
  <c r="C8" i="4" s="1"/>
  <c r="F9" i="1"/>
  <c r="G9" i="1"/>
  <c r="I12" i="1"/>
  <c r="E9" i="1"/>
  <c r="O8" i="1"/>
  <c r="K9" i="1"/>
  <c r="M8" i="1"/>
  <c r="E11" i="1"/>
  <c r="D8" i="1"/>
  <c r="O12" i="1"/>
  <c r="G12" i="1"/>
  <c r="N8" i="1"/>
  <c r="L11" i="1"/>
  <c r="D12" i="1"/>
  <c r="H9" i="1"/>
  <c r="O11" i="1"/>
  <c r="H12" i="1"/>
  <c r="N12" i="1"/>
  <c r="H8" i="1"/>
  <c r="N9" i="1"/>
  <c r="F8" i="1"/>
  <c r="O9" i="1"/>
  <c r="D9" i="1"/>
  <c r="P9" i="1" s="1"/>
  <c r="M9" i="1"/>
  <c r="J9" i="1"/>
  <c r="E8" i="1"/>
  <c r="J8" i="1"/>
  <c r="D5" i="6"/>
  <c r="G8" i="1"/>
  <c r="K8" i="1"/>
  <c r="I8" i="1"/>
  <c r="P8" i="1" s="1"/>
  <c r="I9" i="1"/>
  <c r="O10" i="1"/>
  <c r="E12" i="1"/>
  <c r="P12" i="1" s="1"/>
  <c r="L12" i="1"/>
  <c r="J12" i="1"/>
  <c r="K12" i="1"/>
  <c r="K10" i="1"/>
  <c r="F12" i="1"/>
  <c r="D14" i="13"/>
  <c r="D15" i="13" s="1"/>
  <c r="F8" i="4" l="1"/>
  <c r="G8" i="4" s="1"/>
  <c r="H8" i="4"/>
  <c r="D6" i="22"/>
  <c r="D7" i="22" s="1"/>
  <c r="D8" i="22" s="1"/>
  <c r="D6" i="9"/>
  <c r="E6" i="9"/>
  <c r="E6" i="22"/>
  <c r="E7" i="22" s="1"/>
  <c r="E8" i="22" s="1"/>
  <c r="F12" i="10"/>
  <c r="H7" i="10"/>
  <c r="H12" i="10" s="1"/>
  <c r="G13" i="9"/>
  <c r="G12" i="22"/>
  <c r="H13" i="9"/>
  <c r="D13" i="9"/>
  <c r="C8" i="5"/>
  <c r="F12" i="22"/>
  <c r="D12" i="22"/>
  <c r="E13" i="9"/>
  <c r="F13" i="9"/>
  <c r="H12" i="22"/>
  <c r="E12" i="22"/>
  <c r="C9" i="4"/>
  <c r="F5" i="4"/>
  <c r="F6" i="4"/>
  <c r="G6" i="4" s="1"/>
  <c r="H6" i="4" s="1"/>
  <c r="E8" i="11"/>
  <c r="H16" i="21"/>
  <c r="I16" i="21" s="1"/>
  <c r="I18" i="21" s="1"/>
  <c r="H6" i="9"/>
  <c r="H6" i="22"/>
  <c r="H7" i="22" s="1"/>
  <c r="H8" i="22" s="1"/>
  <c r="C7" i="5"/>
  <c r="D8" i="10"/>
  <c r="E14" i="9"/>
  <c r="E13" i="22" s="1"/>
  <c r="F14" i="9"/>
  <c r="F13" i="22" s="1"/>
  <c r="H14" i="9"/>
  <c r="H13" i="22" s="1"/>
  <c r="D14" i="9"/>
  <c r="D13" i="22" s="1"/>
  <c r="G14" i="9"/>
  <c r="G13" i="22" s="1"/>
  <c r="F12" i="9"/>
  <c r="G16" i="10" s="1"/>
  <c r="E12" i="9"/>
  <c r="D12" i="9"/>
  <c r="E16" i="10" s="1"/>
  <c r="F16" i="8"/>
  <c r="H12" i="9"/>
  <c r="I16" i="10" s="1"/>
  <c r="C5" i="5"/>
  <c r="G12" i="9"/>
  <c r="H16" i="10" s="1"/>
  <c r="F15" i="23"/>
  <c r="C11" i="5"/>
  <c r="C14" i="5" s="1"/>
  <c r="C18" i="5" s="1"/>
  <c r="J10" i="1"/>
  <c r="F10" i="1"/>
  <c r="G11" i="1"/>
  <c r="C7" i="4"/>
  <c r="H9" i="25"/>
  <c r="H13" i="25" s="1"/>
  <c r="D10" i="1"/>
  <c r="H10" i="1"/>
  <c r="G11" i="22"/>
  <c r="H9" i="22"/>
  <c r="N10" i="1"/>
  <c r="F11" i="1"/>
  <c r="F11" i="22"/>
  <c r="E10" i="1"/>
  <c r="K11" i="1"/>
  <c r="G29" i="2"/>
  <c r="L10" i="1"/>
  <c r="I10" i="1"/>
  <c r="H11" i="1"/>
  <c r="I11" i="1"/>
  <c r="D11" i="1"/>
  <c r="G10" i="1"/>
  <c r="J11" i="1"/>
  <c r="N11" i="1"/>
  <c r="P11" i="1" l="1"/>
  <c r="H7" i="4"/>
  <c r="F7" i="4"/>
  <c r="G7" i="4" s="1"/>
  <c r="I14" i="10"/>
  <c r="D12" i="15"/>
  <c r="H12" i="15"/>
  <c r="G12" i="15"/>
  <c r="N12" i="15"/>
  <c r="F12" i="15"/>
  <c r="I12" i="15"/>
  <c r="L12" i="15"/>
  <c r="J12" i="15"/>
  <c r="K12" i="15"/>
  <c r="O12" i="15"/>
  <c r="M12" i="15"/>
  <c r="E12" i="15"/>
  <c r="F9" i="4"/>
  <c r="G5" i="4"/>
  <c r="H5" i="4" s="1"/>
  <c r="F16" i="10"/>
  <c r="E14" i="10"/>
  <c r="F14" i="10"/>
  <c r="D10" i="15"/>
  <c r="D11" i="15" s="1"/>
  <c r="F8" i="9"/>
  <c r="G15" i="10" s="1"/>
  <c r="L10" i="15"/>
  <c r="L11" i="15" s="1"/>
  <c r="L13" i="15" s="1"/>
  <c r="D6" i="6"/>
  <c r="D7" i="6" s="1"/>
  <c r="J10" i="15"/>
  <c r="J11" i="15" s="1"/>
  <c r="J13" i="15" s="1"/>
  <c r="F10" i="15"/>
  <c r="F11" i="15" s="1"/>
  <c r="F13" i="15" s="1"/>
  <c r="E10" i="15"/>
  <c r="E11" i="15" s="1"/>
  <c r="D9" i="22"/>
  <c r="G8" i="9"/>
  <c r="H15" i="10" s="1"/>
  <c r="O10" i="15"/>
  <c r="O11" i="15" s="1"/>
  <c r="K10" i="15"/>
  <c r="K11" i="15" s="1"/>
  <c r="K13" i="15" s="1"/>
  <c r="F9" i="22"/>
  <c r="E8" i="9"/>
  <c r="F15" i="10" s="1"/>
  <c r="D8" i="9"/>
  <c r="E15" i="10" s="1"/>
  <c r="G9" i="22"/>
  <c r="E9" i="22"/>
  <c r="M10" i="15"/>
  <c r="M11" i="15" s="1"/>
  <c r="M13" i="15" s="1"/>
  <c r="N10" i="15"/>
  <c r="N11" i="15" s="1"/>
  <c r="N13" i="15" s="1"/>
  <c r="G10" i="15"/>
  <c r="G11" i="15" s="1"/>
  <c r="G13" i="15" s="1"/>
  <c r="H10" i="15"/>
  <c r="H11" i="15" s="1"/>
  <c r="I10" i="15"/>
  <c r="I11" i="15" s="1"/>
  <c r="I13" i="15" s="1"/>
  <c r="D7" i="10"/>
  <c r="G4" i="2"/>
  <c r="P10" i="1"/>
  <c r="H8" i="9"/>
  <c r="I15" i="10" s="1"/>
  <c r="F6" i="22" l="1"/>
  <c r="F7" i="22" s="1"/>
  <c r="F8" i="22" s="1"/>
  <c r="F17" i="22" s="1"/>
  <c r="G17" i="10" s="1"/>
  <c r="F6" i="9"/>
  <c r="O13" i="15"/>
  <c r="D13" i="15"/>
  <c r="E13" i="15"/>
  <c r="H9" i="4"/>
  <c r="I11" i="10" s="1"/>
  <c r="G9" i="9"/>
  <c r="E9" i="9"/>
  <c r="E10" i="9" s="1"/>
  <c r="E15" i="9" s="1"/>
  <c r="E10" i="22"/>
  <c r="E14" i="22" s="1"/>
  <c r="E15" i="22" s="1"/>
  <c r="E16" i="22" s="1"/>
  <c r="E17" i="22" s="1"/>
  <c r="F17" i="10" s="1"/>
  <c r="G10" i="22"/>
  <c r="G14" i="22" s="1"/>
  <c r="G15" i="22" s="1"/>
  <c r="G16" i="22" s="1"/>
  <c r="H10" i="22"/>
  <c r="H14" i="22" s="1"/>
  <c r="H15" i="22" s="1"/>
  <c r="H16" i="22" s="1"/>
  <c r="H17" i="22" s="1"/>
  <c r="I17" i="10" s="1"/>
  <c r="C6" i="5"/>
  <c r="C9" i="5" s="1"/>
  <c r="F10" i="22"/>
  <c r="F9" i="9"/>
  <c r="D9" i="9"/>
  <c r="D10" i="9" s="1"/>
  <c r="D15" i="9" s="1"/>
  <c r="D17" i="9" s="1"/>
  <c r="H9" i="9"/>
  <c r="H10" i="9" s="1"/>
  <c r="H15" i="9" s="1"/>
  <c r="D10" i="22"/>
  <c r="D14" i="22" s="1"/>
  <c r="D15" i="22" s="1"/>
  <c r="D16" i="22" s="1"/>
  <c r="D17" i="22" s="1"/>
  <c r="E17" i="10" s="1"/>
  <c r="E19" i="10" s="1"/>
  <c r="E20" i="10" s="1"/>
  <c r="H13" i="15"/>
  <c r="F14" i="22"/>
  <c r="F15" i="22" s="1"/>
  <c r="F16" i="22" s="1"/>
  <c r="G6" i="22"/>
  <c r="G7" i="22" s="1"/>
  <c r="G8" i="22" s="1"/>
  <c r="G6" i="9"/>
  <c r="E16" i="9" l="1"/>
  <c r="F18" i="10" s="1"/>
  <c r="H16" i="9"/>
  <c r="I18" i="10" s="1"/>
  <c r="I19" i="10" s="1"/>
  <c r="H17" i="9"/>
  <c r="F19" i="10"/>
  <c r="F20" i="10" s="1"/>
  <c r="O15" i="15"/>
  <c r="H14" i="10"/>
  <c r="G10" i="9"/>
  <c r="G15" i="9" s="1"/>
  <c r="G14" i="10"/>
  <c r="F10" i="9"/>
  <c r="F15" i="9" s="1"/>
  <c r="G17" i="22"/>
  <c r="H17" i="10" s="1"/>
  <c r="D4" i="6"/>
  <c r="D9" i="6" s="1"/>
  <c r="D11" i="6" s="1"/>
  <c r="C17" i="5"/>
  <c r="C19" i="5" s="1"/>
  <c r="C14" i="15"/>
  <c r="D14" i="15" s="1"/>
  <c r="D15" i="15" l="1"/>
  <c r="E14" i="15" s="1"/>
  <c r="E15" i="15" s="1"/>
  <c r="F14" i="15" s="1"/>
  <c r="F15" i="15" s="1"/>
  <c r="G14" i="15" s="1"/>
  <c r="G15" i="15" s="1"/>
  <c r="H14" i="15" s="1"/>
  <c r="H15" i="15" s="1"/>
  <c r="I14" i="15" s="1"/>
  <c r="I15" i="15" s="1"/>
  <c r="J14" i="15" s="1"/>
  <c r="J15" i="15" s="1"/>
  <c r="K14" i="15" s="1"/>
  <c r="K15" i="15" s="1"/>
  <c r="L14" i="15" s="1"/>
  <c r="L15" i="15" s="1"/>
  <c r="M14" i="15" s="1"/>
  <c r="M15" i="15" s="1"/>
  <c r="N14" i="15" s="1"/>
  <c r="N15" i="15" s="1"/>
  <c r="G16" i="9"/>
  <c r="H18" i="10" s="1"/>
  <c r="G17" i="9"/>
  <c r="F16" i="9"/>
  <c r="G18" i="10" s="1"/>
  <c r="G19" i="10" s="1"/>
  <c r="G20" i="10" s="1"/>
  <c r="F17" i="9"/>
  <c r="H19" i="10"/>
  <c r="H20" i="10" s="1"/>
  <c r="E17" i="9"/>
  <c r="G27" i="10" l="1"/>
  <c r="G31" i="10"/>
  <c r="H27" i="10"/>
  <c r="H31" i="10"/>
  <c r="P14" i="15"/>
  <c r="G36" i="2" s="1"/>
  <c r="G37" i="2" s="1"/>
  <c r="D9" i="10" l="1"/>
  <c r="G38" i="2"/>
  <c r="E3" i="11" s="1"/>
  <c r="E10" i="11" l="1"/>
  <c r="D22" i="10"/>
  <c r="D26" i="10" s="1"/>
  <c r="D14" i="11"/>
  <c r="I10" i="10"/>
  <c r="I12" i="10" s="1"/>
  <c r="I20" i="10" s="1"/>
  <c r="D12" i="10"/>
  <c r="D20" i="10" s="1"/>
  <c r="D27" i="10" l="1"/>
  <c r="D31" i="10"/>
  <c r="D10" i="13"/>
  <c r="C15" i="14" s="1"/>
  <c r="D8" i="13"/>
  <c r="F22" i="11"/>
  <c r="F20" i="11"/>
  <c r="F29" i="11"/>
  <c r="F37" i="11"/>
  <c r="F18" i="11"/>
  <c r="F24" i="11"/>
  <c r="F21" i="11"/>
  <c r="F19" i="11"/>
  <c r="F30" i="11"/>
  <c r="F32" i="11"/>
  <c r="F36" i="11"/>
  <c r="F17" i="11"/>
  <c r="F33" i="11"/>
  <c r="F14" i="11"/>
  <c r="F28" i="11"/>
  <c r="F25" i="11"/>
  <c r="F34" i="11"/>
  <c r="F27" i="11"/>
  <c r="F26" i="11"/>
  <c r="F35" i="11"/>
  <c r="F16" i="11"/>
  <c r="F31" i="11"/>
  <c r="F15" i="11"/>
  <c r="F23" i="11"/>
  <c r="I31" i="10"/>
  <c r="I27" i="10"/>
  <c r="H14" i="11"/>
  <c r="D15" i="11" s="1"/>
  <c r="E14" i="11"/>
  <c r="G14" i="11" l="1"/>
  <c r="H15" i="11"/>
  <c r="D16" i="11" s="1"/>
  <c r="E15" i="11"/>
  <c r="G15" i="11" s="1"/>
  <c r="F38" i="11"/>
  <c r="F23" i="10" s="1"/>
  <c r="C13" i="14"/>
  <c r="F13" i="11"/>
  <c r="E23" i="10" s="1"/>
  <c r="H16" i="11" l="1"/>
  <c r="D17" i="11" s="1"/>
  <c r="E16" i="11"/>
  <c r="G16" i="11" s="1"/>
  <c r="H17" i="11" l="1"/>
  <c r="D18" i="11" s="1"/>
  <c r="E17" i="11"/>
  <c r="G17" i="11" s="1"/>
  <c r="H18" i="11" l="1"/>
  <c r="D19" i="11" s="1"/>
  <c r="E18" i="11"/>
  <c r="G18" i="11" s="1"/>
  <c r="H19" i="11" l="1"/>
  <c r="D20" i="11" s="1"/>
  <c r="E19" i="11"/>
  <c r="G19" i="11" l="1"/>
  <c r="H20" i="11"/>
  <c r="D21" i="11" s="1"/>
  <c r="E20" i="11"/>
  <c r="G20" i="11" s="1"/>
  <c r="H21" i="11" l="1"/>
  <c r="D22" i="11" s="1"/>
  <c r="E21" i="11"/>
  <c r="G21" i="11" s="1"/>
  <c r="H22" i="11" l="1"/>
  <c r="D23" i="11" s="1"/>
  <c r="E22" i="11"/>
  <c r="G22" i="11" s="1"/>
  <c r="H23" i="11" l="1"/>
  <c r="D24" i="11" s="1"/>
  <c r="E23" i="11"/>
  <c r="G23" i="11" s="1"/>
  <c r="H24" i="11" l="1"/>
  <c r="D25" i="11" s="1"/>
  <c r="E24" i="11"/>
  <c r="G24" i="11" s="1"/>
  <c r="H25" i="11" l="1"/>
  <c r="D26" i="11" s="1"/>
  <c r="E25" i="11"/>
  <c r="G25" i="11" l="1"/>
  <c r="G13" i="11" s="1"/>
  <c r="E13" i="11"/>
  <c r="E24" i="10" s="1"/>
  <c r="H26" i="11"/>
  <c r="D27" i="11" s="1"/>
  <c r="E26" i="11"/>
  <c r="H27" i="11" l="1"/>
  <c r="D28" i="11" s="1"/>
  <c r="E27" i="11"/>
  <c r="G27" i="11" s="1"/>
  <c r="E25" i="10"/>
  <c r="E26" i="10"/>
  <c r="E27" i="10" s="1"/>
  <c r="G26" i="11"/>
  <c r="E31" i="10" l="1"/>
  <c r="H28" i="11"/>
  <c r="D29" i="11" s="1"/>
  <c r="E28" i="11"/>
  <c r="H29" i="11" l="1"/>
  <c r="D30" i="11" s="1"/>
  <c r="E29" i="11"/>
  <c r="G29" i="11" s="1"/>
  <c r="G28" i="11"/>
  <c r="H30" i="11" l="1"/>
  <c r="D31" i="11" s="1"/>
  <c r="E30" i="11"/>
  <c r="G30" i="11" s="1"/>
  <c r="H31" i="11" l="1"/>
  <c r="D32" i="11" s="1"/>
  <c r="E31" i="11"/>
  <c r="G31" i="11" s="1"/>
  <c r="H32" i="11" l="1"/>
  <c r="D33" i="11" s="1"/>
  <c r="E32" i="11"/>
  <c r="G32" i="11" s="1"/>
  <c r="H33" i="11" l="1"/>
  <c r="D34" i="11" s="1"/>
  <c r="E33" i="11"/>
  <c r="G33" i="11" s="1"/>
  <c r="H34" i="11" l="1"/>
  <c r="D35" i="11" s="1"/>
  <c r="E34" i="11"/>
  <c r="G34" i="11" s="1"/>
  <c r="H35" i="11" l="1"/>
  <c r="D36" i="11" s="1"/>
  <c r="E35" i="11"/>
  <c r="G35" i="11" s="1"/>
  <c r="H36" i="11" l="1"/>
  <c r="D37" i="11" s="1"/>
  <c r="E36" i="11"/>
  <c r="G36" i="11" s="1"/>
  <c r="H37" i="11" l="1"/>
  <c r="E37" i="11"/>
  <c r="G37" i="11" l="1"/>
  <c r="G38" i="11" s="1"/>
  <c r="E38" i="11"/>
  <c r="F24" i="10" s="1"/>
  <c r="F25" i="10" l="1"/>
  <c r="F26" i="10" s="1"/>
  <c r="F27" i="10" s="1"/>
  <c r="F31" i="10" l="1"/>
  <c r="D21" i="13" s="1"/>
  <c r="E15" i="14" s="1"/>
  <c r="D17" i="13"/>
  <c r="E13" i="14" l="1"/>
  <c r="D19" i="13"/>
</calcChain>
</file>

<file path=xl/sharedStrings.xml><?xml version="1.0" encoding="utf-8"?>
<sst xmlns="http://schemas.openxmlformats.org/spreadsheetml/2006/main" count="405" uniqueCount="305">
  <si>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</si>
  <si>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</si>
  <si>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</si>
  <si>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</si>
  <si>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</si>
  <si>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</si>
  <si>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</si>
  <si>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</si>
  <si>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</si>
  <si>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</si>
  <si>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</si>
  <si>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</si>
  <si>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</si>
  <si>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Proyeccion de ventas en unidades</t>
  </si>
  <si>
    <t>RUBRO</t>
  </si>
  <si>
    <t>VALOR UNITARIO</t>
  </si>
  <si>
    <t>UNIDAD REQUERIDA</t>
  </si>
  <si>
    <t>COSTO TOTAL</t>
  </si>
  <si>
    <t>maquinaria y/o equipos</t>
  </si>
  <si>
    <t>Muebles y enseres</t>
  </si>
  <si>
    <t>Mesa de trabajo</t>
  </si>
  <si>
    <t>Estantes</t>
  </si>
  <si>
    <t>Mano de obra</t>
  </si>
  <si>
    <t>Gastos Administrativos</t>
  </si>
  <si>
    <t>Unidad</t>
  </si>
  <si>
    <t>Balanza</t>
  </si>
  <si>
    <t>Escritorio</t>
  </si>
  <si>
    <t>Carnet sanitario</t>
  </si>
  <si>
    <t>Gas</t>
  </si>
  <si>
    <t>Utiles de oficina</t>
  </si>
  <si>
    <t>Transporte</t>
  </si>
  <si>
    <t>Infraestructura</t>
  </si>
  <si>
    <t>Construcción de local</t>
  </si>
  <si>
    <t>Instalación eléctrica</t>
  </si>
  <si>
    <t>Instación de agua y desague</t>
  </si>
  <si>
    <t>Termómetro</t>
  </si>
  <si>
    <t>Cocina semi industrial</t>
  </si>
  <si>
    <t>Cuchillos</t>
  </si>
  <si>
    <t>Jarra de 2 litros</t>
  </si>
  <si>
    <t>Coladores</t>
  </si>
  <si>
    <t>cucharones de madera</t>
  </si>
  <si>
    <t>Ollas medianas</t>
  </si>
  <si>
    <t>Tazones</t>
  </si>
  <si>
    <t>Cucharas</t>
  </si>
  <si>
    <t>tablas para picar</t>
  </si>
  <si>
    <t>peladores</t>
  </si>
  <si>
    <t>Sillas</t>
  </si>
  <si>
    <t>Rocoto</t>
  </si>
  <si>
    <t>Especias</t>
  </si>
  <si>
    <t>Azúcar blanca</t>
  </si>
  <si>
    <t>Frascos</t>
  </si>
  <si>
    <t>Cocineros</t>
  </si>
  <si>
    <t>Mantenimiento de local</t>
  </si>
  <si>
    <t>ACTIVO FIJO</t>
  </si>
  <si>
    <t>Valor de compra</t>
  </si>
  <si>
    <t>Maquinaria y Equipo</t>
  </si>
  <si>
    <t>Total</t>
  </si>
  <si>
    <t>Vida útil (años)</t>
  </si>
  <si>
    <t>Depreciación anual</t>
  </si>
  <si>
    <t>Depreciación acumulada</t>
  </si>
  <si>
    <t>Costo variable</t>
  </si>
  <si>
    <t>Gastos administrativos</t>
  </si>
  <si>
    <t>Amortización de intangibles</t>
  </si>
  <si>
    <t>Gastos de ventas</t>
  </si>
  <si>
    <t>Materia prima e insumos</t>
  </si>
  <si>
    <t>Total Costo Variable</t>
  </si>
  <si>
    <t>Costo variable unitario</t>
  </si>
  <si>
    <t>Costo total unitario</t>
  </si>
  <si>
    <t>Año</t>
  </si>
  <si>
    <t>Margen de contribución</t>
  </si>
  <si>
    <t>Punto de equilibrio</t>
  </si>
  <si>
    <t>Año 1</t>
  </si>
  <si>
    <t>Año 2</t>
  </si>
  <si>
    <t>Año 3</t>
  </si>
  <si>
    <t>TOTAL INVERSION FIJA INTANGIBLE</t>
  </si>
  <si>
    <t>I.- INVERSION FIJA</t>
  </si>
  <si>
    <t>1.1.  ACTIVO FIJO TANGIBLE</t>
  </si>
  <si>
    <t>Balon</t>
  </si>
  <si>
    <t>TOTAL CAPITAL DE TRABAJO</t>
  </si>
  <si>
    <t>TOTAL INVERSION INICIAL</t>
  </si>
  <si>
    <t>Unidades</t>
  </si>
  <si>
    <t>TOTAL ACTIVO FIJO TANGIBLE</t>
  </si>
  <si>
    <t>Gastos de constitución y formalizacion</t>
  </si>
  <si>
    <t>Licencia de Funcionamiento y avisos</t>
  </si>
  <si>
    <t>Luz, agua y telefono</t>
  </si>
  <si>
    <t>Volantes</t>
  </si>
  <si>
    <t>Llaveros</t>
  </si>
  <si>
    <t>Tasa de Deprec.</t>
  </si>
  <si>
    <t>Total Costo Fijo</t>
  </si>
  <si>
    <t>Amortizacion de intangibles</t>
  </si>
  <si>
    <t>Costo de ventas</t>
  </si>
  <si>
    <t>Costos de produccion</t>
  </si>
  <si>
    <t>Utilidad Bruta</t>
  </si>
  <si>
    <t>Gastos operativos</t>
  </si>
  <si>
    <t>Intereses</t>
  </si>
  <si>
    <t>Utilidad Imponible</t>
  </si>
  <si>
    <t>Impuestos</t>
  </si>
  <si>
    <t>Utilidad Neta</t>
  </si>
  <si>
    <t>Prestamo =</t>
  </si>
  <si>
    <t>n =</t>
  </si>
  <si>
    <t>Saldo inicial</t>
  </si>
  <si>
    <t>Interes</t>
  </si>
  <si>
    <t>Cuota</t>
  </si>
  <si>
    <t>Amortizacion</t>
  </si>
  <si>
    <t>Saldo final</t>
  </si>
  <si>
    <t>FLUJOS DE CAJA ECONOMICO Y FINANCIERO</t>
  </si>
  <si>
    <t>Flujo de Inversion y Liquidacion</t>
  </si>
  <si>
    <t>Activo Fijo Tangible</t>
  </si>
  <si>
    <t>Activo Fijo Intangible</t>
  </si>
  <si>
    <t>Año 0</t>
  </si>
  <si>
    <t>Capital de Trabajo</t>
  </si>
  <si>
    <t>Recupero de Capital de Trabajo</t>
  </si>
  <si>
    <t>Recupero de Activo Fijo</t>
  </si>
  <si>
    <t>Flujo de Caja Operativo</t>
  </si>
  <si>
    <t>Ingresos por ventas</t>
  </si>
  <si>
    <t>Total Flujo de Caja Operativo</t>
  </si>
  <si>
    <t>Flujo de Caja Economico FCE</t>
  </si>
  <si>
    <t>Prestamo</t>
  </si>
  <si>
    <t>Total Flujo Financiamiento Neto</t>
  </si>
  <si>
    <t>Flujo de Caja Financiero FCF</t>
  </si>
  <si>
    <t>e.)</t>
  </si>
  <si>
    <t>Punto de equilibrio contable</t>
  </si>
  <si>
    <t>Inflacion Anual =</t>
  </si>
  <si>
    <t>cuota capital  =</t>
  </si>
  <si>
    <t>VANE =</t>
  </si>
  <si>
    <t>soles</t>
  </si>
  <si>
    <t>TIRE =</t>
  </si>
  <si>
    <t>Costos de produccion (*)</t>
  </si>
  <si>
    <t>Gastos operativos (**)</t>
  </si>
  <si>
    <t>(*) Sin depreciaciones</t>
  </si>
  <si>
    <t>(**) Sin amortizacion de intangibles</t>
  </si>
  <si>
    <t>Trimestres</t>
  </si>
  <si>
    <t>Depreciacion Activo Fijo</t>
  </si>
  <si>
    <t>c.) Tabla de amortizacion de la deuda</t>
  </si>
  <si>
    <t>TEA nominal =</t>
  </si>
  <si>
    <t>Nº de frascos de 250 grs.</t>
  </si>
  <si>
    <t>COSTO UNITARIO: LOTE DE 100 FRASCOS</t>
  </si>
  <si>
    <t>UNIDAD DE MEDIDA</t>
  </si>
  <si>
    <t>Global</t>
  </si>
  <si>
    <t>Documento</t>
  </si>
  <si>
    <t>Kgrs.</t>
  </si>
  <si>
    <t>Persona</t>
  </si>
  <si>
    <t>Ciento</t>
  </si>
  <si>
    <t xml:space="preserve">Costo fijo </t>
  </si>
  <si>
    <t>MODELO FINANCIERO</t>
  </si>
  <si>
    <t>EVALUACION ECONOMICA</t>
  </si>
  <si>
    <t>nominal anual</t>
  </si>
  <si>
    <t>años</t>
  </si>
  <si>
    <t>TEA</t>
  </si>
  <si>
    <t>por frasco</t>
  </si>
  <si>
    <t>Año 4</t>
  </si>
  <si>
    <t>Año 5</t>
  </si>
  <si>
    <t>Costo fijo total</t>
  </si>
  <si>
    <t>Precio de venta</t>
  </si>
  <si>
    <t>Depreciación activo fijo</t>
  </si>
  <si>
    <t>Costo fijo unitario (100% )</t>
  </si>
  <si>
    <t>Inflacion mes =</t>
  </si>
  <si>
    <t>TEM nominal¨=</t>
  </si>
  <si>
    <t>TEM real =</t>
  </si>
  <si>
    <t>Total Flujo de Inversion y Liquidacion</t>
  </si>
  <si>
    <t>Flujo de Financiamiento Neto</t>
  </si>
  <si>
    <t xml:space="preserve">Cuota de capital </t>
  </si>
  <si>
    <t>Escudo fiscal de intereses</t>
  </si>
  <si>
    <t>COK  real</t>
  </si>
  <si>
    <t>TEA nominal</t>
  </si>
  <si>
    <t>TEA real</t>
  </si>
  <si>
    <t>VANE</t>
  </si>
  <si>
    <t>VANF</t>
  </si>
  <si>
    <t>TIRE</t>
  </si>
  <si>
    <t>TIRF</t>
  </si>
  <si>
    <t>1.2. INVERSION INTANGIBLE</t>
  </si>
  <si>
    <t>MES</t>
  </si>
  <si>
    <t>Variacion KW</t>
  </si>
  <si>
    <t>CV Unitario</t>
  </si>
  <si>
    <t>VARIACION DE CAPITAL DE TRABAJO AÑO 1</t>
  </si>
  <si>
    <t>Y FINANCIERA DE INVERSIONES</t>
  </si>
  <si>
    <t>Valor de Recupero</t>
  </si>
  <si>
    <t>Cargo</t>
  </si>
  <si>
    <t>Personal de Ventas</t>
  </si>
  <si>
    <t>Administrativo</t>
  </si>
  <si>
    <t>Vendedor</t>
  </si>
  <si>
    <t>REGIMEN LABORAL PEQUEÑA EMPRESA</t>
  </si>
  <si>
    <t>Sub Total</t>
  </si>
  <si>
    <t>Gratificación(*)</t>
  </si>
  <si>
    <t>CTS (**)</t>
  </si>
  <si>
    <t>Essalud (***)</t>
  </si>
  <si>
    <t>(*) Medio sueldo en julio y diciembre</t>
  </si>
  <si>
    <t>(**) Medio sueldo</t>
  </si>
  <si>
    <t>(***) 9%</t>
  </si>
  <si>
    <t>Anual</t>
  </si>
  <si>
    <t>Básico mes</t>
  </si>
  <si>
    <t>Pago de IGV</t>
  </si>
  <si>
    <t>Impuesto II</t>
  </si>
  <si>
    <t>Impuesto I</t>
  </si>
  <si>
    <t>Proyeccion de ventas netas en nuevos soles</t>
  </si>
  <si>
    <t>PRESUPUESTO DE INVERSION INICIAL EN NUEVOS SOLES - MERMELADA DE ROCOTO</t>
  </si>
  <si>
    <t>CALCULO DE DEPRECIACION Y VALOR DE RECUPERO</t>
  </si>
  <si>
    <t>0-S/. 66,000</t>
  </si>
  <si>
    <t>Mayor a 66,000</t>
  </si>
  <si>
    <t>II. CAPITAL DE TRABAJO AÑO 1</t>
  </si>
  <si>
    <t>CV Total</t>
  </si>
  <si>
    <t>GF Total</t>
  </si>
  <si>
    <t>KW Total</t>
  </si>
  <si>
    <t>Tota Año 1</t>
  </si>
  <si>
    <t>Total año 2</t>
  </si>
  <si>
    <t>TIRF Ajustado =</t>
  </si>
  <si>
    <t>REGIMEN LABORAL MICRO EMPRESA</t>
  </si>
  <si>
    <t>CIS</t>
  </si>
  <si>
    <t>CIS (***)</t>
  </si>
  <si>
    <t>(***) 15 soles mensuales por trabajador</t>
  </si>
  <si>
    <t>(*) No tiene gratificaciones</t>
  </si>
  <si>
    <t>(**) No tiene CTS</t>
  </si>
  <si>
    <t>Costos Indirectos de Fabricación</t>
  </si>
  <si>
    <t>Materia Prima Directa</t>
  </si>
  <si>
    <t>Valor Unitario</t>
  </si>
  <si>
    <t>Unidad Requerida</t>
  </si>
  <si>
    <t>Unidad de Medida</t>
  </si>
  <si>
    <t>COSTOS DE PRODUCCIÓN (100 unidades)</t>
  </si>
  <si>
    <t>Costos indirectos de fabricación</t>
  </si>
  <si>
    <t>UIT</t>
  </si>
  <si>
    <t>Micro empresa</t>
  </si>
  <si>
    <t>Pequeña empresa</t>
  </si>
  <si>
    <t>Costos de producción y GO</t>
  </si>
  <si>
    <t>Ventas netas</t>
  </si>
  <si>
    <t>ESTADO DE RESULTADOS ECONOMICO</t>
  </si>
  <si>
    <t>Unidades/mes</t>
  </si>
  <si>
    <t>soles/mes</t>
  </si>
  <si>
    <t>Impuestos (*)</t>
  </si>
  <si>
    <t>(*) corresponde al MYPE tributario</t>
  </si>
  <si>
    <t>Utilidades &lt; a 15 UIT</t>
  </si>
  <si>
    <t>Ingreso con GV</t>
  </si>
  <si>
    <t>Pago IGV</t>
  </si>
  <si>
    <t>Egresos sin IGV</t>
  </si>
  <si>
    <t>Egresos con IGV</t>
  </si>
  <si>
    <t>Ingresos sin IGV</t>
  </si>
  <si>
    <t>PAGO DE IGV PROYECTADO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</si>
  <si>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</si>
  <si>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</si>
  <si>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</si>
  <si>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βu total ME =</t>
  </si>
  <si>
    <t>(Rm-Rf) =</t>
  </si>
  <si>
    <t>Rp =</t>
  </si>
  <si>
    <t>Promedio 2020</t>
  </si>
  <si>
    <t>COK desapalancado con Riesgo Total</t>
  </si>
  <si>
    <t>Kurt =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</si>
  <si>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</si>
  <si>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Donde:</t>
  </si>
  <si>
    <t>Rfusa =</t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</si>
  <si>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</si>
  <si>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(Rm – Rf)usa =</t>
  </si>
  <si>
    <t xml:space="preserve">Rp = </t>
  </si>
  <si>
    <t>Beta reapalancado para el proyecto</t>
  </si>
  <si>
    <t>promedio geometrico 1928-2020</t>
  </si>
  <si>
    <t xml:space="preserve">βrl total perú </t>
  </si>
  <si>
    <t>Kert =</t>
  </si>
  <si>
    <t>Dónde:</t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</si>
  <si>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</si>
  <si>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t>COK Apalancado con riesgo total</t>
  </si>
  <si>
    <t>Costo Promedio Ponderado de Capital con riesgo total</t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</si>
  <si>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</si>
  <si>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</si>
  <si>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</si>
  <si>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</si>
  <si>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</si>
  <si>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</si>
  <si>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r>
      <t xml:space="preserve">t* </t>
    </r>
    <r>
      <rPr>
        <sz val="12"/>
        <color indexed="8"/>
        <rFont val="Times New Roman"/>
        <family val="1"/>
      </rPr>
      <t xml:space="preserve">= </t>
    </r>
  </si>
  <si>
    <t>Kwacc</t>
  </si>
  <si>
    <t>Beta total desapalancado para procesamiento de alimentos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</si>
  <si>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</si>
  <si>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Times New Roman"/>
        <family val="1"/>
      </rPr>
      <t>1 – t</t>
    </r>
    <r>
      <rPr>
        <b/>
        <sz val="12"/>
        <color indexed="8"/>
        <rFont val="Times New Roman"/>
        <family val="1"/>
      </rPr>
      <t>)</t>
    </r>
    <r>
      <rPr>
        <sz val="12"/>
        <color indexed="8"/>
        <rFont val="Times New Roman"/>
        <family val="1"/>
      </rPr>
      <t xml:space="preserve">                                                             </t>
    </r>
  </si>
  <si>
    <t>(Promedio 2010-2019)</t>
  </si>
  <si>
    <t>Inflacion en Perú</t>
  </si>
  <si>
    <r>
      <t>Ki (s/.)  = Ki ($) X (</t>
    </r>
    <r>
      <rPr>
        <b/>
        <u/>
        <sz val="18"/>
        <color indexed="8"/>
        <rFont val="Times New Roman"/>
        <family val="1"/>
      </rPr>
      <t>1+</t>
    </r>
    <r>
      <rPr>
        <b/>
        <u/>
        <sz val="20"/>
        <color indexed="8"/>
        <rFont val="Times New Roman"/>
        <family val="1"/>
      </rPr>
      <t xml:space="preserve"> π</t>
    </r>
    <r>
      <rPr>
        <b/>
        <u/>
        <sz val="18"/>
        <color indexed="8"/>
        <rFont val="Times New Roman"/>
        <family val="1"/>
      </rPr>
      <t xml:space="preserve"> </t>
    </r>
    <r>
      <rPr>
        <b/>
        <u/>
        <sz val="12"/>
        <color indexed="8"/>
        <rFont val="Times New Roman"/>
        <family val="1"/>
      </rPr>
      <t>Perú</t>
    </r>
    <r>
      <rPr>
        <b/>
        <u/>
        <sz val="18"/>
        <color indexed="8"/>
        <rFont val="Times New Roman"/>
        <family val="1"/>
      </rPr>
      <t xml:space="preserve">) </t>
    </r>
  </si>
  <si>
    <r>
      <t xml:space="preserve">                                (1+</t>
    </r>
    <r>
      <rPr>
        <b/>
        <sz val="20"/>
        <color indexed="8"/>
        <rFont val="Times New Roman"/>
        <family val="1"/>
      </rPr>
      <t>π</t>
    </r>
    <r>
      <rPr>
        <b/>
        <sz val="18"/>
        <color indexed="8"/>
        <rFont val="Times New Roman"/>
        <family val="1"/>
      </rPr>
      <t xml:space="preserve"> </t>
    </r>
    <r>
      <rPr>
        <b/>
        <sz val="12"/>
        <color indexed="8"/>
        <rFont val="Times New Roman"/>
        <family val="1"/>
      </rPr>
      <t xml:space="preserve">USA </t>
    </r>
    <r>
      <rPr>
        <b/>
        <sz val="18"/>
        <color indexed="8"/>
        <rFont val="Times New Roman"/>
        <family val="1"/>
      </rPr>
      <t>)</t>
    </r>
  </si>
  <si>
    <t>Inflacion USA</t>
  </si>
  <si>
    <t>Ku nominal en dolares</t>
  </si>
  <si>
    <r>
      <t>Ki</t>
    </r>
    <r>
      <rPr>
        <b/>
        <sz val="12"/>
        <color indexed="8"/>
        <rFont val="Times New Roman"/>
        <family val="1"/>
      </rPr>
      <t xml:space="preserve"> real</t>
    </r>
    <r>
      <rPr>
        <b/>
        <sz val="18"/>
        <color indexed="8"/>
        <rFont val="Times New Roman"/>
        <family val="1"/>
      </rPr>
      <t xml:space="preserve">  =  </t>
    </r>
    <r>
      <rPr>
        <b/>
        <u/>
        <sz val="18"/>
        <color indexed="8"/>
        <rFont val="Times New Roman"/>
        <family val="1"/>
      </rPr>
      <t xml:space="preserve">(1+ Ki </t>
    </r>
    <r>
      <rPr>
        <b/>
        <u/>
        <sz val="12"/>
        <color indexed="8"/>
        <rFont val="Times New Roman"/>
        <family val="1"/>
      </rPr>
      <t>nominal</t>
    </r>
    <r>
      <rPr>
        <b/>
        <sz val="18"/>
        <color indexed="8"/>
        <rFont val="Times New Roman"/>
        <family val="1"/>
      </rPr>
      <t xml:space="preserve">) - 1                                                                               </t>
    </r>
  </si>
  <si>
    <r>
      <t xml:space="preserve">                        (1 +  </t>
    </r>
    <r>
      <rPr>
        <b/>
        <sz val="20"/>
        <color indexed="8"/>
        <rFont val="Times New Roman"/>
        <family val="1"/>
      </rPr>
      <t>π</t>
    </r>
    <r>
      <rPr>
        <b/>
        <sz val="18"/>
        <color indexed="8"/>
        <rFont val="Times New Roman"/>
        <family val="1"/>
      </rPr>
      <t>)</t>
    </r>
  </si>
  <si>
    <t>EVALUACIÓN ECONÓMICA</t>
  </si>
  <si>
    <t>EVALUACIÓN FINANCIERA</t>
  </si>
  <si>
    <t>VAEFI =</t>
  </si>
  <si>
    <t>Total Costos de Producción (lote=100 unid.)</t>
  </si>
  <si>
    <t>Mano de Obra Directa</t>
  </si>
  <si>
    <t>IGV de venta</t>
  </si>
  <si>
    <t>IGV compra</t>
  </si>
  <si>
    <t>Flujo de caja financiero ajustado</t>
  </si>
  <si>
    <t>Ku nominal en soles</t>
  </si>
  <si>
    <t>VAN Ajustado =VANF=</t>
  </si>
  <si>
    <t>Inflacion Peru</t>
  </si>
  <si>
    <t>Horizonte Evaluación</t>
  </si>
  <si>
    <t>Valor de venta</t>
  </si>
  <si>
    <t>Valor Mano Obra</t>
  </si>
  <si>
    <t>Herramientas y utensilios</t>
  </si>
  <si>
    <t>Herramientas y Utensilios</t>
  </si>
  <si>
    <t xml:space="preserve">CIS </t>
  </si>
  <si>
    <t>Personal Administrativo</t>
  </si>
  <si>
    <t>persona</t>
  </si>
  <si>
    <t xml:space="preserve">GASTOS OPERATIVOS MENSUALES EN NUEVOS SOLES </t>
  </si>
  <si>
    <t>TOTAL GASTOS OPERATIVOS</t>
  </si>
  <si>
    <t xml:space="preserve"> nominal anual</t>
  </si>
  <si>
    <t>Valor del Rocoto</t>
  </si>
  <si>
    <t>por kilo</t>
  </si>
  <si>
    <t>VAN =0</t>
  </si>
  <si>
    <t>VANF &gt; VANE</t>
  </si>
  <si>
    <t>TIRF &gt;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</si>
</sst>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9" formatCode="_ * #,##0.00_ ;_ * \-#,##0.00_ ;_ * &quot;-&quot;??_ ;_ @_ "/>
    <numFmt numFmtId="207" formatCode="0.0"/>
    <numFmt numFmtId="217" formatCode="0.0%"/>
    <numFmt numFmtId="220" formatCode="_-* #,##0\ _€_-;\-* #,##0\ _€_-;_-* &quot;-&quot;??\ _€_-;_-@_-"/>
    <numFmt numFmtId="223" formatCode="_ * #,##0_ ;_ * \-#,##0_ ;_ * &quot;-&quot;??_ ;_ @_ 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8"/>
      <name val="Times New Roman"/>
      <family val="1"/>
    </font>
    <font>
      <sz val="12"/>
      <color indexed="8"/>
      <name val="Symbol"/>
      <family val="1"/>
      <charset val="2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indexed="8"/>
      <name val="Times New Roman"/>
      <family val="1"/>
    </font>
    <font>
      <b/>
      <sz val="12"/>
      <color indexed="8"/>
      <name val="Symbol"/>
      <family val="1"/>
      <charset val="2"/>
    </font>
    <font>
      <b/>
      <vertAlign val="subscript"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vertAlign val="subscript"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u/>
      <sz val="20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2"/>
      <color rgb="FF000000"/>
      <name val="Symbol"/>
      <family val="1"/>
      <charset val="2"/>
    </font>
    <font>
      <b/>
      <sz val="18"/>
      <color rgb="FF000000"/>
      <name val="Times New Roman"/>
      <family val="1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2" fontId="2" fillId="0" borderId="0" xfId="0" applyNumberFormat="1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2" fontId="0" fillId="0" borderId="8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4" fillId="0" borderId="6" xfId="0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" fontId="0" fillId="0" borderId="3" xfId="0" applyNumberFormat="1" applyBorder="1"/>
    <xf numFmtId="0" fontId="0" fillId="0" borderId="1" xfId="0" applyBorder="1"/>
    <xf numFmtId="0" fontId="0" fillId="0" borderId="12" xfId="0" applyBorder="1"/>
    <xf numFmtId="0" fontId="2" fillId="5" borderId="13" xfId="0" applyFont="1" applyFill="1" applyBorder="1"/>
    <xf numFmtId="1" fontId="2" fillId="5" borderId="10" xfId="0" applyNumberFormat="1" applyFont="1" applyFill="1" applyBorder="1"/>
    <xf numFmtId="1" fontId="2" fillId="5" borderId="11" xfId="0" applyNumberFormat="1" applyFont="1" applyFill="1" applyBorder="1"/>
    <xf numFmtId="0" fontId="2" fillId="5" borderId="13" xfId="0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0" borderId="3" xfId="0" applyNumberFormat="1" applyFont="1" applyBorder="1"/>
    <xf numFmtId="9" fontId="0" fillId="0" borderId="0" xfId="0" applyNumberFormat="1"/>
    <xf numFmtId="0" fontId="5" fillId="0" borderId="1" xfId="0" applyFont="1" applyBorder="1"/>
    <xf numFmtId="0" fontId="2" fillId="0" borderId="7" xfId="0" applyFont="1" applyBorder="1"/>
    <xf numFmtId="0" fontId="0" fillId="0" borderId="8" xfId="0" applyBorder="1"/>
    <xf numFmtId="0" fontId="5" fillId="0" borderId="7" xfId="0" applyFont="1" applyBorder="1"/>
    <xf numFmtId="1" fontId="0" fillId="0" borderId="8" xfId="0" applyNumberFormat="1" applyBorder="1"/>
    <xf numFmtId="1" fontId="2" fillId="0" borderId="8" xfId="0" applyNumberFormat="1" applyFont="1" applyBorder="1"/>
    <xf numFmtId="0" fontId="2" fillId="0" borderId="6" xfId="0" applyFont="1" applyBorder="1"/>
    <xf numFmtId="0" fontId="0" fillId="0" borderId="2" xfId="0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0" borderId="7" xfId="0" applyBorder="1"/>
    <xf numFmtId="1" fontId="2" fillId="0" borderId="12" xfId="0" applyNumberFormat="1" applyFont="1" applyBorder="1"/>
    <xf numFmtId="0" fontId="3" fillId="0" borderId="0" xfId="0" applyFont="1" applyFill="1" applyBorder="1" applyAlignment="1">
      <alignment horizontal="left" vertical="center" wrapText="1"/>
    </xf>
    <xf numFmtId="2" fontId="0" fillId="0" borderId="8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5" fillId="0" borderId="12" xfId="0" applyFont="1" applyBorder="1"/>
    <xf numFmtId="2" fontId="0" fillId="0" borderId="17" xfId="0" applyNumberFormat="1" applyBorder="1"/>
    <xf numFmtId="0" fontId="4" fillId="4" borderId="13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0" fillId="0" borderId="7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2" fillId="0" borderId="19" xfId="0" applyFont="1" applyBorder="1"/>
    <xf numFmtId="1" fontId="2" fillId="0" borderId="17" xfId="0" applyNumberFormat="1" applyFont="1" applyBorder="1"/>
    <xf numFmtId="0" fontId="5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0" xfId="0" applyFill="1"/>
    <xf numFmtId="0" fontId="5" fillId="6" borderId="0" xfId="0" applyFont="1" applyFill="1"/>
    <xf numFmtId="9" fontId="0" fillId="6" borderId="0" xfId="0" applyNumberFormat="1" applyFill="1"/>
    <xf numFmtId="10" fontId="5" fillId="6" borderId="0" xfId="0" applyNumberFormat="1" applyFont="1" applyFill="1"/>
    <xf numFmtId="0" fontId="0" fillId="0" borderId="0" xfId="0" applyAlignment="1">
      <alignment horizontal="left"/>
    </xf>
    <xf numFmtId="0" fontId="5" fillId="0" borderId="14" xfId="0" applyFont="1" applyBorder="1"/>
    <xf numFmtId="0" fontId="0" fillId="0" borderId="16" xfId="0" applyBorder="1"/>
    <xf numFmtId="0" fontId="2" fillId="6" borderId="0" xfId="0" applyFont="1" applyFill="1"/>
    <xf numFmtId="2" fontId="0" fillId="6" borderId="0" xfId="0" applyNumberFormat="1" applyFill="1"/>
    <xf numFmtId="2" fontId="2" fillId="6" borderId="0" xfId="0" applyNumberFormat="1" applyFont="1" applyFill="1"/>
    <xf numFmtId="179" fontId="7" fillId="6" borderId="0" xfId="1" applyFont="1" applyFill="1"/>
    <xf numFmtId="217" fontId="7" fillId="6" borderId="0" xfId="2" applyNumberFormat="1" applyFont="1" applyFill="1"/>
    <xf numFmtId="0" fontId="4" fillId="2" borderId="20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right"/>
    </xf>
    <xf numFmtId="0" fontId="0" fillId="3" borderId="24" xfId="0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right"/>
    </xf>
    <xf numFmtId="0" fontId="5" fillId="0" borderId="1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2" fontId="5" fillId="0" borderId="8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2" fontId="0" fillId="0" borderId="26" xfId="0" applyNumberFormat="1" applyBorder="1" applyAlignment="1">
      <alignment horizontal="right"/>
    </xf>
    <xf numFmtId="0" fontId="0" fillId="0" borderId="26" xfId="0" applyBorder="1" applyAlignment="1">
      <alignment horizontal="center"/>
    </xf>
    <xf numFmtId="0" fontId="5" fillId="0" borderId="26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left" vertical="center" wrapText="1"/>
    </xf>
    <xf numFmtId="2" fontId="0" fillId="5" borderId="24" xfId="0" applyNumberFormat="1" applyFill="1" applyBorder="1" applyAlignment="1">
      <alignment horizontal="right"/>
    </xf>
    <xf numFmtId="0" fontId="0" fillId="5" borderId="24" xfId="0" applyFill="1" applyBorder="1" applyAlignment="1">
      <alignment horizontal="center"/>
    </xf>
    <xf numFmtId="2" fontId="2" fillId="5" borderId="2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2" fontId="0" fillId="0" borderId="30" xfId="0" applyNumberForma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2" fontId="5" fillId="0" borderId="3" xfId="0" applyNumberFormat="1" applyFont="1" applyFill="1" applyBorder="1" applyAlignment="1"/>
    <xf numFmtId="0" fontId="5" fillId="0" borderId="3" xfId="0" applyFont="1" applyFill="1" applyBorder="1" applyAlignment="1"/>
    <xf numFmtId="2" fontId="2" fillId="0" borderId="8" xfId="0" applyNumberFormat="1" applyFont="1" applyFill="1" applyBorder="1" applyAlignment="1"/>
    <xf numFmtId="2" fontId="5" fillId="0" borderId="3" xfId="0" applyNumberFormat="1" applyFont="1" applyBorder="1" applyAlignment="1"/>
    <xf numFmtId="0" fontId="5" fillId="0" borderId="3" xfId="0" applyFont="1" applyBorder="1" applyAlignment="1"/>
    <xf numFmtId="2" fontId="5" fillId="0" borderId="8" xfId="0" applyNumberFormat="1" applyFont="1" applyBorder="1" applyAlignment="1"/>
    <xf numFmtId="2" fontId="5" fillId="0" borderId="26" xfId="0" applyNumberFormat="1" applyFont="1" applyBorder="1" applyAlignment="1"/>
    <xf numFmtId="0" fontId="5" fillId="0" borderId="26" xfId="0" applyFont="1" applyBorder="1" applyAlignment="1"/>
    <xf numFmtId="2" fontId="5" fillId="0" borderId="27" xfId="0" applyNumberFormat="1" applyFont="1" applyBorder="1" applyAlignment="1"/>
    <xf numFmtId="0" fontId="2" fillId="0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" fillId="7" borderId="31" xfId="0" applyFont="1" applyFill="1" applyBorder="1" applyAlignment="1">
      <alignment wrapText="1"/>
    </xf>
    <xf numFmtId="0" fontId="2" fillId="7" borderId="32" xfId="0" applyFont="1" applyFill="1" applyBorder="1" applyAlignment="1"/>
    <xf numFmtId="2" fontId="2" fillId="7" borderId="30" xfId="0" applyNumberFormat="1" applyFont="1" applyFill="1" applyBorder="1" applyAlignment="1"/>
    <xf numFmtId="2" fontId="2" fillId="7" borderId="10" xfId="0" applyNumberFormat="1" applyFont="1" applyFill="1" applyBorder="1"/>
    <xf numFmtId="0" fontId="2" fillId="7" borderId="10" xfId="0" applyFont="1" applyFill="1" applyBorder="1"/>
    <xf numFmtId="2" fontId="2" fillId="7" borderId="11" xfId="0" applyNumberFormat="1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2" fontId="0" fillId="7" borderId="10" xfId="0" applyNumberForma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0" fontId="5" fillId="0" borderId="8" xfId="0" applyFont="1" applyBorder="1"/>
    <xf numFmtId="2" fontId="5" fillId="0" borderId="27" xfId="0" applyNumberFormat="1" applyFont="1" applyBorder="1"/>
    <xf numFmtId="217" fontId="7" fillId="6" borderId="0" xfId="2" applyNumberFormat="1" applyFont="1" applyFill="1"/>
    <xf numFmtId="0" fontId="2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3" fontId="0" fillId="0" borderId="27" xfId="0" applyNumberFormat="1" applyBorder="1" applyAlignment="1">
      <alignment horizontal="center" vertical="center" wrapText="1"/>
    </xf>
    <xf numFmtId="0" fontId="2" fillId="7" borderId="14" xfId="0" applyFont="1" applyFill="1" applyBorder="1"/>
    <xf numFmtId="2" fontId="2" fillId="7" borderId="16" xfId="0" applyNumberFormat="1" applyFont="1" applyFill="1" applyBorder="1" applyAlignment="1">
      <alignment horizontal="center"/>
    </xf>
    <xf numFmtId="0" fontId="2" fillId="4" borderId="7" xfId="0" applyFont="1" applyFill="1" applyBorder="1"/>
    <xf numFmtId="2" fontId="2" fillId="4" borderId="8" xfId="0" applyNumberFormat="1" applyFont="1" applyFill="1" applyBorder="1"/>
    <xf numFmtId="0" fontId="2" fillId="7" borderId="7" xfId="0" applyFont="1" applyFill="1" applyBorder="1"/>
    <xf numFmtId="2" fontId="2" fillId="7" borderId="8" xfId="0" applyNumberFormat="1" applyFont="1" applyFill="1" applyBorder="1" applyAlignment="1">
      <alignment horizontal="center"/>
    </xf>
    <xf numFmtId="0" fontId="2" fillId="4" borderId="18" xfId="0" applyFont="1" applyFill="1" applyBorder="1"/>
    <xf numFmtId="2" fontId="2" fillId="4" borderId="27" xfId="0" applyNumberFormat="1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left"/>
    </xf>
    <xf numFmtId="1" fontId="2" fillId="6" borderId="0" xfId="0" applyNumberFormat="1" applyFont="1" applyFill="1" applyAlignment="1">
      <alignment horizontal="center"/>
    </xf>
    <xf numFmtId="1" fontId="0" fillId="0" borderId="26" xfId="0" applyNumberFormat="1" applyBorder="1"/>
    <xf numFmtId="1" fontId="0" fillId="0" borderId="0" xfId="0" applyNumberFormat="1"/>
    <xf numFmtId="1" fontId="0" fillId="0" borderId="15" xfId="0" applyNumberFormat="1" applyBorder="1"/>
    <xf numFmtId="1" fontId="0" fillId="0" borderId="16" xfId="0" applyNumberFormat="1" applyBorder="1"/>
    <xf numFmtId="0" fontId="0" fillId="0" borderId="18" xfId="0" applyBorder="1"/>
    <xf numFmtId="217" fontId="5" fillId="6" borderId="0" xfId="2" applyNumberFormat="1" applyFont="1" applyFill="1"/>
    <xf numFmtId="207" fontId="0" fillId="0" borderId="3" xfId="0" applyNumberFormat="1" applyBorder="1" applyAlignment="1">
      <alignment horizontal="center"/>
    </xf>
    <xf numFmtId="220" fontId="0" fillId="6" borderId="0" xfId="0" applyNumberFormat="1" applyFill="1"/>
    <xf numFmtId="9" fontId="7" fillId="6" borderId="0" xfId="2" applyFont="1" applyFill="1"/>
    <xf numFmtId="9" fontId="0" fillId="0" borderId="3" xfId="0" applyNumberFormat="1" applyBorder="1"/>
    <xf numFmtId="0" fontId="0" fillId="6" borderId="3" xfId="0" applyFill="1" applyBorder="1"/>
    <xf numFmtId="0" fontId="5" fillId="6" borderId="3" xfId="0" applyFont="1" applyFill="1" applyBorder="1"/>
    <xf numFmtId="0" fontId="2" fillId="8" borderId="14" xfId="0" applyFont="1" applyFill="1" applyBorder="1" applyAlignment="1">
      <alignment horizontal="center"/>
    </xf>
    <xf numFmtId="1" fontId="5" fillId="6" borderId="15" xfId="0" applyNumberFormat="1" applyFont="1" applyFill="1" applyBorder="1"/>
    <xf numFmtId="0" fontId="2" fillId="8" borderId="15" xfId="0" applyFont="1" applyFill="1" applyBorder="1" applyAlignment="1">
      <alignment horizontal="center"/>
    </xf>
    <xf numFmtId="1" fontId="0" fillId="6" borderId="16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2" fillId="8" borderId="18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3" fontId="5" fillId="0" borderId="3" xfId="0" applyNumberFormat="1" applyFont="1" applyBorder="1"/>
    <xf numFmtId="1" fontId="5" fillId="0" borderId="3" xfId="0" applyNumberFormat="1" applyFont="1" applyBorder="1"/>
    <xf numFmtId="1" fontId="5" fillId="0" borderId="8" xfId="0" applyNumberFormat="1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8" xfId="0" applyFont="1" applyBorder="1" applyAlignment="1">
      <alignment horizontal="center"/>
    </xf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0" fontId="2" fillId="9" borderId="0" xfId="0" applyFont="1" applyFill="1" applyBorder="1" applyAlignment="1">
      <alignment horizontal="center"/>
    </xf>
    <xf numFmtId="0" fontId="0" fillId="9" borderId="37" xfId="0" applyFill="1" applyBorder="1"/>
    <xf numFmtId="217" fontId="0" fillId="6" borderId="0" xfId="0" applyNumberFormat="1" applyFill="1" applyAlignment="1">
      <alignment horizontal="center"/>
    </xf>
    <xf numFmtId="0" fontId="2" fillId="8" borderId="38" xfId="0" applyFont="1" applyFill="1" applyBorder="1"/>
    <xf numFmtId="1" fontId="2" fillId="8" borderId="39" xfId="0" applyNumberFormat="1" applyFont="1" applyFill="1" applyBorder="1"/>
    <xf numFmtId="1" fontId="2" fillId="8" borderId="40" xfId="0" applyNumberFormat="1" applyFont="1" applyFill="1" applyBorder="1"/>
    <xf numFmtId="0" fontId="2" fillId="7" borderId="3" xfId="0" applyFont="1" applyFill="1" applyBorder="1"/>
    <xf numFmtId="217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1" fontId="2" fillId="7" borderId="3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5" fillId="0" borderId="26" xfId="0" applyNumberFormat="1" applyFont="1" applyBorder="1"/>
    <xf numFmtId="207" fontId="0" fillId="6" borderId="0" xfId="0" applyNumberFormat="1" applyFill="1"/>
    <xf numFmtId="0" fontId="2" fillId="4" borderId="3" xfId="0" applyFont="1" applyFill="1" applyBorder="1"/>
    <xf numFmtId="1" fontId="2" fillId="4" borderId="3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207" fontId="2" fillId="4" borderId="3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07" fontId="2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2" fontId="8" fillId="0" borderId="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left" vertical="center" wrapText="1"/>
    </xf>
    <xf numFmtId="2" fontId="9" fillId="0" borderId="8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/>
    </xf>
    <xf numFmtId="2" fontId="9" fillId="0" borderId="26" xfId="0" applyNumberFormat="1" applyFont="1" applyBorder="1" applyAlignment="1">
      <alignment horizontal="right"/>
    </xf>
    <xf numFmtId="2" fontId="9" fillId="0" borderId="27" xfId="0" applyNumberFormat="1" applyFont="1" applyBorder="1" applyAlignment="1">
      <alignment horizontal="center"/>
    </xf>
    <xf numFmtId="0" fontId="8" fillId="4" borderId="13" xfId="0" applyFont="1" applyFill="1" applyBorder="1" applyAlignment="1">
      <alignment horizontal="center" vertical="center" wrapText="1"/>
    </xf>
    <xf numFmtId="2" fontId="8" fillId="4" borderId="11" xfId="0" applyNumberFormat="1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left" vertical="center" wrapText="1"/>
    </xf>
    <xf numFmtId="0" fontId="9" fillId="4" borderId="32" xfId="0" applyFont="1" applyFill="1" applyBorder="1" applyAlignment="1">
      <alignment horizontal="center"/>
    </xf>
    <xf numFmtId="2" fontId="9" fillId="4" borderId="32" xfId="0" applyNumberFormat="1" applyFont="1" applyFill="1" applyBorder="1" applyAlignment="1">
      <alignment horizontal="right"/>
    </xf>
    <xf numFmtId="2" fontId="8" fillId="4" borderId="30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23" xfId="0" applyBorder="1"/>
    <xf numFmtId="1" fontId="0" fillId="0" borderId="24" xfId="0" applyNumberFormat="1" applyBorder="1"/>
    <xf numFmtId="1" fontId="0" fillId="0" borderId="25" xfId="0" applyNumberFormat="1" applyBorder="1"/>
    <xf numFmtId="0" fontId="2" fillId="0" borderId="23" xfId="0" applyFont="1" applyBorder="1"/>
    <xf numFmtId="1" fontId="2" fillId="0" borderId="24" xfId="0" applyNumberFormat="1" applyFont="1" applyBorder="1"/>
    <xf numFmtId="0" fontId="0" fillId="0" borderId="0" xfId="0" applyFill="1" applyBorder="1"/>
    <xf numFmtId="0" fontId="31" fillId="0" borderId="7" xfId="0" applyFont="1" applyBorder="1"/>
    <xf numFmtId="0" fontId="32" fillId="0" borderId="0" xfId="0" applyFont="1" applyAlignment="1">
      <alignment vertical="center"/>
    </xf>
    <xf numFmtId="0" fontId="13" fillId="0" borderId="0" xfId="0" applyFont="1"/>
    <xf numFmtId="9" fontId="0" fillId="0" borderId="0" xfId="2" applyFont="1"/>
    <xf numFmtId="10" fontId="0" fillId="0" borderId="0" xfId="2" applyNumberFormat="1" applyFont="1"/>
    <xf numFmtId="0" fontId="33" fillId="0" borderId="0" xfId="0" applyFont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171" fontId="0" fillId="0" borderId="0" xfId="0" applyNumberFormat="1"/>
    <xf numFmtId="10" fontId="0" fillId="0" borderId="0" xfId="0" applyNumberFormat="1"/>
    <xf numFmtId="0" fontId="33" fillId="8" borderId="0" xfId="0" applyFont="1" applyFill="1" applyAlignment="1">
      <alignment vertical="center"/>
    </xf>
    <xf numFmtId="10" fontId="2" fillId="8" borderId="0" xfId="0" applyNumberFormat="1" applyFont="1" applyFill="1"/>
    <xf numFmtId="0" fontId="0" fillId="0" borderId="0" xfId="0" applyAlignment="1"/>
    <xf numFmtId="10" fontId="2" fillId="8" borderId="0" xfId="2" applyNumberFormat="1" applyFont="1" applyFill="1"/>
    <xf numFmtId="0" fontId="2" fillId="8" borderId="0" xfId="0" applyFont="1" applyFill="1"/>
    <xf numFmtId="0" fontId="2" fillId="7" borderId="41" xfId="0" applyFont="1" applyFill="1" applyBorder="1" applyAlignment="1">
      <alignment horizontal="center" vertical="center" wrapText="1"/>
    </xf>
    <xf numFmtId="0" fontId="2" fillId="7" borderId="42" xfId="0" applyFont="1" applyFill="1" applyBorder="1" applyAlignment="1">
      <alignment horizontal="center" vertical="center" wrapText="1"/>
    </xf>
    <xf numFmtId="0" fontId="2" fillId="7" borderId="43" xfId="0" applyFont="1" applyFill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217" fontId="0" fillId="6" borderId="0" xfId="0" applyNumberFormat="1" applyFill="1"/>
    <xf numFmtId="0" fontId="36" fillId="0" borderId="0" xfId="0" applyFont="1"/>
    <xf numFmtId="0" fontId="36" fillId="0" borderId="0" xfId="0" applyFont="1" applyAlignment="1">
      <alignment horizontal="left" vertical="center" readingOrder="1"/>
    </xf>
    <xf numFmtId="10" fontId="7" fillId="6" borderId="0" xfId="2" applyNumberFormat="1" applyFont="1" applyFill="1"/>
    <xf numFmtId="0" fontId="8" fillId="4" borderId="10" xfId="0" applyFont="1" applyFill="1" applyBorder="1" applyAlignment="1">
      <alignment horizontal="justify" wrapText="1"/>
    </xf>
    <xf numFmtId="0" fontId="5" fillId="0" borderId="6" xfId="0" applyFont="1" applyBorder="1"/>
    <xf numFmtId="1" fontId="5" fillId="0" borderId="1" xfId="0" applyNumberFormat="1" applyFont="1" applyBorder="1"/>
    <xf numFmtId="1" fontId="5" fillId="0" borderId="2" xfId="0" applyNumberFormat="1" applyFont="1" applyBorder="1"/>
    <xf numFmtId="0" fontId="5" fillId="0" borderId="23" xfId="0" applyFont="1" applyBorder="1"/>
    <xf numFmtId="1" fontId="5" fillId="0" borderId="24" xfId="0" applyNumberFormat="1" applyFont="1" applyBorder="1"/>
    <xf numFmtId="1" fontId="5" fillId="0" borderId="25" xfId="0" applyNumberFormat="1" applyFont="1" applyBorder="1"/>
    <xf numFmtId="223" fontId="7" fillId="6" borderId="0" xfId="1" applyNumberFormat="1" applyFont="1" applyFill="1" applyAlignment="1">
      <alignment horizontal="center"/>
    </xf>
    <xf numFmtId="0" fontId="0" fillId="0" borderId="44" xfId="0" applyFill="1" applyBorder="1"/>
    <xf numFmtId="1" fontId="0" fillId="0" borderId="27" xfId="0" applyNumberFormat="1" applyBorder="1"/>
    <xf numFmtId="179" fontId="0" fillId="0" borderId="3" xfId="1" applyNumberFormat="1" applyFont="1" applyBorder="1"/>
    <xf numFmtId="10" fontId="0" fillId="6" borderId="26" xfId="0" applyNumberFormat="1" applyFill="1" applyBorder="1" applyAlignment="1">
      <alignment horizontal="center"/>
    </xf>
    <xf numFmtId="10" fontId="0" fillId="6" borderId="27" xfId="0" applyNumberFormat="1" applyFill="1" applyBorder="1" applyAlignment="1">
      <alignment horizontal="center"/>
    </xf>
    <xf numFmtId="1" fontId="2" fillId="0" borderId="25" xfId="0" applyNumberFormat="1" applyFont="1" applyBorder="1"/>
    <xf numFmtId="0" fontId="37" fillId="9" borderId="36" xfId="0" applyFont="1" applyFill="1" applyBorder="1" applyAlignment="1">
      <alignment horizontal="center"/>
    </xf>
    <xf numFmtId="0" fontId="37" fillId="9" borderId="0" xfId="0" applyFont="1" applyFill="1" applyBorder="1" applyAlignment="1">
      <alignment horizontal="center"/>
    </xf>
    <xf numFmtId="0" fontId="37" fillId="9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37" fillId="9" borderId="36" xfId="0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horizontal="center" vertical="center"/>
    </xf>
    <xf numFmtId="0" fontId="37" fillId="9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5" xfId="0" applyFont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33" fillId="10" borderId="38" xfId="0" applyFont="1" applyFill="1" applyBorder="1" applyAlignment="1">
      <alignment horizontal="center" vertical="center"/>
    </xf>
    <xf numFmtId="0" fontId="33" fillId="10" borderId="39" xfId="0" applyFont="1" applyFill="1" applyBorder="1" applyAlignment="1">
      <alignment horizontal="center" vertical="center"/>
    </xf>
    <xf numFmtId="0" fontId="33" fillId="10" borderId="40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_FINALIZADA_VER.%20BETA%201.2%20xD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"/>
      <sheetName val="INDICE"/>
      <sheetName val="Planteamiento"/>
      <sheetName val="Resumen"/>
      <sheetName val="Ventas_Unidades"/>
      <sheetName val="Inversion_Inicial"/>
      <sheetName val="Depreciacion"/>
      <sheetName val="Costos_operativos"/>
      <sheetName val="Costos_Unitarios"/>
      <sheetName val="Capital Trabajo"/>
      <sheetName val="Proyeccion_de_ventas"/>
      <sheetName val="Punto de equilibrio"/>
      <sheetName val="Ganancias y Perdidas"/>
      <sheetName val="Flujo_Deuda"/>
      <sheetName val="Flujos de Caja"/>
      <sheetName val="Rentabilidad"/>
      <sheetName val="Sensibilidad"/>
      <sheetName val="ESCENARIOS"/>
    </sheetNames>
    <sheetDataSet>
      <sheetData sheetId="0" refreshError="1"/>
      <sheetData sheetId="1" refreshError="1"/>
      <sheetData sheetId="2" refreshError="1"/>
      <sheetData sheetId="3" refreshError="1">
        <row r="12">
          <cell r="H12" t="str">
            <v>Precio  de venta</v>
          </cell>
        </row>
        <row r="13">
          <cell r="H13" t="str">
            <v>Costo de mano obra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5"/>
  <sheetViews>
    <sheetView workbookViewId="0">
      <selection activeCell="M14" sqref="M14"/>
    </sheetView>
  </sheetViews>
  <sheetFormatPr defaultRowHeight="12.75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7" max="7" width="18.28515625" customWidth="1"/>
    <col min="8" max="8" width="7.42578125" customWidth="1"/>
    <col min="9" max="9" width="14.85546875" customWidth="1"/>
    <col min="10" max="256" width="11.42578125" customWidth="1"/>
  </cols>
  <sheetData>
    <row r="6" spans="2:14" ht="13.5" thickBot="1" x14ac:dyDescent="0.25"/>
    <row r="7" spans="2:14" ht="13.5" thickBot="1" x14ac:dyDescent="0.25">
      <c r="B7" s="320" t="s">
        <v>144</v>
      </c>
      <c r="C7" s="321"/>
      <c r="D7" s="321"/>
      <c r="E7" s="322"/>
      <c r="G7" s="30" t="s">
        <v>274</v>
      </c>
      <c r="H7" s="206">
        <v>0.02</v>
      </c>
      <c r="I7" s="30" t="s">
        <v>146</v>
      </c>
      <c r="K7" s="29"/>
      <c r="L7" s="88"/>
      <c r="M7" s="88"/>
      <c r="N7" s="88"/>
    </row>
    <row r="8" spans="2:14" x14ac:dyDescent="0.2">
      <c r="B8" s="223"/>
      <c r="C8" s="224"/>
      <c r="D8" s="224"/>
      <c r="E8" s="225"/>
      <c r="G8" s="30" t="s">
        <v>288</v>
      </c>
      <c r="H8" s="234">
        <v>2.9000000000000001E-2</v>
      </c>
      <c r="I8" s="30" t="s">
        <v>299</v>
      </c>
    </row>
    <row r="9" spans="2:14" x14ac:dyDescent="0.2">
      <c r="B9" s="317" t="s">
        <v>145</v>
      </c>
      <c r="C9" s="318"/>
      <c r="D9" s="318"/>
      <c r="E9" s="319"/>
      <c r="G9" s="30" t="s">
        <v>289</v>
      </c>
      <c r="H9" s="9">
        <v>5</v>
      </c>
      <c r="I9" s="30" t="s">
        <v>147</v>
      </c>
      <c r="K9" s="29"/>
    </row>
    <row r="10" spans="2:14" x14ac:dyDescent="0.2">
      <c r="B10" s="323" t="s">
        <v>175</v>
      </c>
      <c r="C10" s="324"/>
      <c r="D10" s="324"/>
      <c r="E10" s="325"/>
      <c r="G10" s="30" t="s">
        <v>148</v>
      </c>
      <c r="H10" s="206">
        <v>0.15</v>
      </c>
      <c r="I10" s="9"/>
      <c r="K10" s="29"/>
    </row>
    <row r="11" spans="2:14" x14ac:dyDescent="0.2">
      <c r="B11" s="317"/>
      <c r="C11" s="318"/>
      <c r="D11" s="318"/>
      <c r="E11" s="319"/>
      <c r="G11" s="30" t="s">
        <v>193</v>
      </c>
      <c r="H11" s="206">
        <v>0.1</v>
      </c>
      <c r="I11" s="30" t="s">
        <v>197</v>
      </c>
      <c r="K11" s="29"/>
    </row>
    <row r="12" spans="2:14" ht="13.5" thickBot="1" x14ac:dyDescent="0.25">
      <c r="B12" s="226"/>
      <c r="C12" s="227"/>
      <c r="D12" s="227"/>
      <c r="E12" s="228"/>
      <c r="G12" s="30" t="s">
        <v>192</v>
      </c>
      <c r="H12" s="234">
        <v>0.29499999999999998</v>
      </c>
      <c r="I12" s="30" t="s">
        <v>198</v>
      </c>
    </row>
    <row r="13" spans="2:14" x14ac:dyDescent="0.2">
      <c r="B13" s="209" t="s">
        <v>166</v>
      </c>
      <c r="C13" s="210">
        <f>Rentabilidad!D8</f>
        <v>12744.633287175486</v>
      </c>
      <c r="D13" s="211" t="s">
        <v>167</v>
      </c>
      <c r="E13" s="212">
        <f>Rentabilidad!D17</f>
        <v>35.872533856114103</v>
      </c>
      <c r="F13" s="198"/>
      <c r="G13" s="30" t="s">
        <v>290</v>
      </c>
      <c r="H13" s="313">
        <v>12</v>
      </c>
      <c r="I13" s="30" t="s">
        <v>149</v>
      </c>
    </row>
    <row r="14" spans="2:14" x14ac:dyDescent="0.2">
      <c r="B14" s="213"/>
      <c r="C14" s="208"/>
      <c r="D14" s="207"/>
      <c r="E14" s="214"/>
      <c r="G14" s="30" t="s">
        <v>291</v>
      </c>
      <c r="H14" s="24">
        <v>5</v>
      </c>
      <c r="I14" s="30" t="s">
        <v>149</v>
      </c>
    </row>
    <row r="15" spans="2:14" ht="13.5" thickBot="1" x14ac:dyDescent="0.25">
      <c r="B15" s="215" t="s">
        <v>168</v>
      </c>
      <c r="C15" s="314">
        <f>Rentabilidad!D10</f>
        <v>0.38289336479912017</v>
      </c>
      <c r="D15" s="216" t="s">
        <v>169</v>
      </c>
      <c r="E15" s="315">
        <f>Rentabilidad!D21</f>
        <v>0.38351928759453147</v>
      </c>
      <c r="F15" s="61"/>
      <c r="G15" s="9" t="s">
        <v>300</v>
      </c>
      <c r="H15" s="9">
        <v>3.5</v>
      </c>
      <c r="I15" s="9" t="s">
        <v>301</v>
      </c>
    </row>
  </sheetData>
  <scenarios current="0" sqref="C13 C15 E13 E15">
    <scenario name="OPTIMISTA" locked="1" count="3" user="Usuario" comment="Creado por Usuario el 19/02/2021">
      <inputCells r="H13" val="12.1" numFmtId="171"/>
      <inputCells r="H14" val="4.9" numFmtId="2"/>
      <inputCells r="H15" val="3"/>
    </scenario>
    <scenario name="PESIMISTA" locked="1" count="3" user="Usuario" comment="Creado por Usuario el 19/02/2021">
      <inputCells r="H13" val="11.9" numFmtId="171"/>
      <inputCells r="H14" val="5.1" numFmtId="2"/>
      <inputCells r="H15" val="4"/>
    </scenario>
  </scenarios>
  <mergeCells count="4">
    <mergeCell ref="B11:E11"/>
    <mergeCell ref="B7:E7"/>
    <mergeCell ref="B9:E9"/>
    <mergeCell ref="B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D13" sqref="D13"/>
    </sheetView>
  </sheetViews>
  <sheetFormatPr defaultRowHeight="12.75" x14ac:dyDescent="0.2"/>
  <cols>
    <col min="1" max="1" width="11.42578125" customWidth="1"/>
    <col min="2" max="2" width="28.140625" customWidth="1"/>
    <col min="3" max="3" width="10.7109375" customWidth="1"/>
    <col min="4" max="256" width="11.42578125" customWidth="1"/>
  </cols>
  <sheetData>
    <row r="2" spans="2:4" x14ac:dyDescent="0.2">
      <c r="B2" s="326" t="s">
        <v>136</v>
      </c>
      <c r="C2" s="326"/>
    </row>
    <row r="3" spans="2:4" ht="13.5" thickBot="1" x14ac:dyDescent="0.25">
      <c r="B3" s="29"/>
      <c r="C3" s="100"/>
      <c r="D3" s="29"/>
    </row>
    <row r="4" spans="2:4" x14ac:dyDescent="0.2">
      <c r="B4" s="185" t="s">
        <v>143</v>
      </c>
      <c r="C4" s="186" t="s">
        <v>125</v>
      </c>
    </row>
    <row r="5" spans="2:4" x14ac:dyDescent="0.2">
      <c r="B5" s="65" t="s">
        <v>61</v>
      </c>
      <c r="C5" s="76">
        <f>Gastos_Operativos!F4</f>
        <v>1125</v>
      </c>
    </row>
    <row r="6" spans="2:4" x14ac:dyDescent="0.2">
      <c r="B6" s="65" t="s">
        <v>154</v>
      </c>
      <c r="C6" s="76">
        <f>Depreciación_VR!F9/12</f>
        <v>101.20833333333333</v>
      </c>
    </row>
    <row r="7" spans="2:4" x14ac:dyDescent="0.2">
      <c r="B7" s="65" t="s">
        <v>62</v>
      </c>
      <c r="C7" s="271">
        <f>Inversión_Inicial!G34/Resumen!H14/12</f>
        <v>24.25</v>
      </c>
    </row>
    <row r="8" spans="2:4" x14ac:dyDescent="0.2">
      <c r="B8" s="65" t="s">
        <v>63</v>
      </c>
      <c r="C8" s="76">
        <f>Gastos_Operativos!F11</f>
        <v>1010</v>
      </c>
    </row>
    <row r="9" spans="2:4" x14ac:dyDescent="0.2">
      <c r="B9" s="187" t="s">
        <v>88</v>
      </c>
      <c r="C9" s="188">
        <f>SUM(C5:C8)</f>
        <v>2260.458333333333</v>
      </c>
    </row>
    <row r="10" spans="2:4" x14ac:dyDescent="0.2">
      <c r="B10" s="189" t="s">
        <v>60</v>
      </c>
      <c r="C10" s="190" t="s">
        <v>125</v>
      </c>
    </row>
    <row r="11" spans="2:4" x14ac:dyDescent="0.2">
      <c r="B11" s="65" t="s">
        <v>64</v>
      </c>
      <c r="C11" s="76">
        <f>Costos_Producción!F6</f>
        <v>207</v>
      </c>
    </row>
    <row r="12" spans="2:4" x14ac:dyDescent="0.2">
      <c r="B12" s="65" t="s">
        <v>22</v>
      </c>
      <c r="C12" s="76">
        <f>Costos_Producción!F11</f>
        <v>500</v>
      </c>
    </row>
    <row r="13" spans="2:4" x14ac:dyDescent="0.2">
      <c r="B13" s="65" t="s">
        <v>218</v>
      </c>
      <c r="C13" s="76">
        <f>Costos_Producción!F13</f>
        <v>100</v>
      </c>
    </row>
    <row r="14" spans="2:4" ht="13.5" thickBot="1" x14ac:dyDescent="0.25">
      <c r="B14" s="191" t="s">
        <v>65</v>
      </c>
      <c r="C14" s="192">
        <f>C11+C12+C13</f>
        <v>807</v>
      </c>
    </row>
    <row r="15" spans="2:4" ht="13.5" thickBot="1" x14ac:dyDescent="0.25">
      <c r="B15" s="11"/>
      <c r="C15" s="31"/>
    </row>
    <row r="16" spans="2:4" x14ac:dyDescent="0.2">
      <c r="B16" s="101" t="s">
        <v>135</v>
      </c>
      <c r="C16" s="102">
        <v>100</v>
      </c>
      <c r="D16" s="29"/>
    </row>
    <row r="17" spans="2:6" x14ac:dyDescent="0.2">
      <c r="B17" s="65" t="s">
        <v>155</v>
      </c>
      <c r="C17" s="76">
        <f>C9/1000</f>
        <v>2.2604583333333332</v>
      </c>
      <c r="D17" s="29"/>
      <c r="E17" s="29"/>
      <c r="F17" s="29"/>
    </row>
    <row r="18" spans="2:6" x14ac:dyDescent="0.2">
      <c r="B18" s="65" t="s">
        <v>66</v>
      </c>
      <c r="C18" s="173">
        <f>C14/100</f>
        <v>8.07</v>
      </c>
    </row>
    <row r="19" spans="2:6" ht="13.5" thickBot="1" x14ac:dyDescent="0.25">
      <c r="B19" s="84" t="s">
        <v>67</v>
      </c>
      <c r="C19" s="174">
        <f>+C18+C17</f>
        <v>10.330458333333333</v>
      </c>
    </row>
  </sheetData>
  <mergeCells count="1"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G15" sqref="G15"/>
    </sheetView>
  </sheetViews>
  <sheetFormatPr defaultRowHeight="12.75" x14ac:dyDescent="0.2"/>
  <cols>
    <col min="1" max="1" width="11.42578125" customWidth="1"/>
    <col min="2" max="2" width="3.42578125" customWidth="1"/>
    <col min="3" max="3" width="22.85546875" customWidth="1"/>
    <col min="4" max="4" width="12.5703125" bestFit="1" customWidth="1"/>
    <col min="5" max="256" width="11.42578125" customWidth="1"/>
  </cols>
  <sheetData>
    <row r="2" spans="2:5" x14ac:dyDescent="0.2">
      <c r="B2" s="11" t="s">
        <v>120</v>
      </c>
      <c r="C2" s="103" t="s">
        <v>121</v>
      </c>
      <c r="D2" s="96"/>
      <c r="E2" s="96"/>
    </row>
    <row r="3" spans="2:5" x14ac:dyDescent="0.2">
      <c r="C3" s="96"/>
      <c r="D3" s="96"/>
      <c r="E3" s="96"/>
    </row>
    <row r="4" spans="2:5" x14ac:dyDescent="0.2">
      <c r="C4" s="97" t="s">
        <v>152</v>
      </c>
      <c r="D4" s="104">
        <f>Costos_Unitarios!C9</f>
        <v>2260.458333333333</v>
      </c>
      <c r="E4" s="96"/>
    </row>
    <row r="5" spans="2:5" x14ac:dyDescent="0.2">
      <c r="C5" s="97" t="s">
        <v>153</v>
      </c>
      <c r="D5" s="104">
        <f>+Presupuesto_Ventas!C8*1.18</f>
        <v>14.16</v>
      </c>
      <c r="E5" s="96"/>
    </row>
    <row r="6" spans="2:5" x14ac:dyDescent="0.2">
      <c r="C6" s="97" t="s">
        <v>66</v>
      </c>
      <c r="D6" s="96">
        <f>+Costos_Unitarios!C18</f>
        <v>8.07</v>
      </c>
      <c r="E6" s="96"/>
    </row>
    <row r="7" spans="2:5" x14ac:dyDescent="0.2">
      <c r="C7" s="103" t="s">
        <v>69</v>
      </c>
      <c r="D7" s="105">
        <f>+D5-D6</f>
        <v>6.09</v>
      </c>
      <c r="E7" s="96"/>
    </row>
    <row r="8" spans="2:5" x14ac:dyDescent="0.2">
      <c r="C8" s="96"/>
      <c r="D8" s="96"/>
      <c r="E8" s="96"/>
    </row>
    <row r="9" spans="2:5" x14ac:dyDescent="0.2">
      <c r="C9" s="103" t="s">
        <v>70</v>
      </c>
      <c r="D9" s="196">
        <f>D4/D7</f>
        <v>371.1754241926655</v>
      </c>
      <c r="E9" s="195" t="s">
        <v>225</v>
      </c>
    </row>
    <row r="10" spans="2:5" x14ac:dyDescent="0.2">
      <c r="C10" s="97"/>
      <c r="D10" s="104"/>
      <c r="E10" s="96"/>
    </row>
    <row r="11" spans="2:5" x14ac:dyDescent="0.2">
      <c r="C11" s="103" t="s">
        <v>70</v>
      </c>
      <c r="D11" s="196">
        <f>D9*D5</f>
        <v>5255.8440065681434</v>
      </c>
      <c r="E11" s="96" t="s">
        <v>226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J25" sqref="J25"/>
    </sheetView>
  </sheetViews>
  <sheetFormatPr defaultRowHeight="12.75" x14ac:dyDescent="0.2"/>
  <cols>
    <col min="1" max="1" width="11.42578125" customWidth="1"/>
    <col min="2" max="2" width="3.140625" customWidth="1"/>
    <col min="3" max="3" width="11.425781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  <col min="8" max="256" width="11.42578125" customWidth="1"/>
  </cols>
  <sheetData>
    <row r="2" spans="2:8" x14ac:dyDescent="0.2">
      <c r="B2" s="11" t="s">
        <v>133</v>
      </c>
    </row>
    <row r="3" spans="2:8" x14ac:dyDescent="0.2">
      <c r="B3" s="96"/>
      <c r="C3" s="96"/>
      <c r="D3" s="97" t="s">
        <v>98</v>
      </c>
      <c r="E3" s="96">
        <f>Inversión_Inicial!G38*0.4</f>
        <v>7102</v>
      </c>
      <c r="F3" s="96"/>
      <c r="G3" s="96"/>
      <c r="H3" s="96"/>
    </row>
    <row r="4" spans="2:8" x14ac:dyDescent="0.2">
      <c r="B4" s="96"/>
      <c r="C4" s="96"/>
      <c r="D4" s="97" t="s">
        <v>134</v>
      </c>
      <c r="E4" s="205">
        <f>Resumen!H10</f>
        <v>0.15</v>
      </c>
      <c r="F4" s="96"/>
      <c r="G4" s="96"/>
      <c r="H4" s="96"/>
    </row>
    <row r="5" spans="2:8" x14ac:dyDescent="0.2">
      <c r="B5" s="96"/>
      <c r="C5" s="96"/>
      <c r="D5" s="97" t="s">
        <v>157</v>
      </c>
      <c r="E5" s="202">
        <f>POWER((1+E4),(1/E9))-1</f>
        <v>5.8404033045467152E-3</v>
      </c>
      <c r="F5" s="97"/>
      <c r="G5" s="97"/>
      <c r="H5" s="96"/>
    </row>
    <row r="6" spans="2:8" x14ac:dyDescent="0.2">
      <c r="B6" s="96"/>
      <c r="C6" s="96"/>
      <c r="D6" s="97" t="s">
        <v>122</v>
      </c>
      <c r="E6" s="202">
        <f>Resumen!H8</f>
        <v>2.9000000000000001E-2</v>
      </c>
      <c r="F6" s="97"/>
      <c r="G6" s="97"/>
      <c r="H6" s="96"/>
    </row>
    <row r="7" spans="2:8" x14ac:dyDescent="0.2">
      <c r="B7" s="96"/>
      <c r="C7" s="96"/>
      <c r="D7" s="97" t="s">
        <v>156</v>
      </c>
      <c r="E7" s="99">
        <f>POWER((1+E6),(1/E9))-1</f>
        <v>1.1918537293076348E-3</v>
      </c>
      <c r="F7" s="97"/>
      <c r="G7" s="96"/>
      <c r="H7" s="96"/>
    </row>
    <row r="8" spans="2:8" x14ac:dyDescent="0.2">
      <c r="B8" s="96"/>
      <c r="C8" s="96"/>
      <c r="D8" s="97" t="s">
        <v>158</v>
      </c>
      <c r="E8" s="99">
        <f>((1+E5)/(1+E7))-1</f>
        <v>4.6430157795669391E-3</v>
      </c>
      <c r="F8" s="97"/>
      <c r="G8" s="96"/>
      <c r="H8" s="96"/>
    </row>
    <row r="9" spans="2:8" x14ac:dyDescent="0.2">
      <c r="B9" s="96"/>
      <c r="C9" s="96"/>
      <c r="D9" s="97" t="s">
        <v>99</v>
      </c>
      <c r="E9" s="96">
        <v>24</v>
      </c>
      <c r="F9" s="96"/>
      <c r="G9" s="96"/>
      <c r="H9" s="96"/>
    </row>
    <row r="10" spans="2:8" x14ac:dyDescent="0.2">
      <c r="B10" s="96"/>
      <c r="C10" s="96"/>
      <c r="D10" s="97" t="s">
        <v>123</v>
      </c>
      <c r="E10" s="240">
        <f>E3/24</f>
        <v>295.91666666666669</v>
      </c>
      <c r="F10" s="96"/>
      <c r="G10" s="96"/>
      <c r="H10" s="96"/>
    </row>
    <row r="11" spans="2:8" ht="13.5" thickBot="1" x14ac:dyDescent="0.25">
      <c r="B11" s="96"/>
      <c r="C11" s="96"/>
      <c r="D11" s="96"/>
      <c r="E11" s="96"/>
      <c r="F11" s="96"/>
      <c r="G11" s="96"/>
      <c r="H11" s="96"/>
    </row>
    <row r="12" spans="2:8" x14ac:dyDescent="0.2">
      <c r="C12" s="70" t="s">
        <v>131</v>
      </c>
      <c r="D12" s="71" t="s">
        <v>100</v>
      </c>
      <c r="E12" s="71" t="s">
        <v>101</v>
      </c>
      <c r="F12" s="71" t="s">
        <v>102</v>
      </c>
      <c r="G12" s="71" t="s">
        <v>103</v>
      </c>
      <c r="H12" s="72" t="s">
        <v>104</v>
      </c>
    </row>
    <row r="13" spans="2:8" x14ac:dyDescent="0.2">
      <c r="C13" s="245" t="s">
        <v>203</v>
      </c>
      <c r="D13" s="246"/>
      <c r="E13" s="247">
        <f>SUM(E14:E25)</f>
        <v>305.01595711498061</v>
      </c>
      <c r="F13" s="248">
        <f>SUM(F14:F25)</f>
        <v>3550.9999999999995</v>
      </c>
      <c r="G13" s="247">
        <f>SUM(G14:G25)</f>
        <v>3856.0159571149807</v>
      </c>
      <c r="H13" s="249"/>
    </row>
    <row r="14" spans="2:8" x14ac:dyDescent="0.2">
      <c r="C14" s="85">
        <v>1</v>
      </c>
      <c r="D14" s="49">
        <f>E3</f>
        <v>7102</v>
      </c>
      <c r="E14" s="86">
        <f>D14*$E$8</f>
        <v>32.9746980664844</v>
      </c>
      <c r="F14" s="203">
        <f>$E$10</f>
        <v>295.91666666666669</v>
      </c>
      <c r="G14" s="87">
        <f>E14+F14</f>
        <v>328.89136473315108</v>
      </c>
      <c r="H14" s="66">
        <f>D14-F14</f>
        <v>6806.083333333333</v>
      </c>
    </row>
    <row r="15" spans="2:8" x14ac:dyDescent="0.2">
      <c r="C15" s="85">
        <f>C14+1</f>
        <v>2</v>
      </c>
      <c r="D15" s="49">
        <f>H14</f>
        <v>6806.083333333333</v>
      </c>
      <c r="E15" s="86">
        <f t="shared" ref="E15:E24" si="0">D15*$E$8</f>
        <v>31.600752313714217</v>
      </c>
      <c r="F15" s="203">
        <f t="shared" ref="F15:F37" si="1">$E$10</f>
        <v>295.91666666666669</v>
      </c>
      <c r="G15" s="87">
        <f t="shared" ref="G15:G37" si="2">E15+F15</f>
        <v>327.51741898038091</v>
      </c>
      <c r="H15" s="66">
        <f t="shared" ref="H15:H37" si="3">D15-F15</f>
        <v>6510.1666666666661</v>
      </c>
    </row>
    <row r="16" spans="2:8" x14ac:dyDescent="0.2">
      <c r="C16" s="85">
        <f t="shared" ref="C16:C37" si="4">C15+1</f>
        <v>3</v>
      </c>
      <c r="D16" s="49">
        <f t="shared" ref="D16:D37" si="5">H15</f>
        <v>6510.1666666666661</v>
      </c>
      <c r="E16" s="86">
        <f t="shared" si="0"/>
        <v>30.226806560944031</v>
      </c>
      <c r="F16" s="203">
        <f t="shared" si="1"/>
        <v>295.91666666666669</v>
      </c>
      <c r="G16" s="87">
        <f t="shared" si="2"/>
        <v>326.14347322761074</v>
      </c>
      <c r="H16" s="66">
        <f t="shared" si="3"/>
        <v>6214.2499999999991</v>
      </c>
    </row>
    <row r="17" spans="3:8" x14ac:dyDescent="0.2">
      <c r="C17" s="85">
        <f t="shared" si="4"/>
        <v>4</v>
      </c>
      <c r="D17" s="49">
        <f t="shared" si="5"/>
        <v>6214.2499999999991</v>
      </c>
      <c r="E17" s="86">
        <f t="shared" si="0"/>
        <v>28.852860808173848</v>
      </c>
      <c r="F17" s="203">
        <f t="shared" si="1"/>
        <v>295.91666666666669</v>
      </c>
      <c r="G17" s="87">
        <f t="shared" si="2"/>
        <v>324.76952747484052</v>
      </c>
      <c r="H17" s="66">
        <f t="shared" si="3"/>
        <v>5918.3333333333321</v>
      </c>
    </row>
    <row r="18" spans="3:8" x14ac:dyDescent="0.2">
      <c r="C18" s="85">
        <f t="shared" si="4"/>
        <v>5</v>
      </c>
      <c r="D18" s="49">
        <f t="shared" si="5"/>
        <v>5918.3333333333321</v>
      </c>
      <c r="E18" s="86">
        <f t="shared" si="0"/>
        <v>27.478915055403661</v>
      </c>
      <c r="F18" s="203">
        <f t="shared" si="1"/>
        <v>295.91666666666669</v>
      </c>
      <c r="G18" s="87">
        <f t="shared" si="2"/>
        <v>323.39558172207035</v>
      </c>
      <c r="H18" s="66">
        <f t="shared" si="3"/>
        <v>5622.4166666666652</v>
      </c>
    </row>
    <row r="19" spans="3:8" x14ac:dyDescent="0.2">
      <c r="C19" s="85">
        <f t="shared" si="4"/>
        <v>6</v>
      </c>
      <c r="D19" s="49">
        <f t="shared" si="5"/>
        <v>5622.4166666666652</v>
      </c>
      <c r="E19" s="86">
        <f t="shared" si="0"/>
        <v>26.104969302633478</v>
      </c>
      <c r="F19" s="203">
        <f t="shared" si="1"/>
        <v>295.91666666666669</v>
      </c>
      <c r="G19" s="87">
        <f t="shared" si="2"/>
        <v>322.02163596930018</v>
      </c>
      <c r="H19" s="66">
        <f t="shared" si="3"/>
        <v>5326.4999999999982</v>
      </c>
    </row>
    <row r="20" spans="3:8" x14ac:dyDescent="0.2">
      <c r="C20" s="85">
        <f t="shared" si="4"/>
        <v>7</v>
      </c>
      <c r="D20" s="49">
        <f t="shared" si="5"/>
        <v>5326.4999999999982</v>
      </c>
      <c r="E20" s="86">
        <f t="shared" si="0"/>
        <v>24.731023549863291</v>
      </c>
      <c r="F20" s="203">
        <f t="shared" si="1"/>
        <v>295.91666666666669</v>
      </c>
      <c r="G20" s="87">
        <f t="shared" si="2"/>
        <v>320.64769021652995</v>
      </c>
      <c r="H20" s="66">
        <f t="shared" si="3"/>
        <v>5030.5833333333312</v>
      </c>
    </row>
    <row r="21" spans="3:8" x14ac:dyDescent="0.2">
      <c r="C21" s="85">
        <f t="shared" si="4"/>
        <v>8</v>
      </c>
      <c r="D21" s="49">
        <f t="shared" si="5"/>
        <v>5030.5833333333312</v>
      </c>
      <c r="E21" s="86">
        <f t="shared" si="0"/>
        <v>23.357077797093108</v>
      </c>
      <c r="F21" s="203">
        <f t="shared" si="1"/>
        <v>295.91666666666669</v>
      </c>
      <c r="G21" s="87">
        <f t="shared" si="2"/>
        <v>319.27374446375978</v>
      </c>
      <c r="H21" s="66">
        <f t="shared" si="3"/>
        <v>4734.6666666666642</v>
      </c>
    </row>
    <row r="22" spans="3:8" x14ac:dyDescent="0.2">
      <c r="C22" s="85">
        <f t="shared" si="4"/>
        <v>9</v>
      </c>
      <c r="D22" s="49">
        <f t="shared" si="5"/>
        <v>4734.6666666666642</v>
      </c>
      <c r="E22" s="86">
        <f t="shared" si="0"/>
        <v>21.983132044322922</v>
      </c>
      <c r="F22" s="203">
        <f t="shared" si="1"/>
        <v>295.91666666666669</v>
      </c>
      <c r="G22" s="87">
        <f t="shared" si="2"/>
        <v>317.89979871098961</v>
      </c>
      <c r="H22" s="66">
        <f t="shared" si="3"/>
        <v>4438.7499999999973</v>
      </c>
    </row>
    <row r="23" spans="3:8" x14ac:dyDescent="0.2">
      <c r="C23" s="85">
        <f t="shared" si="4"/>
        <v>10</v>
      </c>
      <c r="D23" s="49">
        <f t="shared" si="5"/>
        <v>4438.7499999999973</v>
      </c>
      <c r="E23" s="86">
        <f t="shared" si="0"/>
        <v>20.609186291552739</v>
      </c>
      <c r="F23" s="203">
        <f t="shared" si="1"/>
        <v>295.91666666666669</v>
      </c>
      <c r="G23" s="87">
        <f t="shared" si="2"/>
        <v>316.52585295821945</v>
      </c>
      <c r="H23" s="66">
        <f t="shared" si="3"/>
        <v>4142.8333333333303</v>
      </c>
    </row>
    <row r="24" spans="3:8" x14ac:dyDescent="0.2">
      <c r="C24" s="85">
        <f t="shared" si="4"/>
        <v>11</v>
      </c>
      <c r="D24" s="49">
        <f t="shared" si="5"/>
        <v>4142.8333333333303</v>
      </c>
      <c r="E24" s="86">
        <f t="shared" si="0"/>
        <v>19.235240538782552</v>
      </c>
      <c r="F24" s="203">
        <f t="shared" si="1"/>
        <v>295.91666666666669</v>
      </c>
      <c r="G24" s="87">
        <f t="shared" si="2"/>
        <v>315.15190720544922</v>
      </c>
      <c r="H24" s="66">
        <f t="shared" si="3"/>
        <v>3846.9166666666638</v>
      </c>
    </row>
    <row r="25" spans="3:8" x14ac:dyDescent="0.2">
      <c r="C25" s="85">
        <f t="shared" si="4"/>
        <v>12</v>
      </c>
      <c r="D25" s="49">
        <f t="shared" si="5"/>
        <v>3846.9166666666638</v>
      </c>
      <c r="E25" s="86">
        <f>D25*$E$8</f>
        <v>17.861294786012373</v>
      </c>
      <c r="F25" s="203">
        <f t="shared" si="1"/>
        <v>295.91666666666669</v>
      </c>
      <c r="G25" s="87">
        <f t="shared" si="2"/>
        <v>313.77796145267905</v>
      </c>
      <c r="H25" s="66">
        <f t="shared" si="3"/>
        <v>3550.9999999999973</v>
      </c>
    </row>
    <row r="26" spans="3:8" x14ac:dyDescent="0.2">
      <c r="C26" s="85">
        <f t="shared" si="4"/>
        <v>13</v>
      </c>
      <c r="D26" s="49">
        <f t="shared" si="5"/>
        <v>3550.9999999999973</v>
      </c>
      <c r="E26" s="86">
        <f t="shared" ref="E26:E37" si="6">D26*$E$8</f>
        <v>16.487349033242189</v>
      </c>
      <c r="F26" s="203">
        <f t="shared" si="1"/>
        <v>295.91666666666669</v>
      </c>
      <c r="G26" s="87">
        <f t="shared" si="2"/>
        <v>312.40401569990888</v>
      </c>
      <c r="H26" s="66">
        <f t="shared" si="3"/>
        <v>3255.0833333333308</v>
      </c>
    </row>
    <row r="27" spans="3:8" x14ac:dyDescent="0.2">
      <c r="C27" s="85">
        <f t="shared" si="4"/>
        <v>14</v>
      </c>
      <c r="D27" s="49">
        <f t="shared" si="5"/>
        <v>3255.0833333333308</v>
      </c>
      <c r="E27" s="86">
        <f t="shared" si="6"/>
        <v>15.113403280472005</v>
      </c>
      <c r="F27" s="203">
        <f t="shared" si="1"/>
        <v>295.91666666666669</v>
      </c>
      <c r="G27" s="87">
        <f t="shared" si="2"/>
        <v>311.03006994713871</v>
      </c>
      <c r="H27" s="66">
        <f t="shared" si="3"/>
        <v>2959.1666666666642</v>
      </c>
    </row>
    <row r="28" spans="3:8" x14ac:dyDescent="0.2">
      <c r="C28" s="85">
        <f t="shared" si="4"/>
        <v>15</v>
      </c>
      <c r="D28" s="49">
        <f t="shared" si="5"/>
        <v>2959.1666666666642</v>
      </c>
      <c r="E28" s="86">
        <f t="shared" si="6"/>
        <v>13.739457527701823</v>
      </c>
      <c r="F28" s="203">
        <f t="shared" si="1"/>
        <v>295.91666666666669</v>
      </c>
      <c r="G28" s="87">
        <f t="shared" si="2"/>
        <v>309.65612419436849</v>
      </c>
      <c r="H28" s="66">
        <f t="shared" si="3"/>
        <v>2663.2499999999977</v>
      </c>
    </row>
    <row r="29" spans="3:8" x14ac:dyDescent="0.2">
      <c r="C29" s="85">
        <f t="shared" si="4"/>
        <v>16</v>
      </c>
      <c r="D29" s="49">
        <f t="shared" si="5"/>
        <v>2663.2499999999977</v>
      </c>
      <c r="E29" s="86">
        <f t="shared" si="6"/>
        <v>12.36551177493164</v>
      </c>
      <c r="F29" s="203">
        <f t="shared" si="1"/>
        <v>295.91666666666669</v>
      </c>
      <c r="G29" s="87">
        <f t="shared" si="2"/>
        <v>308.28217844159832</v>
      </c>
      <c r="H29" s="66">
        <f t="shared" si="3"/>
        <v>2367.3333333333312</v>
      </c>
    </row>
    <row r="30" spans="3:8" x14ac:dyDescent="0.2">
      <c r="C30" s="85">
        <f t="shared" si="4"/>
        <v>17</v>
      </c>
      <c r="D30" s="49">
        <f t="shared" si="5"/>
        <v>2367.3333333333312</v>
      </c>
      <c r="E30" s="86">
        <f t="shared" si="6"/>
        <v>10.991566022161457</v>
      </c>
      <c r="F30" s="203">
        <f t="shared" si="1"/>
        <v>295.91666666666669</v>
      </c>
      <c r="G30" s="87">
        <f t="shared" si="2"/>
        <v>306.90823268882815</v>
      </c>
      <c r="H30" s="66">
        <f t="shared" si="3"/>
        <v>2071.4166666666647</v>
      </c>
    </row>
    <row r="31" spans="3:8" x14ac:dyDescent="0.2">
      <c r="C31" s="85">
        <f t="shared" si="4"/>
        <v>18</v>
      </c>
      <c r="D31" s="49">
        <f t="shared" si="5"/>
        <v>2071.4166666666647</v>
      </c>
      <c r="E31" s="86">
        <f t="shared" si="6"/>
        <v>9.6176202693912742</v>
      </c>
      <c r="F31" s="203">
        <f t="shared" si="1"/>
        <v>295.91666666666669</v>
      </c>
      <c r="G31" s="87">
        <f t="shared" si="2"/>
        <v>305.53428693605798</v>
      </c>
      <c r="H31" s="66">
        <f t="shared" si="3"/>
        <v>1775.499999999998</v>
      </c>
    </row>
    <row r="32" spans="3:8" x14ac:dyDescent="0.2">
      <c r="C32" s="85">
        <f t="shared" si="4"/>
        <v>19</v>
      </c>
      <c r="D32" s="49">
        <f t="shared" si="5"/>
        <v>1775.499999999998</v>
      </c>
      <c r="E32" s="86">
        <f t="shared" si="6"/>
        <v>8.2436745166210912</v>
      </c>
      <c r="F32" s="203">
        <f t="shared" si="1"/>
        <v>295.91666666666669</v>
      </c>
      <c r="G32" s="87">
        <f t="shared" si="2"/>
        <v>304.16034118328776</v>
      </c>
      <c r="H32" s="66">
        <f t="shared" si="3"/>
        <v>1479.5833333333312</v>
      </c>
    </row>
    <row r="33" spans="3:8" x14ac:dyDescent="0.2">
      <c r="C33" s="85">
        <f t="shared" si="4"/>
        <v>20</v>
      </c>
      <c r="D33" s="49">
        <f t="shared" si="5"/>
        <v>1479.5833333333312</v>
      </c>
      <c r="E33" s="86">
        <f t="shared" si="6"/>
        <v>6.8697287638509072</v>
      </c>
      <c r="F33" s="203">
        <f t="shared" si="1"/>
        <v>295.91666666666669</v>
      </c>
      <c r="G33" s="87">
        <f t="shared" si="2"/>
        <v>302.78639543051759</v>
      </c>
      <c r="H33" s="66">
        <f t="shared" si="3"/>
        <v>1183.6666666666645</v>
      </c>
    </row>
    <row r="34" spans="3:8" x14ac:dyDescent="0.2">
      <c r="C34" s="85">
        <f t="shared" si="4"/>
        <v>21</v>
      </c>
      <c r="D34" s="49">
        <f t="shared" si="5"/>
        <v>1183.6666666666645</v>
      </c>
      <c r="E34" s="86">
        <f t="shared" si="6"/>
        <v>5.4957830110807233</v>
      </c>
      <c r="F34" s="203">
        <f t="shared" si="1"/>
        <v>295.91666666666669</v>
      </c>
      <c r="G34" s="87">
        <f t="shared" si="2"/>
        <v>301.41244967774742</v>
      </c>
      <c r="H34" s="66">
        <f t="shared" si="3"/>
        <v>887.74999999999773</v>
      </c>
    </row>
    <row r="35" spans="3:8" x14ac:dyDescent="0.2">
      <c r="C35" s="85">
        <f>C34+1</f>
        <v>22</v>
      </c>
      <c r="D35" s="49">
        <f t="shared" si="5"/>
        <v>887.74999999999773</v>
      </c>
      <c r="E35" s="86">
        <f t="shared" si="6"/>
        <v>4.1218372583105394</v>
      </c>
      <c r="F35" s="203">
        <f t="shared" si="1"/>
        <v>295.91666666666669</v>
      </c>
      <c r="G35" s="87">
        <f t="shared" si="2"/>
        <v>300.03850392497725</v>
      </c>
      <c r="H35" s="66">
        <f t="shared" si="3"/>
        <v>591.83333333333098</v>
      </c>
    </row>
    <row r="36" spans="3:8" x14ac:dyDescent="0.2">
      <c r="C36" s="85">
        <f t="shared" si="4"/>
        <v>23</v>
      </c>
      <c r="D36" s="49">
        <f t="shared" si="5"/>
        <v>591.83333333333098</v>
      </c>
      <c r="E36" s="86">
        <f t="shared" si="6"/>
        <v>2.7478915055403559</v>
      </c>
      <c r="F36" s="203">
        <f t="shared" si="1"/>
        <v>295.91666666666669</v>
      </c>
      <c r="G36" s="87">
        <f t="shared" si="2"/>
        <v>298.66455817220702</v>
      </c>
      <c r="H36" s="66">
        <f t="shared" si="3"/>
        <v>295.9166666666643</v>
      </c>
    </row>
    <row r="37" spans="3:8" x14ac:dyDescent="0.2">
      <c r="C37" s="85">
        <f t="shared" si="4"/>
        <v>24</v>
      </c>
      <c r="D37" s="49">
        <f t="shared" si="5"/>
        <v>295.9166666666643</v>
      </c>
      <c r="E37" s="86">
        <f t="shared" si="6"/>
        <v>1.3739457527701724</v>
      </c>
      <c r="F37" s="203">
        <f t="shared" si="1"/>
        <v>295.91666666666669</v>
      </c>
      <c r="G37" s="87">
        <f t="shared" si="2"/>
        <v>297.29061241943685</v>
      </c>
      <c r="H37" s="66">
        <f t="shared" si="3"/>
        <v>-2.3874235921539366E-12</v>
      </c>
    </row>
    <row r="38" spans="3:8" x14ac:dyDescent="0.2">
      <c r="C38" s="241" t="s">
        <v>204</v>
      </c>
      <c r="D38" s="242"/>
      <c r="E38" s="243">
        <f>SUM(E26:E37)</f>
        <v>107.16776871607416</v>
      </c>
      <c r="F38" s="244">
        <f>SUM(F26:F37)</f>
        <v>3550.9999999999995</v>
      </c>
      <c r="G38" s="243">
        <f>SUM(G26:G37)</f>
        <v>3658.1677687160741</v>
      </c>
      <c r="H38" s="2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D6" sqref="D6"/>
    </sheetView>
  </sheetViews>
  <sheetFormatPr defaultRowHeight="12.75" x14ac:dyDescent="0.2"/>
  <cols>
    <col min="1" max="1" width="11.42578125" customWidth="1"/>
    <col min="2" max="2" width="4.42578125" customWidth="1"/>
    <col min="3" max="3" width="24" customWidth="1"/>
    <col min="4" max="4" width="9.140625" customWidth="1"/>
    <col min="5" max="5" width="9.28515625" customWidth="1"/>
    <col min="6" max="6" width="8.42578125" customWidth="1"/>
    <col min="7" max="256" width="11.42578125" customWidth="1"/>
  </cols>
  <sheetData>
    <row r="1" spans="2:9" x14ac:dyDescent="0.2">
      <c r="B1" s="11"/>
    </row>
    <row r="2" spans="2:9" x14ac:dyDescent="0.2">
      <c r="B2" s="29"/>
    </row>
    <row r="3" spans="2:9" x14ac:dyDescent="0.2">
      <c r="C3" s="338" t="s">
        <v>224</v>
      </c>
      <c r="D3" s="338"/>
      <c r="E3" s="338"/>
      <c r="F3" s="338"/>
      <c r="G3" s="338"/>
      <c r="H3" s="338"/>
    </row>
    <row r="4" spans="2:9" ht="13.5" thickBot="1" x14ac:dyDescent="0.25">
      <c r="C4" s="96"/>
      <c r="D4" s="96"/>
      <c r="E4" s="96"/>
      <c r="F4" s="96"/>
    </row>
    <row r="5" spans="2:9" ht="13.5" thickBot="1" x14ac:dyDescent="0.25">
      <c r="C5" s="55" t="s">
        <v>14</v>
      </c>
      <c r="D5" s="58" t="s">
        <v>71</v>
      </c>
      <c r="E5" s="58" t="s">
        <v>72</v>
      </c>
      <c r="F5" s="58" t="s">
        <v>73</v>
      </c>
      <c r="G5" s="58" t="s">
        <v>150</v>
      </c>
      <c r="H5" s="59" t="s">
        <v>151</v>
      </c>
      <c r="I5" s="176"/>
    </row>
    <row r="6" spans="2:9" x14ac:dyDescent="0.2">
      <c r="C6" s="101" t="s">
        <v>223</v>
      </c>
      <c r="D6" s="199">
        <f>Presupuesto_Ventas!P8</f>
        <v>87600</v>
      </c>
      <c r="E6" s="199">
        <f>Presupuesto_Ventas!P9</f>
        <v>144000</v>
      </c>
      <c r="F6" s="199">
        <f>Presupuesto_Ventas!P10</f>
        <v>144000</v>
      </c>
      <c r="G6" s="199">
        <f>Presupuesto_Ventas!P11</f>
        <v>144000</v>
      </c>
      <c r="H6" s="200">
        <f>Presupuesto_Ventas!P12</f>
        <v>144000</v>
      </c>
    </row>
    <row r="7" spans="2:9" x14ac:dyDescent="0.2">
      <c r="C7" s="73" t="s">
        <v>90</v>
      </c>
      <c r="D7" s="9"/>
      <c r="E7" s="9"/>
      <c r="F7" s="9"/>
      <c r="G7" s="9"/>
      <c r="H7" s="64"/>
    </row>
    <row r="8" spans="2:9" x14ac:dyDescent="0.2">
      <c r="C8" s="73" t="s">
        <v>91</v>
      </c>
      <c r="D8" s="9">
        <f>Ventas_Unidades!O7*Costos_Unitarios!$C$18</f>
        <v>58911</v>
      </c>
      <c r="E8" s="9">
        <f>Ventas_Unidades!O8*Costos_Unitarios!$C$18</f>
        <v>96840</v>
      </c>
      <c r="F8" s="9">
        <f>Ventas_Unidades!O9*Costos_Unitarios!$C$18</f>
        <v>96840</v>
      </c>
      <c r="G8" s="9">
        <f>Ventas_Unidades!O10*Costos_Unitarios!$C$18</f>
        <v>96840</v>
      </c>
      <c r="H8" s="64">
        <f>Ventas_Unidades!O11*Costos_Unitarios!$C$18</f>
        <v>96840</v>
      </c>
    </row>
    <row r="9" spans="2:9" x14ac:dyDescent="0.2">
      <c r="C9" s="65" t="s">
        <v>132</v>
      </c>
      <c r="D9" s="49">
        <f>Depreciación_VR!$F$9</f>
        <v>1214.5</v>
      </c>
      <c r="E9" s="49">
        <f>Depreciación_VR!$F$9</f>
        <v>1214.5</v>
      </c>
      <c r="F9" s="49">
        <f>Depreciación_VR!$F$9</f>
        <v>1214.5</v>
      </c>
      <c r="G9" s="49">
        <f>Depreciación_VR!$F$9</f>
        <v>1214.5</v>
      </c>
      <c r="H9" s="66">
        <f>Depreciación_VR!$F$9</f>
        <v>1214.5</v>
      </c>
    </row>
    <row r="10" spans="2:9" x14ac:dyDescent="0.2">
      <c r="C10" s="63" t="s">
        <v>92</v>
      </c>
      <c r="D10" s="60">
        <f>D6-D8-D9</f>
        <v>27474.5</v>
      </c>
      <c r="E10" s="60">
        <f>E6-E8-E9</f>
        <v>45945.5</v>
      </c>
      <c r="F10" s="60">
        <f>F6-F8-F9</f>
        <v>45945.5</v>
      </c>
      <c r="G10" s="60">
        <f>G6-G8-G9</f>
        <v>45945.5</v>
      </c>
      <c r="H10" s="67">
        <f>H6-H8-H9</f>
        <v>45945.5</v>
      </c>
    </row>
    <row r="11" spans="2:9" x14ac:dyDescent="0.2">
      <c r="C11" s="73" t="s">
        <v>93</v>
      </c>
      <c r="D11" s="9"/>
      <c r="E11" s="9"/>
      <c r="F11" s="9"/>
      <c r="G11" s="9"/>
      <c r="H11" s="64"/>
    </row>
    <row r="12" spans="2:9" x14ac:dyDescent="0.2">
      <c r="C12" s="73" t="s">
        <v>61</v>
      </c>
      <c r="D12" s="9">
        <f>Gastos_Operativos!$F$4*12</f>
        <v>13500</v>
      </c>
      <c r="E12" s="9">
        <f>Gastos_Operativos!$F$4*12</f>
        <v>13500</v>
      </c>
      <c r="F12" s="9">
        <f>Gastos_Operativos!$F$4*12</f>
        <v>13500</v>
      </c>
      <c r="G12" s="9">
        <f>Gastos_Operativos!$F$4*12</f>
        <v>13500</v>
      </c>
      <c r="H12" s="64">
        <f>Gastos_Operativos!$F$4*12</f>
        <v>13500</v>
      </c>
    </row>
    <row r="13" spans="2:9" x14ac:dyDescent="0.2">
      <c r="C13" s="73" t="s">
        <v>63</v>
      </c>
      <c r="D13" s="9">
        <f>Gastos_Operativos!$F$11*12</f>
        <v>12120</v>
      </c>
      <c r="E13" s="9">
        <f>Gastos_Operativos!$F$11*12</f>
        <v>12120</v>
      </c>
      <c r="F13" s="9">
        <f>Gastos_Operativos!$F$11*12</f>
        <v>12120</v>
      </c>
      <c r="G13" s="9">
        <f>Gastos_Operativos!$F$11*12</f>
        <v>12120</v>
      </c>
      <c r="H13" s="64">
        <f>Gastos_Operativos!$F$11*12</f>
        <v>12120</v>
      </c>
    </row>
    <row r="14" spans="2:9" x14ac:dyDescent="0.2">
      <c r="C14" s="73" t="s">
        <v>89</v>
      </c>
      <c r="D14" s="49">
        <f>Inversión_Inicial!$G$34/Resumen!$H$9</f>
        <v>291</v>
      </c>
      <c r="E14" s="49">
        <f>Inversión_Inicial!$G$34/Resumen!$H$9</f>
        <v>291</v>
      </c>
      <c r="F14" s="49">
        <f>Inversión_Inicial!$G$34/Resumen!$H$9</f>
        <v>291</v>
      </c>
      <c r="G14" s="49">
        <f>Inversión_Inicial!$G$34/Resumen!$H$9</f>
        <v>291</v>
      </c>
      <c r="H14" s="66">
        <f>Inversión_Inicial!$G$34/Resumen!$H$9</f>
        <v>291</v>
      </c>
    </row>
    <row r="15" spans="2:9" x14ac:dyDescent="0.2">
      <c r="C15" s="63" t="s">
        <v>95</v>
      </c>
      <c r="D15" s="60">
        <f>D10-D12-D13-D14</f>
        <v>1563.5</v>
      </c>
      <c r="E15" s="60">
        <f>E10-E12-E13-E14</f>
        <v>20034.5</v>
      </c>
      <c r="F15" s="60">
        <f>F10-F12-F13-F14</f>
        <v>20034.5</v>
      </c>
      <c r="G15" s="60">
        <f>G10-G12-G13-G14</f>
        <v>20034.5</v>
      </c>
      <c r="H15" s="67">
        <f>H10-H12-H13-H14</f>
        <v>20034.5</v>
      </c>
    </row>
    <row r="16" spans="2:9" ht="13.5" thickBot="1" x14ac:dyDescent="0.25">
      <c r="C16" s="201" t="s">
        <v>227</v>
      </c>
      <c r="D16" s="197"/>
      <c r="E16" s="197">
        <f>(E15+D15)*Resumen!H11</f>
        <v>2159.8000000000002</v>
      </c>
      <c r="F16" s="197">
        <f>F15*Resumen!$H$11</f>
        <v>2003.45</v>
      </c>
      <c r="G16" s="197">
        <f>G15*Resumen!$H$11</f>
        <v>2003.45</v>
      </c>
      <c r="H16" s="312">
        <f>H15*Resumen!$H$11</f>
        <v>2003.45</v>
      </c>
    </row>
    <row r="17" spans="2:8" ht="13.5" thickBot="1" x14ac:dyDescent="0.25">
      <c r="C17" s="55" t="s">
        <v>97</v>
      </c>
      <c r="D17" s="56">
        <f>D15-D16</f>
        <v>1563.5</v>
      </c>
      <c r="E17" s="56">
        <f>E15-E16</f>
        <v>17874.7</v>
      </c>
      <c r="F17" s="56">
        <f>F15-F16</f>
        <v>18031.05</v>
      </c>
      <c r="G17" s="56">
        <f>G15-G16</f>
        <v>18031.05</v>
      </c>
      <c r="H17" s="57">
        <f>H15-H16</f>
        <v>18031.05</v>
      </c>
    </row>
    <row r="18" spans="2:8" x14ac:dyDescent="0.2">
      <c r="B18" s="89"/>
      <c r="C18" s="311" t="s">
        <v>228</v>
      </c>
    </row>
    <row r="20" spans="2:8" x14ac:dyDescent="0.2">
      <c r="C20" t="s">
        <v>229</v>
      </c>
      <c r="D20" s="61">
        <v>0.1</v>
      </c>
    </row>
    <row r="21" spans="2:8" x14ac:dyDescent="0.2">
      <c r="C21">
        <f>15*4400</f>
        <v>66000</v>
      </c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J14" sqref="J14"/>
    </sheetView>
  </sheetViews>
  <sheetFormatPr defaultRowHeight="12.75" x14ac:dyDescent="0.2"/>
  <cols>
    <col min="1" max="1" width="11.42578125" customWidth="1"/>
    <col min="2" max="2" width="4.42578125" customWidth="1"/>
    <col min="3" max="3" width="24" customWidth="1"/>
    <col min="4" max="4" width="14.7109375" customWidth="1"/>
    <col min="5" max="5" width="9.28515625" customWidth="1"/>
    <col min="6" max="6" width="8.42578125" customWidth="1"/>
    <col min="7" max="256" width="11.42578125" customWidth="1"/>
  </cols>
  <sheetData>
    <row r="1" spans="2:9" x14ac:dyDescent="0.2">
      <c r="B1" s="11"/>
    </row>
    <row r="2" spans="2:9" x14ac:dyDescent="0.2">
      <c r="B2" s="29"/>
    </row>
    <row r="3" spans="2:9" x14ac:dyDescent="0.2">
      <c r="C3" s="338" t="s">
        <v>235</v>
      </c>
      <c r="D3" s="338"/>
      <c r="E3" s="338"/>
      <c r="F3" s="338"/>
      <c r="G3" s="338"/>
      <c r="H3" s="338"/>
    </row>
    <row r="4" spans="2:9" ht="13.5" thickBot="1" x14ac:dyDescent="0.25">
      <c r="C4" s="96"/>
      <c r="D4" s="96"/>
      <c r="E4" s="96"/>
      <c r="F4" s="96"/>
    </row>
    <row r="5" spans="2:9" ht="13.5" thickBot="1" x14ac:dyDescent="0.25">
      <c r="C5" s="55" t="s">
        <v>14</v>
      </c>
      <c r="D5" s="58" t="s">
        <v>71</v>
      </c>
      <c r="E5" s="58" t="s">
        <v>72</v>
      </c>
      <c r="F5" s="58" t="s">
        <v>73</v>
      </c>
      <c r="G5" s="58" t="s">
        <v>150</v>
      </c>
      <c r="H5" s="59" t="s">
        <v>151</v>
      </c>
      <c r="I5" s="176"/>
    </row>
    <row r="6" spans="2:9" x14ac:dyDescent="0.2">
      <c r="C6" s="101" t="s">
        <v>234</v>
      </c>
      <c r="D6" s="199">
        <f>Presupuesto_Ventas!P8</f>
        <v>87600</v>
      </c>
      <c r="E6" s="199">
        <f>Presupuesto_Ventas!P9</f>
        <v>144000</v>
      </c>
      <c r="F6" s="199">
        <f>Presupuesto_Ventas!P10</f>
        <v>144000</v>
      </c>
      <c r="G6" s="199">
        <f>Presupuesto_Ventas!P11</f>
        <v>144000</v>
      </c>
      <c r="H6" s="200">
        <f>Presupuesto_Ventas!P12</f>
        <v>144000</v>
      </c>
    </row>
    <row r="7" spans="2:9" x14ac:dyDescent="0.2">
      <c r="C7" s="304" t="s">
        <v>230</v>
      </c>
      <c r="D7" s="305">
        <f>D6*1.18</f>
        <v>103368</v>
      </c>
      <c r="E7" s="305">
        <f>E6*1.18</f>
        <v>169920</v>
      </c>
      <c r="F7" s="305">
        <f>F6*1.18</f>
        <v>169920</v>
      </c>
      <c r="G7" s="305">
        <f>G6*1.18</f>
        <v>169920</v>
      </c>
      <c r="H7" s="306">
        <f>H6*1.18</f>
        <v>169920</v>
      </c>
    </row>
    <row r="8" spans="2:9" x14ac:dyDescent="0.2">
      <c r="C8" s="63" t="s">
        <v>283</v>
      </c>
      <c r="D8" s="60">
        <f>D7-D6</f>
        <v>15768</v>
      </c>
      <c r="E8" s="60">
        <f>E7-E6</f>
        <v>25920</v>
      </c>
      <c r="F8" s="60">
        <f>F7-F6</f>
        <v>25920</v>
      </c>
      <c r="G8" s="60">
        <f>G7-G6</f>
        <v>25920</v>
      </c>
      <c r="H8" s="67">
        <f>H7-H6</f>
        <v>25920</v>
      </c>
    </row>
    <row r="9" spans="2:9" x14ac:dyDescent="0.2">
      <c r="C9" s="73" t="s">
        <v>91</v>
      </c>
      <c r="D9" s="9">
        <f>Ventas_Unidades!O7*Costos_Unitarios!$C$18</f>
        <v>58911</v>
      </c>
      <c r="E9" s="9">
        <f>Ventas_Unidades!O8*Costos_Unitarios!$C$18</f>
        <v>96840</v>
      </c>
      <c r="F9" s="9">
        <f>Ventas_Unidades!O9*Costos_Unitarios!$C$18</f>
        <v>96840</v>
      </c>
      <c r="G9" s="9">
        <f>Ventas_Unidades!O10*Costos_Unitarios!$C$18</f>
        <v>96840</v>
      </c>
      <c r="H9" s="64">
        <f>Ventas_Unidades!O11*Costos_Unitarios!$C$18</f>
        <v>96840</v>
      </c>
    </row>
    <row r="10" spans="2:9" x14ac:dyDescent="0.2">
      <c r="C10" s="65" t="s">
        <v>132</v>
      </c>
      <c r="D10" s="49">
        <f>Depreciación_VR!$F$9</f>
        <v>1214.5</v>
      </c>
      <c r="E10" s="49">
        <f>Depreciación_VR!$F$9</f>
        <v>1214.5</v>
      </c>
      <c r="F10" s="49">
        <f>Depreciación_VR!$F$9</f>
        <v>1214.5</v>
      </c>
      <c r="G10" s="49">
        <f>Depreciación_VR!$F$9</f>
        <v>1214.5</v>
      </c>
      <c r="H10" s="66">
        <f>Depreciación_VR!$F$9</f>
        <v>1214.5</v>
      </c>
    </row>
    <row r="11" spans="2:9" x14ac:dyDescent="0.2">
      <c r="C11" s="73" t="s">
        <v>61</v>
      </c>
      <c r="D11" s="9">
        <f>(Gastos_Operativos!$F$7+Gastos_Operativos!$F$8+Gastos_Operativos!$F$9+Gastos_Operativos!$F$10)*12</f>
        <v>2160</v>
      </c>
      <c r="E11" s="9">
        <f>(Gastos_Operativos!$F$7+Gastos_Operativos!$F$8+Gastos_Operativos!$F$9+Gastos_Operativos!$F$10)*12</f>
        <v>2160</v>
      </c>
      <c r="F11" s="9">
        <f>(Gastos_Operativos!$F$7+Gastos_Operativos!$F$8+Gastos_Operativos!$F$9+Gastos_Operativos!$F$10)*12</f>
        <v>2160</v>
      </c>
      <c r="G11" s="9">
        <f>(Gastos_Operativos!$F$7+Gastos_Operativos!$F$8+Gastos_Operativos!$F$9+Gastos_Operativos!$F$10)*12</f>
        <v>2160</v>
      </c>
      <c r="H11" s="64">
        <f>(Gastos_Operativos!$F$7+Gastos_Operativos!$F$8+Gastos_Operativos!$F$9+Gastos_Operativos!$F$10)*12</f>
        <v>2160</v>
      </c>
    </row>
    <row r="12" spans="2:9" x14ac:dyDescent="0.2">
      <c r="C12" s="73" t="s">
        <v>63</v>
      </c>
      <c r="D12" s="9">
        <f>(Gastos_Operativos!$F$11-Gastos_Operativos!$F$12)*12</f>
        <v>960</v>
      </c>
      <c r="E12" s="9">
        <f>(Gastos_Operativos!$F$11-Gastos_Operativos!$F$12)*12</f>
        <v>960</v>
      </c>
      <c r="F12" s="9">
        <f>(Gastos_Operativos!$F$11-Gastos_Operativos!$F$12)*12</f>
        <v>960</v>
      </c>
      <c r="G12" s="9">
        <f>(Gastos_Operativos!$F$11-Gastos_Operativos!$F$12)*12</f>
        <v>960</v>
      </c>
      <c r="H12" s="64">
        <f>(Gastos_Operativos!$F$11-Gastos_Operativos!$F$12)*12</f>
        <v>960</v>
      </c>
    </row>
    <row r="13" spans="2:9" x14ac:dyDescent="0.2">
      <c r="C13" s="73" t="s">
        <v>89</v>
      </c>
      <c r="D13" s="49">
        <f>'Estado de Resultados'!D14</f>
        <v>291</v>
      </c>
      <c r="E13" s="49">
        <f>'Estado de Resultados'!E14</f>
        <v>291</v>
      </c>
      <c r="F13" s="49">
        <f>'Estado de Resultados'!F14</f>
        <v>291</v>
      </c>
      <c r="G13" s="49">
        <f>'Estado de Resultados'!G14</f>
        <v>291</v>
      </c>
      <c r="H13" s="66">
        <f>'Estado de Resultados'!H14</f>
        <v>291</v>
      </c>
    </row>
    <row r="14" spans="2:9" x14ac:dyDescent="0.2">
      <c r="C14" s="272" t="s">
        <v>232</v>
      </c>
      <c r="D14" s="273">
        <f>SUM(D9:D13)</f>
        <v>63536.5</v>
      </c>
      <c r="E14" s="273">
        <f>SUM(E9:E13)</f>
        <v>101465.5</v>
      </c>
      <c r="F14" s="273">
        <f>SUM(F9:F13)</f>
        <v>101465.5</v>
      </c>
      <c r="G14" s="273">
        <f>SUM(G9:G13)</f>
        <v>101465.5</v>
      </c>
      <c r="H14" s="274">
        <f>SUM(H9:H13)</f>
        <v>101465.5</v>
      </c>
    </row>
    <row r="15" spans="2:9" x14ac:dyDescent="0.2">
      <c r="C15" s="307" t="s">
        <v>233</v>
      </c>
      <c r="D15" s="308">
        <f>D14*1.18</f>
        <v>74973.069999999992</v>
      </c>
      <c r="E15" s="308">
        <f>E14*1.18</f>
        <v>119729.29</v>
      </c>
      <c r="F15" s="308">
        <f>F14*1.18</f>
        <v>119729.29</v>
      </c>
      <c r="G15" s="308">
        <f>G14*1.18</f>
        <v>119729.29</v>
      </c>
      <c r="H15" s="309">
        <f>H14*1.18</f>
        <v>119729.29</v>
      </c>
    </row>
    <row r="16" spans="2:9" ht="13.5" thickBot="1" x14ac:dyDescent="0.25">
      <c r="C16" s="275" t="s">
        <v>284</v>
      </c>
      <c r="D16" s="276">
        <f>D15-D14</f>
        <v>11436.569999999992</v>
      </c>
      <c r="E16" s="276">
        <f>E15-E14</f>
        <v>18263.789999999994</v>
      </c>
      <c r="F16" s="276">
        <f>F15-F14</f>
        <v>18263.789999999994</v>
      </c>
      <c r="G16" s="276">
        <f>G15-G14</f>
        <v>18263.789999999994</v>
      </c>
      <c r="H16" s="316">
        <f>H15-H14</f>
        <v>18263.789999999994</v>
      </c>
    </row>
    <row r="17" spans="2:8" ht="13.5" thickBot="1" x14ac:dyDescent="0.25">
      <c r="C17" s="55" t="s">
        <v>231</v>
      </c>
      <c r="D17" s="56">
        <f>D8-D16</f>
        <v>4331.4300000000076</v>
      </c>
      <c r="E17" s="56">
        <f>E8-E16</f>
        <v>7656.2100000000064</v>
      </c>
      <c r="F17" s="56">
        <f>F8-F16</f>
        <v>7656.2100000000064</v>
      </c>
      <c r="G17" s="56">
        <f>G8-G16</f>
        <v>7656.2100000000064</v>
      </c>
      <c r="H17" s="57">
        <f>H8-H16</f>
        <v>7656.2100000000064</v>
      </c>
    </row>
    <row r="18" spans="2:8" x14ac:dyDescent="0.2">
      <c r="B18" s="89"/>
      <c r="C18" s="277"/>
      <c r="D18" s="89"/>
    </row>
    <row r="20" spans="2:8" x14ac:dyDescent="0.2">
      <c r="D20" s="61"/>
    </row>
  </sheetData>
  <mergeCells count="1">
    <mergeCell ref="C3:H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zoomScaleNormal="100" workbookViewId="0">
      <selection activeCell="E16" sqref="E16"/>
    </sheetView>
  </sheetViews>
  <sheetFormatPr defaultRowHeight="12.75" x14ac:dyDescent="0.2"/>
  <cols>
    <col min="1" max="256" width="11.42578125" customWidth="1"/>
  </cols>
  <sheetData>
    <row r="4" spans="2:4" ht="18.75" x14ac:dyDescent="0.2">
      <c r="B4" s="279" t="s">
        <v>236</v>
      </c>
    </row>
    <row r="6" spans="2:4" x14ac:dyDescent="0.2">
      <c r="B6" s="11" t="s">
        <v>237</v>
      </c>
    </row>
    <row r="7" spans="2:4" x14ac:dyDescent="0.2">
      <c r="B7" s="29" t="s">
        <v>238</v>
      </c>
      <c r="C7" s="282">
        <v>4.9500000000000002E-2</v>
      </c>
      <c r="D7" s="29" t="s">
        <v>252</v>
      </c>
    </row>
    <row r="8" spans="2:4" x14ac:dyDescent="0.2">
      <c r="B8" s="280" t="s">
        <v>239</v>
      </c>
      <c r="C8">
        <v>3.28</v>
      </c>
      <c r="D8" s="29" t="s">
        <v>267</v>
      </c>
    </row>
    <row r="9" spans="2:4" x14ac:dyDescent="0.2">
      <c r="B9" s="29" t="s">
        <v>240</v>
      </c>
      <c r="C9" s="282">
        <v>4.6399999999999997E-2</v>
      </c>
      <c r="D9" s="29" t="s">
        <v>252</v>
      </c>
    </row>
    <row r="10" spans="2:4" x14ac:dyDescent="0.2">
      <c r="B10" s="29" t="s">
        <v>241</v>
      </c>
      <c r="C10" s="282">
        <v>1.7399999999999999E-2</v>
      </c>
      <c r="D10" s="29" t="s">
        <v>242</v>
      </c>
    </row>
    <row r="12" spans="2:4" x14ac:dyDescent="0.2">
      <c r="B12" s="293" t="s">
        <v>244</v>
      </c>
      <c r="C12" s="292">
        <f>C7+C8*C9+C10</f>
        <v>0.21909199999999998</v>
      </c>
      <c r="D12" s="29" t="s">
        <v>243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zoomScaleNormal="100" workbookViewId="0">
      <selection activeCell="H19" sqref="H19"/>
    </sheetView>
  </sheetViews>
  <sheetFormatPr defaultRowHeight="12.75" x14ac:dyDescent="0.2"/>
  <cols>
    <col min="1" max="1" width="11.42578125" customWidth="1"/>
    <col min="2" max="2" width="14.7109375" customWidth="1"/>
    <col min="3" max="256" width="11.42578125" customWidth="1"/>
  </cols>
  <sheetData>
    <row r="1" spans="2:11" ht="13.5" thickBot="1" x14ac:dyDescent="0.25"/>
    <row r="2" spans="2:11" ht="13.5" thickBot="1" x14ac:dyDescent="0.25">
      <c r="B2" s="339" t="s">
        <v>257</v>
      </c>
      <c r="C2" s="340"/>
      <c r="D2" s="340"/>
      <c r="E2" s="341"/>
      <c r="G2" s="345" t="s">
        <v>258</v>
      </c>
      <c r="H2" s="346"/>
      <c r="I2" s="346"/>
      <c r="J2" s="346"/>
      <c r="K2" s="347"/>
    </row>
    <row r="4" spans="2:11" ht="15.75" x14ac:dyDescent="0.25">
      <c r="B4" s="283" t="s">
        <v>245</v>
      </c>
      <c r="G4" s="286" t="s">
        <v>269</v>
      </c>
    </row>
    <row r="6" spans="2:11" ht="15.75" x14ac:dyDescent="0.2">
      <c r="B6" s="279" t="s">
        <v>246</v>
      </c>
      <c r="G6" s="279" t="s">
        <v>255</v>
      </c>
    </row>
    <row r="7" spans="2:11" ht="15.75" x14ac:dyDescent="0.2">
      <c r="B7" s="279" t="s">
        <v>247</v>
      </c>
      <c r="C7" s="281">
        <v>4.9500000000000002E-2</v>
      </c>
      <c r="G7" s="286" t="s">
        <v>262</v>
      </c>
      <c r="H7">
        <f>0.6</f>
        <v>0.6</v>
      </c>
    </row>
    <row r="8" spans="2:11" ht="15.75" x14ac:dyDescent="0.2">
      <c r="B8" s="284" t="s">
        <v>248</v>
      </c>
      <c r="C8" s="287">
        <f>C22</f>
        <v>3.3893333333333326</v>
      </c>
      <c r="G8" s="286" t="s">
        <v>254</v>
      </c>
      <c r="H8" s="288">
        <f>C12</f>
        <v>0.22416506666666661</v>
      </c>
    </row>
    <row r="9" spans="2:11" ht="15.75" x14ac:dyDescent="0.2">
      <c r="B9" s="279" t="s">
        <v>249</v>
      </c>
      <c r="C9" s="281">
        <v>4.6399999999999997E-2</v>
      </c>
      <c r="G9" s="286" t="s">
        <v>263</v>
      </c>
      <c r="H9">
        <f>1-H7</f>
        <v>0.4</v>
      </c>
    </row>
    <row r="10" spans="2:11" ht="15.75" x14ac:dyDescent="0.2">
      <c r="B10" s="279" t="s">
        <v>250</v>
      </c>
      <c r="C10" s="288">
        <f>Ku!C10</f>
        <v>1.7399999999999999E-2</v>
      </c>
      <c r="G10" s="286" t="s">
        <v>264</v>
      </c>
      <c r="H10" s="61">
        <f>Resumen!H10</f>
        <v>0.15</v>
      </c>
    </row>
    <row r="11" spans="2:11" ht="15.75" x14ac:dyDescent="0.2">
      <c r="B11" s="279"/>
      <c r="C11" s="288"/>
      <c r="G11" s="286" t="s">
        <v>265</v>
      </c>
      <c r="H11" s="61">
        <f>Resumen!H11</f>
        <v>0.1</v>
      </c>
    </row>
    <row r="12" spans="2:11" ht="15.75" x14ac:dyDescent="0.2">
      <c r="B12" s="289" t="s">
        <v>254</v>
      </c>
      <c r="C12" s="290">
        <f>C7+C8*(C9)+C10</f>
        <v>0.22416506666666661</v>
      </c>
      <c r="G12" s="286"/>
    </row>
    <row r="13" spans="2:11" ht="16.5" thickBot="1" x14ac:dyDescent="0.25">
      <c r="B13" s="279"/>
      <c r="C13" s="288"/>
      <c r="G13" s="289" t="s">
        <v>266</v>
      </c>
      <c r="H13" s="292">
        <f>H7*H8+H9*H10*(1-H11)</f>
        <v>0.18849903999999995</v>
      </c>
    </row>
    <row r="14" spans="2:11" ht="16.5" thickBot="1" x14ac:dyDescent="0.25">
      <c r="B14" s="342" t="s">
        <v>251</v>
      </c>
      <c r="C14" s="343"/>
      <c r="D14" s="343"/>
      <c r="E14" s="344"/>
      <c r="G14" s="285"/>
    </row>
    <row r="15" spans="2:11" ht="18.75" x14ac:dyDescent="0.2">
      <c r="B15" s="285" t="s">
        <v>268</v>
      </c>
    </row>
    <row r="16" spans="2:11" ht="15.75" x14ac:dyDescent="0.2">
      <c r="B16" s="279" t="s">
        <v>256</v>
      </c>
    </row>
    <row r="17" spans="2:4" ht="15.75" x14ac:dyDescent="0.2">
      <c r="B17" s="284"/>
    </row>
    <row r="18" spans="2:4" ht="19.5" x14ac:dyDescent="0.2">
      <c r="B18" s="284" t="s">
        <v>259</v>
      </c>
      <c r="C18">
        <v>3.28</v>
      </c>
    </row>
    <row r="19" spans="2:4" ht="18.75" x14ac:dyDescent="0.2">
      <c r="B19" s="279" t="s">
        <v>260</v>
      </c>
      <c r="C19">
        <f>0.4/0.6</f>
        <v>0.66666666666666674</v>
      </c>
    </row>
    <row r="20" spans="2:4" ht="15.75" x14ac:dyDescent="0.2">
      <c r="B20" s="279" t="s">
        <v>261</v>
      </c>
      <c r="C20">
        <v>0.1</v>
      </c>
      <c r="D20" s="291"/>
    </row>
    <row r="22" spans="2:4" ht="15.75" x14ac:dyDescent="0.2">
      <c r="B22" s="279" t="s">
        <v>253</v>
      </c>
      <c r="C22" s="287">
        <f>C18*(1+ C20*(1-C19))</f>
        <v>3.3893333333333326</v>
      </c>
    </row>
  </sheetData>
  <mergeCells count="3">
    <mergeCell ref="B2:E2"/>
    <mergeCell ref="B14:E14"/>
    <mergeCell ref="G2:K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workbookViewId="0">
      <selection activeCell="K12" sqref="K12"/>
    </sheetView>
  </sheetViews>
  <sheetFormatPr defaultRowHeight="12.75" x14ac:dyDescent="0.2"/>
  <cols>
    <col min="1" max="2" width="11.42578125" customWidth="1"/>
    <col min="3" max="3" width="35.7109375" customWidth="1"/>
    <col min="4" max="4" width="10.140625" customWidth="1"/>
    <col min="5" max="6" width="9.5703125" customWidth="1"/>
    <col min="7" max="8" width="10" customWidth="1"/>
    <col min="9" max="9" width="9.140625" customWidth="1"/>
    <col min="10" max="256" width="11.42578125" customWidth="1"/>
  </cols>
  <sheetData>
    <row r="1" spans="2:9" x14ac:dyDescent="0.2">
      <c r="B1" s="11"/>
    </row>
    <row r="2" spans="2:9" x14ac:dyDescent="0.2">
      <c r="B2" s="11"/>
    </row>
    <row r="3" spans="2:9" x14ac:dyDescent="0.2">
      <c r="C3" s="338" t="s">
        <v>105</v>
      </c>
      <c r="D3" s="338"/>
      <c r="E3" s="338"/>
      <c r="F3" s="338"/>
      <c r="G3" s="338"/>
      <c r="H3" s="338"/>
      <c r="I3" s="338"/>
    </row>
    <row r="4" spans="2:9" ht="13.5" thickBot="1" x14ac:dyDescent="0.25">
      <c r="C4" s="96"/>
      <c r="D4" s="96"/>
      <c r="E4" s="96"/>
      <c r="F4" s="96"/>
      <c r="G4" s="96"/>
    </row>
    <row r="5" spans="2:9" ht="13.5" thickBot="1" x14ac:dyDescent="0.25">
      <c r="C5" s="55" t="s">
        <v>14</v>
      </c>
      <c r="D5" s="58" t="s">
        <v>109</v>
      </c>
      <c r="E5" s="58" t="s">
        <v>71</v>
      </c>
      <c r="F5" s="58" t="s">
        <v>72</v>
      </c>
      <c r="G5" s="58" t="s">
        <v>73</v>
      </c>
      <c r="H5" s="58" t="s">
        <v>150</v>
      </c>
      <c r="I5" s="59" t="s">
        <v>151</v>
      </c>
    </row>
    <row r="6" spans="2:9" x14ac:dyDescent="0.2">
      <c r="C6" s="68" t="s">
        <v>106</v>
      </c>
      <c r="D6" s="50"/>
      <c r="E6" s="50"/>
      <c r="F6" s="50"/>
      <c r="G6" s="50"/>
      <c r="H6" s="50"/>
      <c r="I6" s="69"/>
    </row>
    <row r="7" spans="2:9" x14ac:dyDescent="0.2">
      <c r="C7" s="65" t="s">
        <v>107</v>
      </c>
      <c r="D7" s="49">
        <f>-Inversión_Inicial!G29</f>
        <v>-9037</v>
      </c>
      <c r="E7" s="49"/>
      <c r="F7" s="49">
        <f>Inversión_Inicial!G14</f>
        <v>357</v>
      </c>
      <c r="G7" s="49"/>
      <c r="H7" s="49">
        <f>F7</f>
        <v>357</v>
      </c>
      <c r="I7" s="64"/>
    </row>
    <row r="8" spans="2:9" x14ac:dyDescent="0.2">
      <c r="C8" s="65" t="s">
        <v>108</v>
      </c>
      <c r="D8" s="49">
        <f>-Inversión_Inicial!G34</f>
        <v>-1455</v>
      </c>
      <c r="E8" s="49"/>
      <c r="F8" s="49"/>
      <c r="G8" s="49"/>
      <c r="H8" s="9"/>
      <c r="I8" s="64"/>
    </row>
    <row r="9" spans="2:9" x14ac:dyDescent="0.2">
      <c r="C9" s="65" t="s">
        <v>110</v>
      </c>
      <c r="D9" s="49">
        <f>-Inversión_Inicial!G37</f>
        <v>-7263</v>
      </c>
      <c r="E9" s="49"/>
      <c r="F9" s="49">
        <v>0</v>
      </c>
      <c r="G9" s="49">
        <v>0</v>
      </c>
      <c r="H9" s="9">
        <v>0</v>
      </c>
      <c r="I9" s="64"/>
    </row>
    <row r="10" spans="2:9" x14ac:dyDescent="0.2">
      <c r="C10" s="65" t="s">
        <v>111</v>
      </c>
      <c r="D10" s="49"/>
      <c r="E10" s="49"/>
      <c r="F10" s="49"/>
      <c r="G10" s="49"/>
      <c r="H10" s="9"/>
      <c r="I10" s="66">
        <f>-SUM(D9:H9)</f>
        <v>7263</v>
      </c>
    </row>
    <row r="11" spans="2:9" x14ac:dyDescent="0.2">
      <c r="C11" s="65" t="s">
        <v>112</v>
      </c>
      <c r="D11" s="9"/>
      <c r="E11" s="9"/>
      <c r="F11" s="9"/>
      <c r="G11" s="24"/>
      <c r="H11" s="9"/>
      <c r="I11" s="66">
        <f>Depreciación_VR!H9</f>
        <v>3678.5</v>
      </c>
    </row>
    <row r="12" spans="2:9" x14ac:dyDescent="0.2">
      <c r="C12" s="63" t="s">
        <v>159</v>
      </c>
      <c r="D12" s="60">
        <f t="shared" ref="D12:I12" si="0">SUM(D7:D11)</f>
        <v>-17755</v>
      </c>
      <c r="E12" s="60">
        <f t="shared" si="0"/>
        <v>0</v>
      </c>
      <c r="F12" s="60">
        <f t="shared" si="0"/>
        <v>357</v>
      </c>
      <c r="G12" s="60">
        <f t="shared" si="0"/>
        <v>0</v>
      </c>
      <c r="H12" s="60">
        <f t="shared" si="0"/>
        <v>357</v>
      </c>
      <c r="I12" s="67">
        <f t="shared" si="0"/>
        <v>10941.5</v>
      </c>
    </row>
    <row r="13" spans="2:9" x14ac:dyDescent="0.2">
      <c r="C13" s="65" t="s">
        <v>113</v>
      </c>
      <c r="D13" s="9"/>
      <c r="E13" s="9"/>
      <c r="F13" s="9"/>
      <c r="G13" s="9"/>
      <c r="H13" s="9"/>
      <c r="I13" s="64"/>
    </row>
    <row r="14" spans="2:9" x14ac:dyDescent="0.2">
      <c r="C14" s="65" t="s">
        <v>114</v>
      </c>
      <c r="D14" s="49"/>
      <c r="E14" s="49">
        <f>'Estado de Resultados'!D6</f>
        <v>87600</v>
      </c>
      <c r="F14" s="49">
        <f>'Estado de Resultados'!E6</f>
        <v>144000</v>
      </c>
      <c r="G14" s="49">
        <f>'Estado de Resultados'!F6</f>
        <v>144000</v>
      </c>
      <c r="H14" s="49">
        <f>'Estado de Resultados'!G6</f>
        <v>144000</v>
      </c>
      <c r="I14" s="66">
        <f>'Estado de Resultados'!H6</f>
        <v>144000</v>
      </c>
    </row>
    <row r="15" spans="2:9" x14ac:dyDescent="0.2">
      <c r="C15" s="65" t="s">
        <v>127</v>
      </c>
      <c r="D15" s="49"/>
      <c r="E15" s="9">
        <f>-'Estado de Resultados'!D8</f>
        <v>-58911</v>
      </c>
      <c r="F15" s="9">
        <f>-'Estado de Resultados'!E8</f>
        <v>-96840</v>
      </c>
      <c r="G15" s="9">
        <f>-'Estado de Resultados'!F8</f>
        <v>-96840</v>
      </c>
      <c r="H15" s="9">
        <f>-'Estado de Resultados'!G8</f>
        <v>-96840</v>
      </c>
      <c r="I15" s="64">
        <f>-'Estado de Resultados'!H8</f>
        <v>-96840</v>
      </c>
    </row>
    <row r="16" spans="2:9" x14ac:dyDescent="0.2">
      <c r="C16" s="65" t="s">
        <v>128</v>
      </c>
      <c r="D16" s="49"/>
      <c r="E16" s="49">
        <f>-('Estado de Resultados'!D12+'Estado de Resultados'!D13)</f>
        <v>-25620</v>
      </c>
      <c r="F16" s="49">
        <f>-('Estado de Resultados'!E12+'Estado de Resultados'!E13)</f>
        <v>-25620</v>
      </c>
      <c r="G16" s="49">
        <f>-('Estado de Resultados'!F12+'Estado de Resultados'!F13)</f>
        <v>-25620</v>
      </c>
      <c r="H16" s="49">
        <f>-('Estado de Resultados'!G12+'Estado de Resultados'!G13)</f>
        <v>-25620</v>
      </c>
      <c r="I16" s="66">
        <f>-('Estado de Resultados'!H12+'Estado de Resultados'!H13)</f>
        <v>-25620</v>
      </c>
    </row>
    <row r="17" spans="3:9" x14ac:dyDescent="0.2">
      <c r="C17" s="278" t="s">
        <v>191</v>
      </c>
      <c r="D17" s="49"/>
      <c r="E17" s="49">
        <f>-IGV!D17</f>
        <v>-4331.4300000000076</v>
      </c>
      <c r="F17" s="49">
        <f>-IGV!E17</f>
        <v>-7656.2100000000064</v>
      </c>
      <c r="G17" s="49">
        <f>-IGV!F17</f>
        <v>-7656.2100000000064</v>
      </c>
      <c r="H17" s="49">
        <f>-IGV!G17</f>
        <v>-7656.2100000000064</v>
      </c>
      <c r="I17" s="66">
        <f>-IGV!H17</f>
        <v>-7656.2100000000064</v>
      </c>
    </row>
    <row r="18" spans="3:9" x14ac:dyDescent="0.2">
      <c r="C18" s="65" t="s">
        <v>96</v>
      </c>
      <c r="D18" s="49"/>
      <c r="E18" s="238">
        <f>-'Estado de Resultados'!D16</f>
        <v>0</v>
      </c>
      <c r="F18" s="49">
        <f>-'Estado de Resultados'!E16</f>
        <v>-2159.8000000000002</v>
      </c>
      <c r="G18" s="49">
        <f>-'Estado de Resultados'!F16</f>
        <v>-2003.45</v>
      </c>
      <c r="H18" s="49">
        <f>-'Estado de Resultados'!G16</f>
        <v>-2003.45</v>
      </c>
      <c r="I18" s="66">
        <f>-'Estado de Resultados'!H16</f>
        <v>-2003.45</v>
      </c>
    </row>
    <row r="19" spans="3:9" ht="13.5" thickBot="1" x14ac:dyDescent="0.25">
      <c r="C19" s="90" t="s">
        <v>115</v>
      </c>
      <c r="D19" s="74">
        <f t="shared" ref="D19:I19" si="1">SUM(D14:D18)</f>
        <v>0</v>
      </c>
      <c r="E19" s="74">
        <f>SUM(E14:E18)</f>
        <v>-1262.4300000000076</v>
      </c>
      <c r="F19" s="74">
        <f t="shared" si="1"/>
        <v>11723.989999999994</v>
      </c>
      <c r="G19" s="74">
        <f t="shared" si="1"/>
        <v>11880.339999999993</v>
      </c>
      <c r="H19" s="74">
        <f t="shared" si="1"/>
        <v>11880.339999999993</v>
      </c>
      <c r="I19" s="91">
        <f t="shared" si="1"/>
        <v>11880.339999999993</v>
      </c>
    </row>
    <row r="20" spans="3:9" ht="13.5" thickBot="1" x14ac:dyDescent="0.25">
      <c r="C20" s="52" t="s">
        <v>116</v>
      </c>
      <c r="D20" s="53">
        <f t="shared" ref="D20:I20" si="2">D12+D19</f>
        <v>-17755</v>
      </c>
      <c r="E20" s="53">
        <f t="shared" si="2"/>
        <v>-1262.4300000000076</v>
      </c>
      <c r="F20" s="53">
        <f t="shared" si="2"/>
        <v>12080.989999999994</v>
      </c>
      <c r="G20" s="53">
        <f t="shared" si="2"/>
        <v>11880.339999999993</v>
      </c>
      <c r="H20" s="53">
        <f t="shared" si="2"/>
        <v>12237.339999999993</v>
      </c>
      <c r="I20" s="53">
        <f t="shared" si="2"/>
        <v>22821.839999999993</v>
      </c>
    </row>
    <row r="21" spans="3:9" x14ac:dyDescent="0.2">
      <c r="C21" s="68" t="s">
        <v>160</v>
      </c>
      <c r="D21" s="50"/>
      <c r="E21" s="50"/>
      <c r="F21" s="50"/>
      <c r="G21" s="50"/>
      <c r="H21" s="50"/>
      <c r="I21" s="69"/>
    </row>
    <row r="22" spans="3:9" x14ac:dyDescent="0.2">
      <c r="C22" s="65" t="s">
        <v>117</v>
      </c>
      <c r="D22" s="49">
        <f>Flujo_Deuda!E3</f>
        <v>7102</v>
      </c>
      <c r="E22" s="49"/>
      <c r="F22" s="49"/>
      <c r="G22" s="49"/>
      <c r="H22" s="9"/>
      <c r="I22" s="64"/>
    </row>
    <row r="23" spans="3:9" x14ac:dyDescent="0.2">
      <c r="C23" s="65" t="s">
        <v>161</v>
      </c>
      <c r="D23" s="49"/>
      <c r="E23" s="49">
        <f>-Flujo_Deuda!F13</f>
        <v>-3550.9999999999995</v>
      </c>
      <c r="F23" s="49">
        <f>-Flujo_Deuda!F38</f>
        <v>-3550.9999999999995</v>
      </c>
      <c r="G23" s="49"/>
      <c r="H23" s="9"/>
      <c r="I23" s="64"/>
    </row>
    <row r="24" spans="3:9" x14ac:dyDescent="0.2">
      <c r="C24" s="65" t="s">
        <v>94</v>
      </c>
      <c r="D24" s="49"/>
      <c r="E24" s="49">
        <f>-Flujo_Deuda!E13</f>
        <v>-305.01595711498061</v>
      </c>
      <c r="F24" s="49">
        <f>-Flujo_Deuda!E38</f>
        <v>-107.16776871607416</v>
      </c>
      <c r="G24" s="49"/>
      <c r="H24" s="9"/>
      <c r="I24" s="64"/>
    </row>
    <row r="25" spans="3:9" x14ac:dyDescent="0.2">
      <c r="C25" s="65" t="s">
        <v>162</v>
      </c>
      <c r="D25" s="49"/>
      <c r="E25" s="49">
        <f>-E24*Resumen!$H$11</f>
        <v>30.501595711498062</v>
      </c>
      <c r="F25" s="49">
        <f>-F24*Resumen!$H$11</f>
        <v>10.716776871607417</v>
      </c>
      <c r="G25" s="49"/>
      <c r="H25" s="9"/>
      <c r="I25" s="64"/>
    </row>
    <row r="26" spans="3:9" ht="13.5" thickBot="1" x14ac:dyDescent="0.25">
      <c r="C26" s="90" t="s">
        <v>118</v>
      </c>
      <c r="D26" s="74">
        <f t="shared" ref="D26:I26" si="3">SUM(D22:D25)</f>
        <v>7102</v>
      </c>
      <c r="E26" s="74">
        <f t="shared" si="3"/>
        <v>-3825.5143614034823</v>
      </c>
      <c r="F26" s="74">
        <f t="shared" si="3"/>
        <v>-3647.450991844466</v>
      </c>
      <c r="G26" s="74">
        <f t="shared" si="3"/>
        <v>0</v>
      </c>
      <c r="H26" s="74">
        <f t="shared" si="3"/>
        <v>0</v>
      </c>
      <c r="I26" s="91">
        <f t="shared" si="3"/>
        <v>0</v>
      </c>
    </row>
    <row r="27" spans="3:9" ht="13.5" thickBot="1" x14ac:dyDescent="0.25">
      <c r="C27" s="52" t="s">
        <v>119</v>
      </c>
      <c r="D27" s="53">
        <f t="shared" ref="D27:I27" si="4">D20+D26</f>
        <v>-10653</v>
      </c>
      <c r="E27" s="53">
        <f t="shared" si="4"/>
        <v>-5087.9443614034899</v>
      </c>
      <c r="F27" s="53">
        <f t="shared" si="4"/>
        <v>8433.5390081555288</v>
      </c>
      <c r="G27" s="53">
        <f t="shared" si="4"/>
        <v>11880.339999999993</v>
      </c>
      <c r="H27" s="53">
        <f t="shared" si="4"/>
        <v>12237.339999999993</v>
      </c>
      <c r="I27" s="54">
        <f t="shared" si="4"/>
        <v>22821.839999999993</v>
      </c>
    </row>
    <row r="28" spans="3:9" x14ac:dyDescent="0.2">
      <c r="C28" s="88" t="s">
        <v>129</v>
      </c>
      <c r="D28" s="89"/>
    </row>
    <row r="29" spans="3:9" x14ac:dyDescent="0.2">
      <c r="C29" s="88" t="s">
        <v>130</v>
      </c>
      <c r="D29" s="89"/>
    </row>
    <row r="30" spans="3:9" ht="13.5" thickBot="1" x14ac:dyDescent="0.25"/>
    <row r="31" spans="3:9" ht="13.5" thickBot="1" x14ac:dyDescent="0.25">
      <c r="C31" s="230" t="s">
        <v>285</v>
      </c>
      <c r="D31" s="231">
        <f t="shared" ref="D31:I31" si="5">D20+D25</f>
        <v>-17755</v>
      </c>
      <c r="E31" s="231">
        <f t="shared" si="5"/>
        <v>-1231.9284042885095</v>
      </c>
      <c r="F31" s="231">
        <f t="shared" si="5"/>
        <v>12091.706776871602</v>
      </c>
      <c r="G31" s="231">
        <f t="shared" si="5"/>
        <v>11880.339999999993</v>
      </c>
      <c r="H31" s="231">
        <f t="shared" si="5"/>
        <v>12237.339999999993</v>
      </c>
      <c r="I31" s="232">
        <f t="shared" si="5"/>
        <v>22821.839999999993</v>
      </c>
    </row>
  </sheetData>
  <mergeCells count="1">
    <mergeCell ref="C3:I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topLeftCell="A4" workbookViewId="0">
      <selection activeCell="I23" sqref="I23"/>
    </sheetView>
  </sheetViews>
  <sheetFormatPr defaultRowHeight="12.75" x14ac:dyDescent="0.2"/>
  <cols>
    <col min="1" max="1" width="3.5703125" customWidth="1"/>
    <col min="2" max="2" width="3.28515625" customWidth="1"/>
    <col min="3" max="3" width="20.85546875" customWidth="1"/>
    <col min="4" max="4" width="11.85546875" bestFit="1" customWidth="1"/>
    <col min="5" max="256" width="11.42578125" customWidth="1"/>
  </cols>
  <sheetData>
    <row r="1" spans="2:10" x14ac:dyDescent="0.2">
      <c r="B1" s="11"/>
      <c r="C1" s="11" t="s">
        <v>278</v>
      </c>
    </row>
    <row r="2" spans="2:10" ht="22.5" x14ac:dyDescent="0.2">
      <c r="C2" s="97" t="s">
        <v>275</v>
      </c>
      <c r="D2" s="302">
        <f>Ku!C12</f>
        <v>0.21909199999999998</v>
      </c>
      <c r="E2" s="96"/>
      <c r="J2" s="301" t="s">
        <v>276</v>
      </c>
    </row>
    <row r="3" spans="2:10" ht="25.5" x14ac:dyDescent="0.35">
      <c r="C3" s="97" t="s">
        <v>286</v>
      </c>
      <c r="D3" s="302">
        <f>D2*((1+D4)/(1+D5))</f>
        <v>0.22102516470588232</v>
      </c>
      <c r="E3" s="96"/>
      <c r="J3" s="300" t="s">
        <v>277</v>
      </c>
    </row>
    <row r="4" spans="2:10" x14ac:dyDescent="0.2">
      <c r="C4" s="97" t="s">
        <v>271</v>
      </c>
      <c r="D4" s="299">
        <f>Resumen!H8</f>
        <v>2.9000000000000001E-2</v>
      </c>
      <c r="E4" s="96"/>
      <c r="F4" t="s">
        <v>270</v>
      </c>
    </row>
    <row r="5" spans="2:10" x14ac:dyDescent="0.2">
      <c r="C5" s="97" t="s">
        <v>274</v>
      </c>
      <c r="D5" s="299">
        <f>Resumen!H7</f>
        <v>0.02</v>
      </c>
      <c r="E5" s="96"/>
    </row>
    <row r="6" spans="2:10" ht="25.5" x14ac:dyDescent="0.2">
      <c r="C6" s="97" t="s">
        <v>163</v>
      </c>
      <c r="D6" s="175">
        <f xml:space="preserve"> ((1+D3)/(1+D4)) - 1</f>
        <v>0.18661337677928325</v>
      </c>
      <c r="E6" s="96"/>
      <c r="F6" t="s">
        <v>302</v>
      </c>
      <c r="J6" s="301" t="s">
        <v>272</v>
      </c>
    </row>
    <row r="7" spans="2:10" ht="25.5" x14ac:dyDescent="0.2">
      <c r="C7" s="96"/>
      <c r="D7" s="98"/>
      <c r="E7" s="96"/>
      <c r="J7" s="301" t="s">
        <v>273</v>
      </c>
    </row>
    <row r="8" spans="2:10" x14ac:dyDescent="0.2">
      <c r="C8" s="97" t="s">
        <v>124</v>
      </c>
      <c r="D8" s="310">
        <f>NPV(D6,'Flujos de Caja'!E20:I20)+'Flujos de Caja'!D20</f>
        <v>12744.633287175486</v>
      </c>
      <c r="E8" s="97" t="s">
        <v>125</v>
      </c>
    </row>
    <row r="9" spans="2:10" x14ac:dyDescent="0.2">
      <c r="C9" s="96"/>
      <c r="D9" s="96"/>
      <c r="E9" s="96"/>
    </row>
    <row r="10" spans="2:10" x14ac:dyDescent="0.2">
      <c r="C10" s="97" t="s">
        <v>126</v>
      </c>
      <c r="D10" s="229">
        <f>IRR('Flujos de Caja'!D20:I20)</f>
        <v>0.38289336479912017</v>
      </c>
      <c r="E10" s="96"/>
    </row>
    <row r="12" spans="2:10" x14ac:dyDescent="0.2">
      <c r="B12" s="11"/>
      <c r="C12" s="11" t="s">
        <v>279</v>
      </c>
    </row>
    <row r="14" spans="2:10" x14ac:dyDescent="0.2">
      <c r="C14" s="97" t="s">
        <v>164</v>
      </c>
      <c r="D14" s="98">
        <f>Flujo_Deuda!E4</f>
        <v>0.15</v>
      </c>
      <c r="E14" s="96"/>
    </row>
    <row r="15" spans="2:10" x14ac:dyDescent="0.2">
      <c r="C15" s="97" t="s">
        <v>165</v>
      </c>
      <c r="D15" s="107">
        <f xml:space="preserve"> ((1+D14)/(1+D4)) -1</f>
        <v>0.11758989310009715</v>
      </c>
      <c r="E15" s="96"/>
    </row>
    <row r="16" spans="2:10" x14ac:dyDescent="0.2">
      <c r="C16" s="96"/>
      <c r="D16" s="96"/>
      <c r="E16" s="96"/>
    </row>
    <row r="17" spans="3:6" x14ac:dyDescent="0.2">
      <c r="C17" s="97" t="s">
        <v>280</v>
      </c>
      <c r="D17" s="106">
        <f>NPV(D15,'Flujos de Caja'!E25:F25)</f>
        <v>35.872533856114103</v>
      </c>
      <c r="E17" s="96"/>
    </row>
    <row r="18" spans="3:6" x14ac:dyDescent="0.2">
      <c r="C18" s="96"/>
      <c r="D18" s="96"/>
      <c r="E18" s="96"/>
    </row>
    <row r="19" spans="3:6" x14ac:dyDescent="0.2">
      <c r="C19" s="97" t="s">
        <v>287</v>
      </c>
      <c r="D19" s="204">
        <f>D8+D17</f>
        <v>12780.5058210316</v>
      </c>
      <c r="E19" s="96" t="s">
        <v>125</v>
      </c>
      <c r="F19" t="s">
        <v>303</v>
      </c>
    </row>
    <row r="20" spans="3:6" x14ac:dyDescent="0.2">
      <c r="C20" s="96"/>
      <c r="D20" s="96"/>
      <c r="E20" s="96"/>
    </row>
    <row r="21" spans="3:6" x14ac:dyDescent="0.2">
      <c r="C21" s="97" t="s">
        <v>205</v>
      </c>
      <c r="D21" s="229">
        <f>IRR('Flujos de Caja'!D31:I31)</f>
        <v>0.38351928759453147</v>
      </c>
      <c r="E21" s="96"/>
      <c r="F21" t="s">
        <v>304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workbookViewId="0">
      <selection activeCell="C7" sqref="C7"/>
    </sheetView>
  </sheetViews>
  <sheetFormatPr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  <col min="17" max="256" width="11.42578125" customWidth="1"/>
  </cols>
  <sheetData>
    <row r="4" spans="2:15" x14ac:dyDescent="0.2">
      <c r="B4" s="11" t="s">
        <v>13</v>
      </c>
    </row>
    <row r="5" spans="2:15" ht="13.5" thickBot="1" x14ac:dyDescent="0.25"/>
    <row r="6" spans="2:15" s="1" customFormat="1" ht="24.95" customHeight="1" thickBot="1" x14ac:dyDescent="0.25">
      <c r="B6" s="144" t="s">
        <v>68</v>
      </c>
      <c r="C6" s="145" t="s">
        <v>0</v>
      </c>
      <c r="D6" s="145" t="s">
        <v>1</v>
      </c>
      <c r="E6" s="145" t="s">
        <v>2</v>
      </c>
      <c r="F6" s="145" t="s">
        <v>3</v>
      </c>
      <c r="G6" s="145" t="s">
        <v>4</v>
      </c>
      <c r="H6" s="145" t="s">
        <v>5</v>
      </c>
      <c r="I6" s="145" t="s">
        <v>6</v>
      </c>
      <c r="J6" s="145" t="s">
        <v>7</v>
      </c>
      <c r="K6" s="145" t="s">
        <v>8</v>
      </c>
      <c r="L6" s="145" t="s">
        <v>9</v>
      </c>
      <c r="M6" s="145" t="s">
        <v>10</v>
      </c>
      <c r="N6" s="145" t="s">
        <v>11</v>
      </c>
      <c r="O6" s="146" t="s">
        <v>12</v>
      </c>
    </row>
    <row r="7" spans="2:15" s="1" customFormat="1" ht="15" customHeight="1" x14ac:dyDescent="0.2">
      <c r="B7" s="193">
        <v>1</v>
      </c>
      <c r="C7" s="4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  <c r="I7" s="4">
        <v>700</v>
      </c>
      <c r="J7" s="4">
        <v>800</v>
      </c>
      <c r="K7" s="4">
        <v>800</v>
      </c>
      <c r="L7" s="4">
        <v>900</v>
      </c>
      <c r="M7" s="4">
        <v>1000</v>
      </c>
      <c r="N7" s="4">
        <v>1000</v>
      </c>
      <c r="O7" s="5">
        <f>SUM(C7:N7)</f>
        <v>7300</v>
      </c>
    </row>
    <row r="8" spans="2:15" s="1" customFormat="1" ht="18.75" customHeight="1" x14ac:dyDescent="0.2">
      <c r="B8" s="95">
        <v>2</v>
      </c>
      <c r="C8" s="28">
        <v>1000</v>
      </c>
      <c r="D8" s="28">
        <v>1000</v>
      </c>
      <c r="E8" s="28">
        <v>1000</v>
      </c>
      <c r="F8" s="28">
        <v>1000</v>
      </c>
      <c r="G8" s="28">
        <v>1000</v>
      </c>
      <c r="H8" s="28">
        <v>1000</v>
      </c>
      <c r="I8" s="28">
        <v>1000</v>
      </c>
      <c r="J8" s="28">
        <v>1000</v>
      </c>
      <c r="K8" s="28">
        <v>1000</v>
      </c>
      <c r="L8" s="28">
        <v>1000</v>
      </c>
      <c r="M8" s="28">
        <v>1000</v>
      </c>
      <c r="N8" s="28">
        <v>1000</v>
      </c>
      <c r="O8" s="182">
        <f>SUM(C8:N8)</f>
        <v>12000</v>
      </c>
    </row>
    <row r="9" spans="2:15" x14ac:dyDescent="0.2">
      <c r="B9" s="95">
        <v>3</v>
      </c>
      <c r="C9" s="28">
        <v>1000</v>
      </c>
      <c r="D9" s="28">
        <v>1000</v>
      </c>
      <c r="E9" s="28">
        <v>1000</v>
      </c>
      <c r="F9" s="28">
        <v>1000</v>
      </c>
      <c r="G9" s="28">
        <v>1000</v>
      </c>
      <c r="H9" s="28">
        <v>1000</v>
      </c>
      <c r="I9" s="28">
        <v>1000</v>
      </c>
      <c r="J9" s="28">
        <v>1000</v>
      </c>
      <c r="K9" s="28">
        <v>1000</v>
      </c>
      <c r="L9" s="28">
        <v>1000</v>
      </c>
      <c r="M9" s="28">
        <v>1000</v>
      </c>
      <c r="N9" s="28">
        <v>1000</v>
      </c>
      <c r="O9" s="182">
        <f>SUM(C9:N9)</f>
        <v>12000</v>
      </c>
    </row>
    <row r="10" spans="2:15" x14ac:dyDescent="0.2">
      <c r="B10" s="95">
        <v>4</v>
      </c>
      <c r="C10" s="28">
        <v>1000</v>
      </c>
      <c r="D10" s="28">
        <v>1000</v>
      </c>
      <c r="E10" s="28">
        <v>1000</v>
      </c>
      <c r="F10" s="28">
        <v>1000</v>
      </c>
      <c r="G10" s="28">
        <v>1000</v>
      </c>
      <c r="H10" s="28">
        <v>1000</v>
      </c>
      <c r="I10" s="28">
        <v>1000</v>
      </c>
      <c r="J10" s="28">
        <v>1000</v>
      </c>
      <c r="K10" s="28">
        <v>1000</v>
      </c>
      <c r="L10" s="28">
        <v>1000</v>
      </c>
      <c r="M10" s="28">
        <v>1000</v>
      </c>
      <c r="N10" s="28">
        <v>1000</v>
      </c>
      <c r="O10" s="182">
        <f>SUM(C10:N10)</f>
        <v>12000</v>
      </c>
    </row>
    <row r="11" spans="2:15" ht="13.5" thickBot="1" x14ac:dyDescent="0.25">
      <c r="B11" s="194">
        <v>5</v>
      </c>
      <c r="C11" s="183">
        <v>1000</v>
      </c>
      <c r="D11" s="183">
        <v>1000</v>
      </c>
      <c r="E11" s="183">
        <v>1000</v>
      </c>
      <c r="F11" s="183">
        <v>1000</v>
      </c>
      <c r="G11" s="183">
        <v>1000</v>
      </c>
      <c r="H11" s="183">
        <v>1000</v>
      </c>
      <c r="I11" s="183">
        <v>1000</v>
      </c>
      <c r="J11" s="183">
        <v>1000</v>
      </c>
      <c r="K11" s="183">
        <v>1000</v>
      </c>
      <c r="L11" s="183">
        <v>1000</v>
      </c>
      <c r="M11" s="183">
        <v>1000</v>
      </c>
      <c r="N11" s="183">
        <v>1000</v>
      </c>
      <c r="O11" s="184">
        <f>SUM(C11:N11)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2"/>
  <sheetViews>
    <sheetView topLeftCell="B1" workbookViewId="0">
      <selection activeCell="C8" sqref="C8"/>
    </sheetView>
  </sheetViews>
  <sheetFormatPr defaultRowHeight="12.75" x14ac:dyDescent="0.2"/>
  <cols>
    <col min="1" max="1" width="6.28515625" customWidth="1"/>
    <col min="2" max="2" width="5.7109375" customWidth="1"/>
    <col min="3" max="3" width="8.710937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  <col min="17" max="256" width="11.42578125" customWidth="1"/>
  </cols>
  <sheetData>
    <row r="5" spans="1:16" x14ac:dyDescent="0.2">
      <c r="B5" s="326" t="s">
        <v>194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</row>
    <row r="6" spans="1:16" ht="13.5" thickBot="1" x14ac:dyDescent="0.25"/>
    <row r="7" spans="1:16" ht="24.95" customHeight="1" thickBot="1" x14ac:dyDescent="0.25">
      <c r="A7" s="29"/>
      <c r="B7" s="294" t="s">
        <v>68</v>
      </c>
      <c r="C7" s="295" t="s">
        <v>214</v>
      </c>
      <c r="D7" s="295" t="s">
        <v>0</v>
      </c>
      <c r="E7" s="295" t="s">
        <v>1</v>
      </c>
      <c r="F7" s="295" t="s">
        <v>2</v>
      </c>
      <c r="G7" s="295" t="s">
        <v>3</v>
      </c>
      <c r="H7" s="295" t="s">
        <v>4</v>
      </c>
      <c r="I7" s="295" t="s">
        <v>5</v>
      </c>
      <c r="J7" s="295" t="s">
        <v>6</v>
      </c>
      <c r="K7" s="295" t="s">
        <v>7</v>
      </c>
      <c r="L7" s="295" t="s">
        <v>8</v>
      </c>
      <c r="M7" s="295" t="s">
        <v>9</v>
      </c>
      <c r="N7" s="295" t="s">
        <v>10</v>
      </c>
      <c r="O7" s="295" t="s">
        <v>11</v>
      </c>
      <c r="P7" s="296" t="s">
        <v>12</v>
      </c>
    </row>
    <row r="8" spans="1:16" ht="15" customHeight="1" thickBot="1" x14ac:dyDescent="0.25">
      <c r="A8" s="3"/>
      <c r="B8" s="177">
        <v>1</v>
      </c>
      <c r="C8" s="178">
        <f>Resumen!$H$13</f>
        <v>12</v>
      </c>
      <c r="D8" s="178">
        <f>Ventas_Unidades!C7*$C$8</f>
        <v>1200</v>
      </c>
      <c r="E8" s="178">
        <f>Ventas_Unidades!D7*$C$8</f>
        <v>2400</v>
      </c>
      <c r="F8" s="178">
        <f>Ventas_Unidades!E7*$C$8</f>
        <v>3600</v>
      </c>
      <c r="G8" s="178">
        <f>Ventas_Unidades!F7*$C$8</f>
        <v>4800</v>
      </c>
      <c r="H8" s="178">
        <f>Ventas_Unidades!G7*$C$8</f>
        <v>6000</v>
      </c>
      <c r="I8" s="178">
        <f>Ventas_Unidades!H7*$C$8</f>
        <v>7200</v>
      </c>
      <c r="J8" s="178">
        <f>Ventas_Unidades!I7*$C$8</f>
        <v>8400</v>
      </c>
      <c r="K8" s="178">
        <f>Ventas_Unidades!J7*$C$8</f>
        <v>9600</v>
      </c>
      <c r="L8" s="178">
        <f>Ventas_Unidades!K7*$C$8</f>
        <v>9600</v>
      </c>
      <c r="M8" s="178">
        <f>Ventas_Unidades!L7*$C$8</f>
        <v>10800</v>
      </c>
      <c r="N8" s="178">
        <f>Ventas_Unidades!M7*$C$8</f>
        <v>12000</v>
      </c>
      <c r="O8" s="178">
        <f>Ventas_Unidades!N7*$C$8</f>
        <v>12000</v>
      </c>
      <c r="P8" s="179">
        <f>SUM(D8:O8)</f>
        <v>87600</v>
      </c>
    </row>
    <row r="9" spans="1:16" ht="15" customHeight="1" thickBot="1" x14ac:dyDescent="0.25">
      <c r="A9" s="3"/>
      <c r="B9" s="95">
        <v>2</v>
      </c>
      <c r="C9" s="178">
        <f>Resumen!$H$13</f>
        <v>12</v>
      </c>
      <c r="D9" s="46">
        <f>Ventas_Unidades!C8*$C$9</f>
        <v>12000</v>
      </c>
      <c r="E9" s="46">
        <f>Ventas_Unidades!D8*$C$9</f>
        <v>12000</v>
      </c>
      <c r="F9" s="46">
        <f>Ventas_Unidades!E8*$C$9</f>
        <v>12000</v>
      </c>
      <c r="G9" s="46">
        <f>Ventas_Unidades!F8*$C$9</f>
        <v>12000</v>
      </c>
      <c r="H9" s="46">
        <f>Ventas_Unidades!G8*$C$9</f>
        <v>12000</v>
      </c>
      <c r="I9" s="46">
        <f>Ventas_Unidades!H8*$C$9</f>
        <v>12000</v>
      </c>
      <c r="J9" s="46">
        <f>Ventas_Unidades!I8*$C$9</f>
        <v>12000</v>
      </c>
      <c r="K9" s="46">
        <f>Ventas_Unidades!J8*$C$9</f>
        <v>12000</v>
      </c>
      <c r="L9" s="46">
        <f>Ventas_Unidades!K8*$C$9</f>
        <v>12000</v>
      </c>
      <c r="M9" s="46">
        <f>Ventas_Unidades!L8*$C$9</f>
        <v>12000</v>
      </c>
      <c r="N9" s="46">
        <f>Ventas_Unidades!M8*$C$9</f>
        <v>12000</v>
      </c>
      <c r="O9" s="46">
        <f>Ventas_Unidades!N8*$C$9</f>
        <v>12000</v>
      </c>
      <c r="P9" s="94">
        <f>SUM(D9:O9)</f>
        <v>144000</v>
      </c>
    </row>
    <row r="10" spans="1:16" ht="15.75" customHeight="1" thickBot="1" x14ac:dyDescent="0.25">
      <c r="B10" s="95">
        <v>3</v>
      </c>
      <c r="C10" s="178">
        <f>Resumen!$H$13</f>
        <v>12</v>
      </c>
      <c r="D10" s="46">
        <f>Ventas_Unidades!C9*$C$10</f>
        <v>12000</v>
      </c>
      <c r="E10" s="46">
        <f>Ventas_Unidades!D9*$C$10</f>
        <v>12000</v>
      </c>
      <c r="F10" s="46">
        <f>Ventas_Unidades!E9*$C$10</f>
        <v>12000</v>
      </c>
      <c r="G10" s="46">
        <f>Ventas_Unidades!F9*$C$10</f>
        <v>12000</v>
      </c>
      <c r="H10" s="46">
        <f>Ventas_Unidades!G9*$C$10</f>
        <v>12000</v>
      </c>
      <c r="I10" s="46">
        <f>Ventas_Unidades!H9*$C$10</f>
        <v>12000</v>
      </c>
      <c r="J10" s="46">
        <f>Ventas_Unidades!I9*$C$10</f>
        <v>12000</v>
      </c>
      <c r="K10" s="46">
        <f>Ventas_Unidades!J9*$C$10</f>
        <v>12000</v>
      </c>
      <c r="L10" s="46">
        <f>Ventas_Unidades!K9*$C$10</f>
        <v>12000</v>
      </c>
      <c r="M10" s="46">
        <f>Ventas_Unidades!L9*$C$10</f>
        <v>12000</v>
      </c>
      <c r="N10" s="46">
        <f>Ventas_Unidades!M9*$C$10</f>
        <v>12000</v>
      </c>
      <c r="O10" s="46">
        <f>Ventas_Unidades!N9*$C$10</f>
        <v>12000</v>
      </c>
      <c r="P10" s="94">
        <f>SUM(D10:O10)</f>
        <v>144000</v>
      </c>
    </row>
    <row r="11" spans="1:16" ht="13.5" thickBot="1" x14ac:dyDescent="0.25">
      <c r="B11" s="180">
        <v>4</v>
      </c>
      <c r="C11" s="178">
        <f>Resumen!$H$13</f>
        <v>12</v>
      </c>
      <c r="D11" s="46">
        <f>Ventas_Unidades!C10*$C$11</f>
        <v>12000</v>
      </c>
      <c r="E11" s="46">
        <f>Ventas_Unidades!D10*$C$11</f>
        <v>12000</v>
      </c>
      <c r="F11" s="46">
        <f>Ventas_Unidades!E10*$C$11</f>
        <v>12000</v>
      </c>
      <c r="G11" s="46">
        <f>Ventas_Unidades!F10*$C$11</f>
        <v>12000</v>
      </c>
      <c r="H11" s="46">
        <f>Ventas_Unidades!G10*$C$11</f>
        <v>12000</v>
      </c>
      <c r="I11" s="46">
        <f>Ventas_Unidades!H10*$C$11</f>
        <v>12000</v>
      </c>
      <c r="J11" s="46">
        <f>Ventas_Unidades!I10*$C$11</f>
        <v>12000</v>
      </c>
      <c r="K11" s="46">
        <f>Ventas_Unidades!J10*$C$11</f>
        <v>12000</v>
      </c>
      <c r="L11" s="46">
        <f>Ventas_Unidades!K10*$C$11</f>
        <v>12000</v>
      </c>
      <c r="M11" s="46">
        <f>Ventas_Unidades!L10*$C$11</f>
        <v>12000</v>
      </c>
      <c r="N11" s="46">
        <f>Ventas_Unidades!M10*$C$11</f>
        <v>12000</v>
      </c>
      <c r="O11" s="46">
        <f>Ventas_Unidades!N10*$C$11</f>
        <v>12000</v>
      </c>
      <c r="P11" s="94">
        <f>SUM(D11:O11)</f>
        <v>144000</v>
      </c>
    </row>
    <row r="12" spans="1:16" ht="13.5" thickBot="1" x14ac:dyDescent="0.25">
      <c r="B12" s="181">
        <v>5</v>
      </c>
      <c r="C12" s="178">
        <f>Resumen!$H$13</f>
        <v>12</v>
      </c>
      <c r="D12" s="297">
        <f>Ventas_Unidades!C11*$C$12</f>
        <v>12000</v>
      </c>
      <c r="E12" s="297">
        <f>Ventas_Unidades!D11*$C$12</f>
        <v>12000</v>
      </c>
      <c r="F12" s="297">
        <f>Ventas_Unidades!E11*$C$12</f>
        <v>12000</v>
      </c>
      <c r="G12" s="297">
        <f>Ventas_Unidades!F11*$C$12</f>
        <v>12000</v>
      </c>
      <c r="H12" s="297">
        <f>Ventas_Unidades!G11*$C$12</f>
        <v>12000</v>
      </c>
      <c r="I12" s="297">
        <f>Ventas_Unidades!H11*$C$12</f>
        <v>12000</v>
      </c>
      <c r="J12" s="297">
        <f>Ventas_Unidades!I11*$C$12</f>
        <v>12000</v>
      </c>
      <c r="K12" s="297">
        <f>Ventas_Unidades!J11*$C$12</f>
        <v>12000</v>
      </c>
      <c r="L12" s="297">
        <f>Ventas_Unidades!K11*$C$12</f>
        <v>12000</v>
      </c>
      <c r="M12" s="297">
        <f>Ventas_Unidades!L11*$C$12</f>
        <v>12000</v>
      </c>
      <c r="N12" s="297">
        <f>Ventas_Unidades!M11*$C$12</f>
        <v>12000</v>
      </c>
      <c r="O12" s="297">
        <f>Ventas_Unidades!N11*$C$12</f>
        <v>12000</v>
      </c>
      <c r="P12" s="298">
        <f>SUM(D12:O12)</f>
        <v>144000</v>
      </c>
    </row>
  </sheetData>
  <mergeCells count="1">
    <mergeCell ref="B5:P5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B1" zoomScale="130" zoomScaleNormal="130" workbookViewId="0">
      <selection activeCell="I14" sqref="I14"/>
    </sheetView>
  </sheetViews>
  <sheetFormatPr defaultRowHeight="12.75" x14ac:dyDescent="0.2"/>
  <cols>
    <col min="1" max="1" width="4.5703125" customWidth="1"/>
    <col min="2" max="2" width="5.85546875" customWidth="1"/>
    <col min="3" max="3" width="27.7109375" customWidth="1"/>
    <col min="4" max="4" width="9.7109375" customWidth="1"/>
    <col min="5" max="6" width="10.28515625" customWidth="1"/>
    <col min="7" max="256" width="11.42578125" customWidth="1"/>
  </cols>
  <sheetData>
    <row r="1" spans="2:7" x14ac:dyDescent="0.2">
      <c r="B1" s="6"/>
      <c r="C1" s="327" t="s">
        <v>195</v>
      </c>
      <c r="D1" s="327"/>
      <c r="E1" s="327"/>
      <c r="F1" s="327"/>
      <c r="G1" s="327"/>
    </row>
    <row r="2" spans="2:7" ht="13.5" thickBot="1" x14ac:dyDescent="0.25">
      <c r="B2" s="6"/>
      <c r="C2" s="6"/>
      <c r="D2" s="16"/>
      <c r="E2" s="6"/>
      <c r="F2" s="6"/>
      <c r="G2" s="6"/>
    </row>
    <row r="3" spans="2:7" s="2" customFormat="1" ht="25.5" customHeight="1" thickBot="1" x14ac:dyDescent="0.25">
      <c r="B3" s="7"/>
      <c r="C3" s="131" t="s">
        <v>14</v>
      </c>
      <c r="D3" s="132" t="s">
        <v>15</v>
      </c>
      <c r="E3" s="132" t="s">
        <v>16</v>
      </c>
      <c r="F3" s="132" t="s">
        <v>137</v>
      </c>
      <c r="G3" s="133" t="s">
        <v>17</v>
      </c>
    </row>
    <row r="4" spans="2:7" s="2" customFormat="1" ht="12.75" hidden="1" customHeight="1" thickBot="1" x14ac:dyDescent="0.25">
      <c r="B4" s="7"/>
      <c r="C4" s="41" t="s">
        <v>75</v>
      </c>
      <c r="D4" s="43"/>
      <c r="E4" s="44"/>
      <c r="F4" s="44"/>
      <c r="G4" s="45">
        <f>G29+G34</f>
        <v>10492</v>
      </c>
    </row>
    <row r="5" spans="2:7" ht="12.75" hidden="1" customHeight="1" thickBot="1" x14ac:dyDescent="0.25">
      <c r="C5" s="108" t="s">
        <v>76</v>
      </c>
      <c r="D5" s="109"/>
      <c r="E5" s="110"/>
      <c r="F5" s="110"/>
      <c r="G5" s="111"/>
    </row>
    <row r="6" spans="2:7" ht="13.5" customHeight="1" thickBot="1" x14ac:dyDescent="0.25">
      <c r="C6" s="116" t="s">
        <v>31</v>
      </c>
      <c r="D6" s="117"/>
      <c r="E6" s="118"/>
      <c r="F6" s="127"/>
      <c r="G6" s="129">
        <f>SUM(G7:G9)</f>
        <v>7000</v>
      </c>
    </row>
    <row r="7" spans="2:7" ht="11.25" customHeight="1" x14ac:dyDescent="0.2">
      <c r="C7" s="119" t="s">
        <v>32</v>
      </c>
      <c r="D7" s="93">
        <v>5000</v>
      </c>
      <c r="E7" s="92">
        <v>1</v>
      </c>
      <c r="F7" s="92" t="s">
        <v>138</v>
      </c>
      <c r="G7" s="128">
        <f>D7*E7</f>
        <v>5000</v>
      </c>
    </row>
    <row r="8" spans="2:7" ht="11.25" customHeight="1" x14ac:dyDescent="0.2">
      <c r="C8" s="119" t="s">
        <v>33</v>
      </c>
      <c r="D8" s="93">
        <v>1000</v>
      </c>
      <c r="E8" s="92">
        <v>1</v>
      </c>
      <c r="F8" s="92" t="s">
        <v>24</v>
      </c>
      <c r="G8" s="120">
        <f>D8*E8</f>
        <v>1000</v>
      </c>
    </row>
    <row r="9" spans="2:7" ht="10.5" customHeight="1" x14ac:dyDescent="0.2">
      <c r="C9" s="119" t="s">
        <v>34</v>
      </c>
      <c r="D9" s="93">
        <v>1000</v>
      </c>
      <c r="E9" s="92">
        <v>1</v>
      </c>
      <c r="F9" s="92" t="s">
        <v>24</v>
      </c>
      <c r="G9" s="120">
        <f>D9*E9</f>
        <v>1000</v>
      </c>
    </row>
    <row r="10" spans="2:7" ht="12.75" customHeight="1" x14ac:dyDescent="0.2">
      <c r="C10" s="121" t="s">
        <v>18</v>
      </c>
      <c r="D10" s="93"/>
      <c r="E10" s="92"/>
      <c r="F10" s="92"/>
      <c r="G10" s="130">
        <f>SUM(G11:G13)</f>
        <v>590</v>
      </c>
    </row>
    <row r="11" spans="2:7" ht="12" customHeight="1" x14ac:dyDescent="0.2">
      <c r="C11" s="119" t="s">
        <v>25</v>
      </c>
      <c r="D11" s="93">
        <v>50</v>
      </c>
      <c r="E11" s="92">
        <v>1</v>
      </c>
      <c r="F11" s="92" t="s">
        <v>24</v>
      </c>
      <c r="G11" s="120">
        <f>D11*E11</f>
        <v>50</v>
      </c>
    </row>
    <row r="12" spans="2:7" ht="13.5" customHeight="1" x14ac:dyDescent="0.2">
      <c r="C12" s="119" t="s">
        <v>35</v>
      </c>
      <c r="D12" s="93">
        <v>40</v>
      </c>
      <c r="E12" s="92">
        <v>1</v>
      </c>
      <c r="F12" s="92" t="s">
        <v>24</v>
      </c>
      <c r="G12" s="120">
        <f>D12*E12</f>
        <v>40</v>
      </c>
    </row>
    <row r="13" spans="2:7" ht="11.25" customHeight="1" x14ac:dyDescent="0.2">
      <c r="C13" s="119" t="s">
        <v>36</v>
      </c>
      <c r="D13" s="93">
        <v>500</v>
      </c>
      <c r="E13" s="92">
        <v>1</v>
      </c>
      <c r="F13" s="92" t="s">
        <v>24</v>
      </c>
      <c r="G13" s="120">
        <f>D13*E13</f>
        <v>500</v>
      </c>
    </row>
    <row r="14" spans="2:7" ht="12" customHeight="1" x14ac:dyDescent="0.2">
      <c r="C14" s="121" t="s">
        <v>293</v>
      </c>
      <c r="D14" s="93"/>
      <c r="E14" s="92"/>
      <c r="F14" s="92"/>
      <c r="G14" s="130">
        <f>SUM(G15:G23)</f>
        <v>357</v>
      </c>
    </row>
    <row r="15" spans="2:7" ht="12" customHeight="1" x14ac:dyDescent="0.2">
      <c r="C15" s="119" t="s">
        <v>37</v>
      </c>
      <c r="D15" s="93">
        <v>15</v>
      </c>
      <c r="E15" s="92">
        <v>2</v>
      </c>
      <c r="F15" s="92" t="s">
        <v>24</v>
      </c>
      <c r="G15" s="120">
        <f t="shared" ref="G15:G23" si="0">D15*E15</f>
        <v>30</v>
      </c>
    </row>
    <row r="16" spans="2:7" ht="13.5" customHeight="1" x14ac:dyDescent="0.2">
      <c r="C16" s="119" t="s">
        <v>38</v>
      </c>
      <c r="D16" s="93">
        <v>10</v>
      </c>
      <c r="E16" s="92">
        <v>2</v>
      </c>
      <c r="F16" s="92" t="s">
        <v>24</v>
      </c>
      <c r="G16" s="120">
        <f t="shared" si="0"/>
        <v>20</v>
      </c>
    </row>
    <row r="17" spans="3:7" ht="11.25" customHeight="1" x14ac:dyDescent="0.2">
      <c r="C17" s="119" t="s">
        <v>39</v>
      </c>
      <c r="D17" s="93">
        <v>5</v>
      </c>
      <c r="E17" s="92">
        <v>3</v>
      </c>
      <c r="F17" s="92" t="s">
        <v>24</v>
      </c>
      <c r="G17" s="120">
        <f t="shared" si="0"/>
        <v>15</v>
      </c>
    </row>
    <row r="18" spans="3:7" ht="10.5" customHeight="1" x14ac:dyDescent="0.2">
      <c r="C18" s="119" t="s">
        <v>40</v>
      </c>
      <c r="D18" s="93">
        <v>10</v>
      </c>
      <c r="E18" s="92">
        <v>2</v>
      </c>
      <c r="F18" s="92" t="s">
        <v>24</v>
      </c>
      <c r="G18" s="120">
        <f t="shared" si="0"/>
        <v>20</v>
      </c>
    </row>
    <row r="19" spans="3:7" ht="13.5" customHeight="1" x14ac:dyDescent="0.2">
      <c r="C19" s="119" t="s">
        <v>41</v>
      </c>
      <c r="D19" s="93">
        <v>50</v>
      </c>
      <c r="E19" s="92">
        <v>4</v>
      </c>
      <c r="F19" s="92" t="s">
        <v>24</v>
      </c>
      <c r="G19" s="120">
        <f t="shared" si="0"/>
        <v>200</v>
      </c>
    </row>
    <row r="20" spans="3:7" ht="11.25" customHeight="1" x14ac:dyDescent="0.2">
      <c r="C20" s="119" t="s">
        <v>42</v>
      </c>
      <c r="D20" s="93">
        <v>15</v>
      </c>
      <c r="E20" s="92">
        <v>1</v>
      </c>
      <c r="F20" s="92" t="s">
        <v>24</v>
      </c>
      <c r="G20" s="120">
        <f t="shared" si="0"/>
        <v>15</v>
      </c>
    </row>
    <row r="21" spans="3:7" ht="12.75" customHeight="1" x14ac:dyDescent="0.2">
      <c r="C21" s="119" t="s">
        <v>43</v>
      </c>
      <c r="D21" s="93">
        <v>2</v>
      </c>
      <c r="E21" s="92">
        <v>3</v>
      </c>
      <c r="F21" s="92" t="s">
        <v>24</v>
      </c>
      <c r="G21" s="120">
        <f t="shared" si="0"/>
        <v>6</v>
      </c>
    </row>
    <row r="22" spans="3:7" ht="11.25" customHeight="1" x14ac:dyDescent="0.2">
      <c r="C22" s="119" t="s">
        <v>44</v>
      </c>
      <c r="D22" s="93">
        <v>12</v>
      </c>
      <c r="E22" s="92">
        <v>3</v>
      </c>
      <c r="F22" s="92" t="s">
        <v>24</v>
      </c>
      <c r="G22" s="120">
        <f t="shared" si="0"/>
        <v>36</v>
      </c>
    </row>
    <row r="23" spans="3:7" ht="10.5" customHeight="1" x14ac:dyDescent="0.2">
      <c r="C23" s="119" t="s">
        <v>45</v>
      </c>
      <c r="D23" s="93">
        <v>5</v>
      </c>
      <c r="E23" s="92">
        <v>3</v>
      </c>
      <c r="F23" s="92" t="s">
        <v>24</v>
      </c>
      <c r="G23" s="120">
        <f t="shared" si="0"/>
        <v>15</v>
      </c>
    </row>
    <row r="24" spans="3:7" x14ac:dyDescent="0.2">
      <c r="C24" s="121" t="s">
        <v>19</v>
      </c>
      <c r="D24" s="93"/>
      <c r="E24" s="92"/>
      <c r="F24" s="92"/>
      <c r="G24" s="130">
        <f>SUM(G25:G28)</f>
        <v>1090</v>
      </c>
    </row>
    <row r="25" spans="3:7" ht="11.25" customHeight="1" x14ac:dyDescent="0.2">
      <c r="C25" s="35" t="s">
        <v>20</v>
      </c>
      <c r="D25" s="21">
        <v>70</v>
      </c>
      <c r="E25" s="10">
        <v>1</v>
      </c>
      <c r="F25" s="26" t="s">
        <v>24</v>
      </c>
      <c r="G25" s="36">
        <f>D25*E25</f>
        <v>70</v>
      </c>
    </row>
    <row r="26" spans="3:7" ht="13.5" customHeight="1" x14ac:dyDescent="0.2">
      <c r="C26" s="35" t="s">
        <v>46</v>
      </c>
      <c r="D26" s="21">
        <v>20</v>
      </c>
      <c r="E26" s="10">
        <v>6</v>
      </c>
      <c r="F26" s="26" t="s">
        <v>24</v>
      </c>
      <c r="G26" s="36">
        <f>D26*E26</f>
        <v>120</v>
      </c>
    </row>
    <row r="27" spans="3:7" ht="12" customHeight="1" x14ac:dyDescent="0.2">
      <c r="C27" s="37" t="s">
        <v>21</v>
      </c>
      <c r="D27" s="21">
        <v>250</v>
      </c>
      <c r="E27" s="10">
        <v>2</v>
      </c>
      <c r="F27" s="26" t="s">
        <v>24</v>
      </c>
      <c r="G27" s="36">
        <f>D27*E27</f>
        <v>500</v>
      </c>
    </row>
    <row r="28" spans="3:7" ht="15.75" customHeight="1" thickBot="1" x14ac:dyDescent="0.25">
      <c r="C28" s="122" t="s">
        <v>26</v>
      </c>
      <c r="D28" s="123">
        <v>200</v>
      </c>
      <c r="E28" s="124">
        <v>2</v>
      </c>
      <c r="F28" s="125" t="s">
        <v>24</v>
      </c>
      <c r="G28" s="126">
        <f>D28*E28</f>
        <v>400</v>
      </c>
    </row>
    <row r="29" spans="3:7" ht="18" customHeight="1" x14ac:dyDescent="0.2">
      <c r="C29" s="112" t="s">
        <v>81</v>
      </c>
      <c r="D29" s="113"/>
      <c r="E29" s="114"/>
      <c r="F29" s="114"/>
      <c r="G29" s="115">
        <f>+G24+G14+G10+G6</f>
        <v>9037</v>
      </c>
    </row>
    <row r="30" spans="3:7" ht="16.5" customHeight="1" x14ac:dyDescent="0.2">
      <c r="C30" s="32" t="s">
        <v>170</v>
      </c>
      <c r="D30" s="19"/>
      <c r="E30" s="14"/>
      <c r="F30" s="14"/>
      <c r="G30" s="38"/>
    </row>
    <row r="31" spans="3:7" x14ac:dyDescent="0.2">
      <c r="C31" s="39" t="s">
        <v>83</v>
      </c>
      <c r="D31" s="20">
        <v>420</v>
      </c>
      <c r="E31" s="13">
        <v>1</v>
      </c>
      <c r="F31" s="25" t="s">
        <v>139</v>
      </c>
      <c r="G31" s="40">
        <f>D31*E31</f>
        <v>420</v>
      </c>
    </row>
    <row r="32" spans="3:7" x14ac:dyDescent="0.2">
      <c r="C32" s="35" t="s">
        <v>27</v>
      </c>
      <c r="D32" s="18">
        <v>15</v>
      </c>
      <c r="E32" s="10">
        <v>1</v>
      </c>
      <c r="F32" s="26" t="s">
        <v>139</v>
      </c>
      <c r="G32" s="40">
        <f>D32*E32</f>
        <v>15</v>
      </c>
    </row>
    <row r="33" spans="3:7" ht="15" customHeight="1" thickBot="1" x14ac:dyDescent="0.25">
      <c r="C33" s="122" t="s">
        <v>82</v>
      </c>
      <c r="D33" s="142">
        <v>1020</v>
      </c>
      <c r="E33" s="124">
        <v>1</v>
      </c>
      <c r="F33" s="125" t="s">
        <v>139</v>
      </c>
      <c r="G33" s="143">
        <f>D33*E33</f>
        <v>1020</v>
      </c>
    </row>
    <row r="34" spans="3:7" ht="15" customHeight="1" x14ac:dyDescent="0.2">
      <c r="C34" s="138" t="s">
        <v>74</v>
      </c>
      <c r="D34" s="139"/>
      <c r="E34" s="140"/>
      <c r="F34" s="140"/>
      <c r="G34" s="141">
        <f>SUM(G31:G33)</f>
        <v>1455</v>
      </c>
    </row>
    <row r="35" spans="3:7" ht="15.75" customHeight="1" x14ac:dyDescent="0.2">
      <c r="C35" s="33" t="s">
        <v>199</v>
      </c>
      <c r="D35" s="17"/>
      <c r="E35" s="12"/>
      <c r="F35" s="12"/>
      <c r="G35" s="34"/>
    </row>
    <row r="36" spans="3:7" x14ac:dyDescent="0.2">
      <c r="C36" s="41" t="s">
        <v>222</v>
      </c>
      <c r="D36" s="23"/>
      <c r="E36" s="15"/>
      <c r="F36" s="15"/>
      <c r="G36" s="42">
        <f>'KW_Año 1'!P14</f>
        <v>7263</v>
      </c>
    </row>
    <row r="37" spans="3:7" ht="13.5" thickBot="1" x14ac:dyDescent="0.25">
      <c r="C37" s="134" t="s">
        <v>78</v>
      </c>
      <c r="D37" s="135"/>
      <c r="E37" s="136"/>
      <c r="F37" s="136"/>
      <c r="G37" s="137">
        <f>G36</f>
        <v>7263</v>
      </c>
    </row>
    <row r="38" spans="3:7" ht="13.5" thickBot="1" x14ac:dyDescent="0.25">
      <c r="C38" s="169" t="s">
        <v>79</v>
      </c>
      <c r="D38" s="170"/>
      <c r="E38" s="171"/>
      <c r="F38" s="171"/>
      <c r="G38" s="172">
        <f>G4+G37</f>
        <v>17755</v>
      </c>
    </row>
  </sheetData>
  <mergeCells count="1">
    <mergeCell ref="C1:G1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G17" sqref="G17"/>
    </sheetView>
  </sheetViews>
  <sheetFormatPr defaultRowHeight="12.75" x14ac:dyDescent="0.2"/>
  <cols>
    <col min="1" max="1" width="11.42578125" customWidth="1"/>
    <col min="2" max="2" width="22.140625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  <col min="9" max="256" width="11.42578125" customWidth="1"/>
  </cols>
  <sheetData>
    <row r="3" spans="2:8" ht="22.5" customHeight="1" thickBot="1" x14ac:dyDescent="0.25">
      <c r="B3" s="328" t="s">
        <v>196</v>
      </c>
      <c r="C3" s="328"/>
      <c r="D3" s="328"/>
      <c r="E3" s="328"/>
      <c r="F3" s="328"/>
      <c r="G3" s="328"/>
      <c r="H3" s="328"/>
    </row>
    <row r="4" spans="2:8" s="11" customFormat="1" ht="39" thickBot="1" x14ac:dyDescent="0.25">
      <c r="B4" s="83" t="s">
        <v>53</v>
      </c>
      <c r="C4" s="47" t="s">
        <v>54</v>
      </c>
      <c r="D4" s="47" t="s">
        <v>57</v>
      </c>
      <c r="E4" s="47" t="s">
        <v>87</v>
      </c>
      <c r="F4" s="47" t="s">
        <v>58</v>
      </c>
      <c r="G4" s="47" t="s">
        <v>59</v>
      </c>
      <c r="H4" s="48" t="s">
        <v>176</v>
      </c>
    </row>
    <row r="5" spans="2:8" x14ac:dyDescent="0.2">
      <c r="B5" s="167" t="s">
        <v>31</v>
      </c>
      <c r="C5" s="77">
        <f>Inversión_Inicial!G6</f>
        <v>7000</v>
      </c>
      <c r="D5" s="50">
        <v>10</v>
      </c>
      <c r="E5" s="62">
        <f>1/D5</f>
        <v>0.1</v>
      </c>
      <c r="F5" s="78">
        <f>+E5*C5</f>
        <v>700</v>
      </c>
      <c r="G5" s="77">
        <f>+F5*Resumen!$H$9</f>
        <v>3500</v>
      </c>
      <c r="H5" s="79">
        <f>+C5-G5</f>
        <v>3500</v>
      </c>
    </row>
    <row r="6" spans="2:8" ht="13.5" customHeight="1" x14ac:dyDescent="0.2">
      <c r="B6" s="147" t="s">
        <v>55</v>
      </c>
      <c r="C6" s="21">
        <f>Inversión_Inicial!G10</f>
        <v>590</v>
      </c>
      <c r="D6" s="9">
        <v>5</v>
      </c>
      <c r="E6" s="30">
        <f>1/D6</f>
        <v>0.2</v>
      </c>
      <c r="F6" s="24">
        <f>+E6*C6</f>
        <v>118</v>
      </c>
      <c r="G6" s="77">
        <f>+F6*Resumen!$H$9</f>
        <v>590</v>
      </c>
      <c r="H6" s="76">
        <f>+C6-G6</f>
        <v>0</v>
      </c>
    </row>
    <row r="7" spans="2:8" ht="13.5" customHeight="1" x14ac:dyDescent="0.2">
      <c r="B7" s="147" t="s">
        <v>292</v>
      </c>
      <c r="C7" s="21">
        <f>Inversión_Inicial!G14</f>
        <v>357</v>
      </c>
      <c r="D7" s="9">
        <v>2</v>
      </c>
      <c r="E7" s="30">
        <f>1/D7</f>
        <v>0.5</v>
      </c>
      <c r="F7" s="24">
        <f>+E7*C7</f>
        <v>178.5</v>
      </c>
      <c r="G7" s="77">
        <f>F7</f>
        <v>178.5</v>
      </c>
      <c r="H7" s="76">
        <f>+C7-G7</f>
        <v>178.5</v>
      </c>
    </row>
    <row r="8" spans="2:8" ht="13.5" thickBot="1" x14ac:dyDescent="0.25">
      <c r="B8" s="168" t="s">
        <v>19</v>
      </c>
      <c r="C8" s="80">
        <f>Inversión_Inicial!G24</f>
        <v>1090</v>
      </c>
      <c r="D8" s="51">
        <v>5</v>
      </c>
      <c r="E8" s="81">
        <f>1/D8</f>
        <v>0.2</v>
      </c>
      <c r="F8" s="80">
        <f>+E8*C8</f>
        <v>218</v>
      </c>
      <c r="G8" s="77">
        <f>+F8*Resumen!$H$9</f>
        <v>1090</v>
      </c>
      <c r="H8" s="82">
        <f>+C8-G8</f>
        <v>0</v>
      </c>
    </row>
    <row r="9" spans="2:8" ht="13.5" thickBot="1" x14ac:dyDescent="0.25">
      <c r="B9" s="144" t="s">
        <v>56</v>
      </c>
      <c r="C9" s="164">
        <f>SUM(C5:C8)</f>
        <v>9037</v>
      </c>
      <c r="D9" s="165"/>
      <c r="E9" s="165"/>
      <c r="F9" s="164">
        <f>SUM(F5:F8)</f>
        <v>1214.5</v>
      </c>
      <c r="G9" s="165"/>
      <c r="H9" s="166">
        <f>SUM(H5:H8)</f>
        <v>3678.5</v>
      </c>
    </row>
    <row r="10" spans="2:8" x14ac:dyDescent="0.2">
      <c r="B10" s="75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D8" sqref="D8"/>
    </sheetView>
  </sheetViews>
  <sheetFormatPr defaultRowHeight="12.75" x14ac:dyDescent="0.2"/>
  <cols>
    <col min="1" max="1" width="11.42578125" customWidth="1"/>
    <col min="2" max="2" width="29.5703125" customWidth="1"/>
    <col min="3" max="3" width="11.28515625" customWidth="1"/>
    <col min="4" max="4" width="9.42578125" customWidth="1"/>
    <col min="5" max="5" width="11.7109375" customWidth="1"/>
    <col min="6" max="256" width="11.42578125" customWidth="1"/>
  </cols>
  <sheetData>
    <row r="3" spans="2:6" x14ac:dyDescent="0.2">
      <c r="B3" s="326" t="s">
        <v>217</v>
      </c>
      <c r="C3" s="326"/>
      <c r="D3" s="326"/>
      <c r="E3" s="326"/>
      <c r="F3" s="326"/>
    </row>
    <row r="4" spans="2:6" ht="13.5" thickBot="1" x14ac:dyDescent="0.25"/>
    <row r="5" spans="2:6" ht="33.75" customHeight="1" thickBot="1" x14ac:dyDescent="0.3">
      <c r="B5" s="265" t="s">
        <v>14</v>
      </c>
      <c r="C5" s="303" t="s">
        <v>216</v>
      </c>
      <c r="D5" s="303" t="s">
        <v>214</v>
      </c>
      <c r="E5" s="303" t="s">
        <v>215</v>
      </c>
      <c r="F5" s="266" t="s">
        <v>12</v>
      </c>
    </row>
    <row r="6" spans="2:6" ht="19.5" customHeight="1" x14ac:dyDescent="0.25">
      <c r="B6" s="250" t="s">
        <v>213</v>
      </c>
      <c r="C6" s="251"/>
      <c r="D6" s="252"/>
      <c r="E6" s="251"/>
      <c r="F6" s="253">
        <f>F7+F8+F9+F10</f>
        <v>207</v>
      </c>
    </row>
    <row r="7" spans="2:6" ht="14.25" x14ac:dyDescent="0.2">
      <c r="B7" s="254" t="s">
        <v>47</v>
      </c>
      <c r="C7" s="251" t="s">
        <v>140</v>
      </c>
      <c r="D7" s="252">
        <f>Resumen!H15</f>
        <v>3.5</v>
      </c>
      <c r="E7" s="251">
        <v>30</v>
      </c>
      <c r="F7" s="255">
        <f t="shared" ref="F7:F14" si="0">D7*E7</f>
        <v>105</v>
      </c>
    </row>
    <row r="8" spans="2:6" ht="14.25" x14ac:dyDescent="0.2">
      <c r="B8" s="256" t="s">
        <v>48</v>
      </c>
      <c r="C8" s="257" t="s">
        <v>140</v>
      </c>
      <c r="D8" s="258">
        <v>12</v>
      </c>
      <c r="E8" s="257">
        <v>0.5</v>
      </c>
      <c r="F8" s="255">
        <f t="shared" si="0"/>
        <v>6</v>
      </c>
    </row>
    <row r="9" spans="2:6" ht="14.25" x14ac:dyDescent="0.2">
      <c r="B9" s="256" t="s">
        <v>49</v>
      </c>
      <c r="C9" s="257" t="s">
        <v>140</v>
      </c>
      <c r="D9" s="258">
        <v>2.2999999999999998</v>
      </c>
      <c r="E9" s="257">
        <v>20</v>
      </c>
      <c r="F9" s="255">
        <f t="shared" si="0"/>
        <v>46</v>
      </c>
    </row>
    <row r="10" spans="2:6" ht="14.25" x14ac:dyDescent="0.2">
      <c r="B10" s="256" t="s">
        <v>50</v>
      </c>
      <c r="C10" s="257" t="s">
        <v>24</v>
      </c>
      <c r="D10" s="258">
        <v>0.5</v>
      </c>
      <c r="E10" s="257">
        <v>100</v>
      </c>
      <c r="F10" s="255">
        <f t="shared" si="0"/>
        <v>50</v>
      </c>
    </row>
    <row r="11" spans="2:6" ht="18.75" customHeight="1" x14ac:dyDescent="0.25">
      <c r="B11" s="259" t="s">
        <v>282</v>
      </c>
      <c r="C11" s="257"/>
      <c r="D11" s="258"/>
      <c r="E11" s="257"/>
      <c r="F11" s="260">
        <f>F12</f>
        <v>500</v>
      </c>
    </row>
    <row r="12" spans="2:6" ht="14.25" x14ac:dyDescent="0.2">
      <c r="B12" s="256" t="s">
        <v>51</v>
      </c>
      <c r="C12" s="257" t="s">
        <v>24</v>
      </c>
      <c r="D12" s="258">
        <f>Resumen!Valor_Mano_Obra</f>
        <v>5</v>
      </c>
      <c r="E12" s="257">
        <v>100</v>
      </c>
      <c r="F12" s="255">
        <f>D12*E12</f>
        <v>500</v>
      </c>
    </row>
    <row r="13" spans="2:6" ht="30" x14ac:dyDescent="0.25">
      <c r="B13" s="259" t="s">
        <v>212</v>
      </c>
      <c r="C13" s="257"/>
      <c r="D13" s="258"/>
      <c r="E13" s="257"/>
      <c r="F13" s="260">
        <f>F14</f>
        <v>100</v>
      </c>
    </row>
    <row r="14" spans="2:6" ht="15" thickBot="1" x14ac:dyDescent="0.25">
      <c r="B14" s="261" t="s">
        <v>28</v>
      </c>
      <c r="C14" s="262" t="s">
        <v>77</v>
      </c>
      <c r="D14" s="263">
        <v>100</v>
      </c>
      <c r="E14" s="262">
        <v>1</v>
      </c>
      <c r="F14" s="264">
        <f t="shared" si="0"/>
        <v>100</v>
      </c>
    </row>
    <row r="15" spans="2:6" ht="34.5" customHeight="1" thickBot="1" x14ac:dyDescent="0.3">
      <c r="B15" s="267" t="s">
        <v>281</v>
      </c>
      <c r="C15" s="268"/>
      <c r="D15" s="269"/>
      <c r="E15" s="268"/>
      <c r="F15" s="270">
        <f>F6+F11+F13</f>
        <v>807</v>
      </c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E22" sqref="E22"/>
    </sheetView>
  </sheetViews>
  <sheetFormatPr defaultRowHeight="12.75" x14ac:dyDescent="0.2"/>
  <cols>
    <col min="1" max="1" width="11.42578125" customWidth="1"/>
    <col min="2" max="2" width="13" customWidth="1"/>
    <col min="3" max="3" width="11.42578125" customWidth="1"/>
    <col min="4" max="4" width="7.85546875" customWidth="1"/>
    <col min="5" max="5" width="13.85546875" customWidth="1"/>
    <col min="6" max="6" width="8.42578125" customWidth="1"/>
    <col min="7" max="7" width="11.42578125" customWidth="1"/>
    <col min="8" max="8" width="11.5703125" customWidth="1"/>
    <col min="9" max="256" width="11.42578125" customWidth="1"/>
  </cols>
  <sheetData>
    <row r="2" spans="2:12" x14ac:dyDescent="0.2">
      <c r="B2" s="326" t="s">
        <v>206</v>
      </c>
      <c r="C2" s="326"/>
      <c r="D2" s="326"/>
      <c r="E2" s="326"/>
      <c r="F2" s="326"/>
      <c r="G2" s="326"/>
      <c r="H2" s="326"/>
      <c r="I2" s="326"/>
    </row>
    <row r="4" spans="2:12" x14ac:dyDescent="0.2">
      <c r="B4" s="233" t="s">
        <v>177</v>
      </c>
      <c r="C4" s="233" t="s">
        <v>190</v>
      </c>
      <c r="D4" s="233" t="s">
        <v>189</v>
      </c>
      <c r="E4" s="233" t="s">
        <v>183</v>
      </c>
      <c r="F4" s="233" t="s">
        <v>184</v>
      </c>
      <c r="G4" s="233" t="s">
        <v>182</v>
      </c>
      <c r="H4" s="233" t="s">
        <v>208</v>
      </c>
      <c r="I4" s="235" t="s">
        <v>12</v>
      </c>
    </row>
    <row r="5" spans="2:12" x14ac:dyDescent="0.2">
      <c r="B5" s="9" t="s">
        <v>179</v>
      </c>
      <c r="C5" s="10">
        <v>930</v>
      </c>
      <c r="D5" s="10">
        <f>C5*12</f>
        <v>11160</v>
      </c>
      <c r="E5" s="10">
        <v>0</v>
      </c>
      <c r="F5" s="10">
        <v>0</v>
      </c>
      <c r="G5" s="10">
        <f>D5+E5+F5</f>
        <v>11160</v>
      </c>
      <c r="H5" s="10">
        <f>15*12</f>
        <v>180</v>
      </c>
      <c r="I5" s="87">
        <f>G5+H5</f>
        <v>11340</v>
      </c>
    </row>
    <row r="6" spans="2:12" x14ac:dyDescent="0.2">
      <c r="B6" s="9" t="s">
        <v>180</v>
      </c>
      <c r="C6" s="10">
        <v>930</v>
      </c>
      <c r="D6" s="10">
        <f>C6*12</f>
        <v>11160</v>
      </c>
      <c r="E6" s="10">
        <v>0</v>
      </c>
      <c r="F6" s="10">
        <v>0</v>
      </c>
      <c r="G6" s="10">
        <f>D6+E6+F6</f>
        <v>11160</v>
      </c>
      <c r="H6" s="10">
        <f>15*12</f>
        <v>180</v>
      </c>
      <c r="I6" s="87">
        <f>G6+H6</f>
        <v>11340</v>
      </c>
    </row>
    <row r="7" spans="2:12" x14ac:dyDescent="0.2">
      <c r="B7" s="236" t="s">
        <v>12</v>
      </c>
      <c r="C7" s="236"/>
      <c r="D7" s="236"/>
      <c r="E7" s="236"/>
      <c r="F7" s="236"/>
      <c r="G7" s="236"/>
      <c r="H7" s="237">
        <f>H5+H6</f>
        <v>360</v>
      </c>
      <c r="I7" s="237">
        <f>I5+I6</f>
        <v>22680</v>
      </c>
    </row>
    <row r="8" spans="2:12" x14ac:dyDescent="0.2">
      <c r="B8" t="s">
        <v>210</v>
      </c>
    </row>
    <row r="9" spans="2:12" x14ac:dyDescent="0.2">
      <c r="B9" t="s">
        <v>211</v>
      </c>
    </row>
    <row r="10" spans="2:12" x14ac:dyDescent="0.2">
      <c r="B10" t="s">
        <v>209</v>
      </c>
      <c r="K10">
        <v>150</v>
      </c>
      <c r="L10" s="29" t="s">
        <v>219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29" t="s">
        <v>220</v>
      </c>
    </row>
    <row r="13" spans="2:12" x14ac:dyDescent="0.2">
      <c r="B13" s="326" t="s">
        <v>181</v>
      </c>
      <c r="C13" s="326"/>
      <c r="D13" s="326"/>
      <c r="E13" s="326"/>
      <c r="F13" s="326"/>
      <c r="G13" s="326"/>
      <c r="H13" s="326"/>
      <c r="I13" s="326"/>
    </row>
    <row r="15" spans="2:12" x14ac:dyDescent="0.2">
      <c r="B15" s="233" t="s">
        <v>177</v>
      </c>
      <c r="C15" s="233" t="s">
        <v>190</v>
      </c>
      <c r="D15" s="233" t="s">
        <v>189</v>
      </c>
      <c r="E15" s="233" t="s">
        <v>183</v>
      </c>
      <c r="F15" s="233" t="s">
        <v>184</v>
      </c>
      <c r="G15" s="233" t="s">
        <v>182</v>
      </c>
      <c r="H15" s="233" t="s">
        <v>185</v>
      </c>
      <c r="I15" s="235" t="s">
        <v>12</v>
      </c>
      <c r="K15">
        <v>1700</v>
      </c>
      <c r="L15" s="29" t="s">
        <v>219</v>
      </c>
    </row>
    <row r="16" spans="2:12" x14ac:dyDescent="0.2">
      <c r="B16" s="9" t="s">
        <v>179</v>
      </c>
      <c r="C16" s="10">
        <v>930</v>
      </c>
      <c r="D16" s="10">
        <f>C16*12</f>
        <v>11160</v>
      </c>
      <c r="E16" s="10">
        <f>C16</f>
        <v>930</v>
      </c>
      <c r="F16" s="10">
        <f>C16/2</f>
        <v>465</v>
      </c>
      <c r="G16" s="10">
        <f>D16+E16+F16</f>
        <v>12555</v>
      </c>
      <c r="H16" s="10">
        <f>G16*0.09</f>
        <v>1129.95</v>
      </c>
      <c r="I16" s="87">
        <f>G16+H16</f>
        <v>13684.95</v>
      </c>
      <c r="K16">
        <v>4400</v>
      </c>
    </row>
    <row r="17" spans="2:12" x14ac:dyDescent="0.2">
      <c r="B17" s="9" t="s">
        <v>180</v>
      </c>
      <c r="C17" s="10">
        <v>930</v>
      </c>
      <c r="D17" s="10">
        <f>C17*12</f>
        <v>11160</v>
      </c>
      <c r="E17" s="10">
        <f>C17</f>
        <v>930</v>
      </c>
      <c r="F17" s="10">
        <f>C17/2</f>
        <v>465</v>
      </c>
      <c r="G17" s="10">
        <f>D17+E17+F17</f>
        <v>12555</v>
      </c>
      <c r="H17" s="10">
        <f>G17*0.09</f>
        <v>1129.95</v>
      </c>
      <c r="I17" s="87">
        <f>G17+H17</f>
        <v>13684.95</v>
      </c>
      <c r="K17">
        <f>K15*K16</f>
        <v>7480000</v>
      </c>
      <c r="L17" s="29" t="s">
        <v>221</v>
      </c>
    </row>
    <row r="18" spans="2:12" x14ac:dyDescent="0.2">
      <c r="B18" s="236" t="s">
        <v>12</v>
      </c>
      <c r="C18" s="236"/>
      <c r="D18" s="236"/>
      <c r="E18" s="236"/>
      <c r="F18" s="236"/>
      <c r="G18" s="236"/>
      <c r="H18" s="236"/>
      <c r="I18" s="237">
        <f>I16+I17</f>
        <v>27369.9</v>
      </c>
    </row>
    <row r="19" spans="2:12" x14ac:dyDescent="0.2">
      <c r="B19" t="s">
        <v>186</v>
      </c>
    </row>
    <row r="20" spans="2:12" x14ac:dyDescent="0.2">
      <c r="B20" t="s">
        <v>187</v>
      </c>
    </row>
    <row r="21" spans="2:12" x14ac:dyDescent="0.2">
      <c r="B21" t="s">
        <v>188</v>
      </c>
    </row>
  </sheetData>
  <mergeCells count="2">
    <mergeCell ref="B2:I2"/>
    <mergeCell ref="B13:I1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workbookViewId="0">
      <selection activeCell="G21" sqref="G21"/>
    </sheetView>
  </sheetViews>
  <sheetFormatPr defaultRowHeight="12.75" x14ac:dyDescent="0.2"/>
  <cols>
    <col min="1" max="1" width="11.42578125" customWidth="1"/>
    <col min="2" max="2" width="23" customWidth="1"/>
    <col min="3" max="3" width="10.42578125" style="22" customWidth="1"/>
    <col min="4" max="5" width="11.42578125" customWidth="1"/>
    <col min="6" max="6" width="9.140625" customWidth="1"/>
    <col min="7" max="256" width="11.42578125" customWidth="1"/>
  </cols>
  <sheetData>
    <row r="1" spans="2:7" x14ac:dyDescent="0.2">
      <c r="B1" s="326" t="s">
        <v>297</v>
      </c>
      <c r="C1" s="327"/>
      <c r="D1" s="327"/>
      <c r="E1" s="327"/>
      <c r="F1" s="327"/>
      <c r="G1" s="6"/>
    </row>
    <row r="2" spans="2:7" ht="13.5" thickBot="1" x14ac:dyDescent="0.25">
      <c r="B2" s="6"/>
      <c r="C2" s="16"/>
      <c r="D2" s="6"/>
      <c r="E2" s="6"/>
      <c r="F2" s="6"/>
      <c r="G2" s="6"/>
    </row>
    <row r="3" spans="2:7" s="2" customFormat="1" ht="32.1" customHeight="1" thickBot="1" x14ac:dyDescent="0.25">
      <c r="B3" s="144" t="s">
        <v>14</v>
      </c>
      <c r="C3" s="145" t="s">
        <v>15</v>
      </c>
      <c r="D3" s="145" t="s">
        <v>16</v>
      </c>
      <c r="E3" s="145" t="s">
        <v>137</v>
      </c>
      <c r="F3" s="146" t="s">
        <v>17</v>
      </c>
      <c r="G3" s="7"/>
    </row>
    <row r="4" spans="2:7" x14ac:dyDescent="0.2">
      <c r="B4" s="157" t="s">
        <v>23</v>
      </c>
      <c r="C4" s="148"/>
      <c r="D4" s="149"/>
      <c r="E4" s="149"/>
      <c r="F4" s="150">
        <f>SUM(F5:F10)</f>
        <v>1125</v>
      </c>
    </row>
    <row r="5" spans="2:7" x14ac:dyDescent="0.2">
      <c r="B5" s="158" t="s">
        <v>295</v>
      </c>
      <c r="C5" s="151">
        <f>Planilla!C5</f>
        <v>930</v>
      </c>
      <c r="D5" s="152">
        <v>1</v>
      </c>
      <c r="E5" s="159" t="s">
        <v>141</v>
      </c>
      <c r="F5" s="153">
        <f t="shared" ref="F5:F10" si="0">C5*D5</f>
        <v>930</v>
      </c>
    </row>
    <row r="6" spans="2:7" x14ac:dyDescent="0.2">
      <c r="B6" s="158" t="s">
        <v>294</v>
      </c>
      <c r="C6" s="151">
        <v>15</v>
      </c>
      <c r="D6" s="152">
        <v>1</v>
      </c>
      <c r="E6" s="159" t="s">
        <v>141</v>
      </c>
      <c r="F6" s="153">
        <f t="shared" si="0"/>
        <v>15</v>
      </c>
    </row>
    <row r="7" spans="2:7" x14ac:dyDescent="0.2">
      <c r="B7" s="158" t="s">
        <v>84</v>
      </c>
      <c r="C7" s="151">
        <v>110</v>
      </c>
      <c r="D7" s="152">
        <v>1</v>
      </c>
      <c r="E7" s="159" t="s">
        <v>138</v>
      </c>
      <c r="F7" s="153">
        <f t="shared" si="0"/>
        <v>110</v>
      </c>
    </row>
    <row r="8" spans="2:7" x14ac:dyDescent="0.2">
      <c r="B8" s="158" t="s">
        <v>30</v>
      </c>
      <c r="C8" s="151">
        <v>50</v>
      </c>
      <c r="D8" s="152">
        <v>1</v>
      </c>
      <c r="E8" s="159" t="s">
        <v>138</v>
      </c>
      <c r="F8" s="153">
        <f t="shared" si="0"/>
        <v>50</v>
      </c>
    </row>
    <row r="9" spans="2:7" x14ac:dyDescent="0.2">
      <c r="B9" s="158" t="s">
        <v>29</v>
      </c>
      <c r="C9" s="151">
        <v>10</v>
      </c>
      <c r="D9" s="152">
        <v>1</v>
      </c>
      <c r="E9" s="159" t="s">
        <v>138</v>
      </c>
      <c r="F9" s="153">
        <f t="shared" si="0"/>
        <v>10</v>
      </c>
    </row>
    <row r="10" spans="2:7" x14ac:dyDescent="0.2">
      <c r="B10" s="158" t="s">
        <v>52</v>
      </c>
      <c r="C10" s="151">
        <v>10</v>
      </c>
      <c r="D10" s="152">
        <v>1</v>
      </c>
      <c r="E10" s="159" t="s">
        <v>138</v>
      </c>
      <c r="F10" s="153">
        <f t="shared" si="0"/>
        <v>10</v>
      </c>
    </row>
    <row r="11" spans="2:7" x14ac:dyDescent="0.2">
      <c r="B11" s="157" t="s">
        <v>63</v>
      </c>
      <c r="C11" s="148"/>
      <c r="D11" s="149"/>
      <c r="E11" s="149"/>
      <c r="F11" s="150">
        <f>SUM(F12:F15)</f>
        <v>1010</v>
      </c>
    </row>
    <row r="12" spans="2:7" x14ac:dyDescent="0.2">
      <c r="B12" s="158" t="s">
        <v>178</v>
      </c>
      <c r="C12" s="151">
        <f>Planilla!C6</f>
        <v>930</v>
      </c>
      <c r="D12" s="152">
        <v>1</v>
      </c>
      <c r="E12" s="152" t="s">
        <v>141</v>
      </c>
      <c r="F12" s="153">
        <f>C12*D12</f>
        <v>930</v>
      </c>
    </row>
    <row r="13" spans="2:7" x14ac:dyDescent="0.2">
      <c r="B13" s="158" t="s">
        <v>207</v>
      </c>
      <c r="C13" s="151">
        <f>15</f>
        <v>15</v>
      </c>
      <c r="D13" s="152">
        <v>1</v>
      </c>
      <c r="E13" s="152" t="s">
        <v>296</v>
      </c>
      <c r="F13" s="153">
        <f>C13*D13</f>
        <v>15</v>
      </c>
    </row>
    <row r="14" spans="2:7" x14ac:dyDescent="0.2">
      <c r="B14" s="158" t="s">
        <v>85</v>
      </c>
      <c r="C14" s="151">
        <v>15</v>
      </c>
      <c r="D14" s="152">
        <v>1</v>
      </c>
      <c r="E14" s="152" t="s">
        <v>142</v>
      </c>
      <c r="F14" s="153">
        <f>C14*D14</f>
        <v>15</v>
      </c>
    </row>
    <row r="15" spans="2:7" ht="13.5" thickBot="1" x14ac:dyDescent="0.25">
      <c r="B15" s="160" t="s">
        <v>86</v>
      </c>
      <c r="C15" s="154">
        <v>1</v>
      </c>
      <c r="D15" s="155">
        <v>50</v>
      </c>
      <c r="E15" s="155" t="s">
        <v>24</v>
      </c>
      <c r="F15" s="156">
        <f>C15*D15</f>
        <v>50</v>
      </c>
    </row>
    <row r="16" spans="2:7" ht="26.25" thickBot="1" x14ac:dyDescent="0.25">
      <c r="B16" s="161" t="s">
        <v>298</v>
      </c>
      <c r="C16" s="162"/>
      <c r="D16" s="162"/>
      <c r="E16" s="162"/>
      <c r="F16" s="163">
        <f>+F4+F11</f>
        <v>2135</v>
      </c>
    </row>
    <row r="17" spans="2:2" x14ac:dyDescent="0.2">
      <c r="B17" s="27"/>
    </row>
    <row r="18" spans="2:2" x14ac:dyDescent="0.2">
      <c r="B18" s="27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workbookViewId="0">
      <selection activeCell="F22" sqref="F22"/>
    </sheetView>
  </sheetViews>
  <sheetFormatPr defaultRowHeight="12.75" x14ac:dyDescent="0.2"/>
  <cols>
    <col min="1" max="1" width="11.42578125" customWidth="1"/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" customWidth="1"/>
    <col min="8" max="8" width="6.140625" customWidth="1"/>
    <col min="9" max="9" width="5.85546875" customWidth="1"/>
    <col min="10" max="10" width="7" customWidth="1"/>
    <col min="11" max="11" width="7.42578125" customWidth="1"/>
    <col min="12" max="12" width="6.140625" customWidth="1"/>
    <col min="13" max="13" width="6.85546875" customWidth="1"/>
    <col min="14" max="14" width="6.7109375" customWidth="1"/>
    <col min="15" max="15" width="6.28515625" customWidth="1"/>
    <col min="16" max="16" width="7.28515625" customWidth="1"/>
    <col min="17" max="256" width="11.42578125" customWidth="1"/>
  </cols>
  <sheetData>
    <row r="5" spans="2:16" x14ac:dyDescent="0.2">
      <c r="B5" s="326" t="s">
        <v>174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</row>
    <row r="6" spans="2:16" ht="13.5" thickBot="1" x14ac:dyDescent="0.25"/>
    <row r="7" spans="2:16" x14ac:dyDescent="0.2">
      <c r="B7" s="336" t="s">
        <v>14</v>
      </c>
      <c r="C7" s="334">
        <v>0</v>
      </c>
      <c r="D7" s="329" t="s">
        <v>171</v>
      </c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1"/>
      <c r="P7" s="332" t="s">
        <v>12</v>
      </c>
    </row>
    <row r="8" spans="2:16" x14ac:dyDescent="0.2">
      <c r="B8" s="337"/>
      <c r="C8" s="335"/>
      <c r="D8" s="235">
        <v>1</v>
      </c>
      <c r="E8" s="235">
        <v>2</v>
      </c>
      <c r="F8" s="235">
        <v>3</v>
      </c>
      <c r="G8" s="235">
        <v>4</v>
      </c>
      <c r="H8" s="235">
        <v>5</v>
      </c>
      <c r="I8" s="235">
        <v>6</v>
      </c>
      <c r="J8" s="235">
        <v>7</v>
      </c>
      <c r="K8" s="235">
        <v>8</v>
      </c>
      <c r="L8" s="235">
        <v>9</v>
      </c>
      <c r="M8" s="235">
        <v>10</v>
      </c>
      <c r="N8" s="235">
        <v>11</v>
      </c>
      <c r="O8" s="235">
        <v>12</v>
      </c>
      <c r="P8" s="333"/>
    </row>
    <row r="9" spans="2:16" x14ac:dyDescent="0.2">
      <c r="B9" s="65" t="s">
        <v>80</v>
      </c>
      <c r="C9" s="30"/>
      <c r="D9" s="217">
        <f>Ventas_Unidades!C7</f>
        <v>100</v>
      </c>
      <c r="E9" s="217">
        <f>Ventas_Unidades!D7</f>
        <v>200</v>
      </c>
      <c r="F9" s="217">
        <f>Ventas_Unidades!E7</f>
        <v>300</v>
      </c>
      <c r="G9" s="217">
        <f>Ventas_Unidades!F7</f>
        <v>400</v>
      </c>
      <c r="H9" s="217">
        <f>Ventas_Unidades!G7</f>
        <v>500</v>
      </c>
      <c r="I9" s="217">
        <f>Ventas_Unidades!H7</f>
        <v>600</v>
      </c>
      <c r="J9" s="217">
        <f>Ventas_Unidades!I7</f>
        <v>700</v>
      </c>
      <c r="K9" s="217">
        <f>Ventas_Unidades!J7</f>
        <v>800</v>
      </c>
      <c r="L9" s="217">
        <f>Ventas_Unidades!K7</f>
        <v>800</v>
      </c>
      <c r="M9" s="217">
        <f>Ventas_Unidades!L7</f>
        <v>900</v>
      </c>
      <c r="N9" s="217">
        <f>Ventas_Unidades!M7</f>
        <v>1000</v>
      </c>
      <c r="O9" s="217">
        <f>Ventas_Unidades!N7</f>
        <v>1000</v>
      </c>
      <c r="P9" s="173"/>
    </row>
    <row r="10" spans="2:16" x14ac:dyDescent="0.2">
      <c r="B10" s="65" t="s">
        <v>173</v>
      </c>
      <c r="C10" s="30"/>
      <c r="D10" s="30">
        <f>Costos_Unitarios!$C$18</f>
        <v>8.07</v>
      </c>
      <c r="E10" s="30">
        <f>Costos_Unitarios!$C$18</f>
        <v>8.07</v>
      </c>
      <c r="F10" s="30">
        <f>Costos_Unitarios!$C$18</f>
        <v>8.07</v>
      </c>
      <c r="G10" s="30">
        <f>Costos_Unitarios!$C$18</f>
        <v>8.07</v>
      </c>
      <c r="H10" s="30">
        <f>Costos_Unitarios!$C$18</f>
        <v>8.07</v>
      </c>
      <c r="I10" s="30">
        <f>Costos_Unitarios!$C$18</f>
        <v>8.07</v>
      </c>
      <c r="J10" s="30">
        <f>Costos_Unitarios!$C$18</f>
        <v>8.07</v>
      </c>
      <c r="K10" s="30">
        <f>Costos_Unitarios!$C$18</f>
        <v>8.07</v>
      </c>
      <c r="L10" s="30">
        <f>Costos_Unitarios!$C$18</f>
        <v>8.07</v>
      </c>
      <c r="M10" s="30">
        <f>Costos_Unitarios!$C$18</f>
        <v>8.07</v>
      </c>
      <c r="N10" s="30">
        <f>Costos_Unitarios!$C$18</f>
        <v>8.07</v>
      </c>
      <c r="O10" s="30">
        <f>Costos_Unitarios!$C$18</f>
        <v>8.07</v>
      </c>
      <c r="P10" s="173"/>
    </row>
    <row r="11" spans="2:16" x14ac:dyDescent="0.2">
      <c r="B11" s="65" t="s">
        <v>200</v>
      </c>
      <c r="C11" s="218"/>
      <c r="D11" s="30">
        <f t="shared" ref="D11:O11" si="0">D9*D10</f>
        <v>807</v>
      </c>
      <c r="E11" s="30">
        <f t="shared" si="0"/>
        <v>1614</v>
      </c>
      <c r="F11" s="30">
        <f t="shared" si="0"/>
        <v>2421</v>
      </c>
      <c r="G11" s="30">
        <f t="shared" si="0"/>
        <v>3228</v>
      </c>
      <c r="H11" s="30">
        <f t="shared" si="0"/>
        <v>4035</v>
      </c>
      <c r="I11" s="30">
        <f t="shared" si="0"/>
        <v>4842</v>
      </c>
      <c r="J11" s="30">
        <f t="shared" si="0"/>
        <v>5649</v>
      </c>
      <c r="K11" s="30">
        <f t="shared" si="0"/>
        <v>6456</v>
      </c>
      <c r="L11" s="30">
        <f t="shared" si="0"/>
        <v>6456</v>
      </c>
      <c r="M11" s="30">
        <f t="shared" si="0"/>
        <v>7263</v>
      </c>
      <c r="N11" s="30">
        <f t="shared" si="0"/>
        <v>8070</v>
      </c>
      <c r="O11" s="30">
        <f t="shared" si="0"/>
        <v>8070</v>
      </c>
      <c r="P11" s="173"/>
    </row>
    <row r="12" spans="2:16" x14ac:dyDescent="0.2">
      <c r="B12" s="65" t="s">
        <v>201</v>
      </c>
      <c r="C12" s="218"/>
      <c r="D12" s="218">
        <f>Gastos_Operativos!$F$16</f>
        <v>2135</v>
      </c>
      <c r="E12" s="218">
        <f>Gastos_Operativos!$F$16</f>
        <v>2135</v>
      </c>
      <c r="F12" s="218">
        <f>Gastos_Operativos!$F$16</f>
        <v>2135</v>
      </c>
      <c r="G12" s="218">
        <f>Gastos_Operativos!$F$16</f>
        <v>2135</v>
      </c>
      <c r="H12" s="218">
        <f>Gastos_Operativos!$F$16</f>
        <v>2135</v>
      </c>
      <c r="I12" s="218">
        <f>Gastos_Operativos!$F$16</f>
        <v>2135</v>
      </c>
      <c r="J12" s="218">
        <f>Gastos_Operativos!$F$16</f>
        <v>2135</v>
      </c>
      <c r="K12" s="218">
        <f>Gastos_Operativos!$F$16</f>
        <v>2135</v>
      </c>
      <c r="L12" s="218">
        <f>Gastos_Operativos!$F$16</f>
        <v>2135</v>
      </c>
      <c r="M12" s="218">
        <f>Gastos_Operativos!$F$16</f>
        <v>2135</v>
      </c>
      <c r="N12" s="218">
        <f>Gastos_Operativos!$F$16</f>
        <v>2135</v>
      </c>
      <c r="O12" s="218">
        <f>Gastos_Operativos!$F$16</f>
        <v>2135</v>
      </c>
      <c r="P12" s="173"/>
    </row>
    <row r="13" spans="2:16" x14ac:dyDescent="0.2">
      <c r="B13" s="65" t="s">
        <v>202</v>
      </c>
      <c r="C13" s="218"/>
      <c r="D13" s="218">
        <f>D11+D12</f>
        <v>2942</v>
      </c>
      <c r="E13" s="218">
        <f t="shared" ref="E13:O13" si="1">E11+E12</f>
        <v>3749</v>
      </c>
      <c r="F13" s="218">
        <f t="shared" si="1"/>
        <v>4556</v>
      </c>
      <c r="G13" s="218">
        <f t="shared" si="1"/>
        <v>5363</v>
      </c>
      <c r="H13" s="218">
        <f t="shared" si="1"/>
        <v>6170</v>
      </c>
      <c r="I13" s="218">
        <f t="shared" si="1"/>
        <v>6977</v>
      </c>
      <c r="J13" s="218">
        <f t="shared" si="1"/>
        <v>7784</v>
      </c>
      <c r="K13" s="218">
        <f t="shared" si="1"/>
        <v>8591</v>
      </c>
      <c r="L13" s="218">
        <f t="shared" si="1"/>
        <v>8591</v>
      </c>
      <c r="M13" s="218">
        <f t="shared" si="1"/>
        <v>9398</v>
      </c>
      <c r="N13" s="218">
        <f t="shared" si="1"/>
        <v>10205</v>
      </c>
      <c r="O13" s="218">
        <f t="shared" si="1"/>
        <v>10205</v>
      </c>
      <c r="P13" s="173"/>
    </row>
    <row r="14" spans="2:16" x14ac:dyDescent="0.2">
      <c r="B14" s="65" t="s">
        <v>172</v>
      </c>
      <c r="C14" s="218">
        <f>D13</f>
        <v>2942</v>
      </c>
      <c r="D14" s="218">
        <f>E13-C14</f>
        <v>807</v>
      </c>
      <c r="E14" s="218">
        <f>F13-D15</f>
        <v>807</v>
      </c>
      <c r="F14" s="218">
        <f>G13-E15</f>
        <v>807</v>
      </c>
      <c r="G14" s="218">
        <f t="shared" ref="G14:N14" si="2">H13-F15</f>
        <v>807</v>
      </c>
      <c r="H14" s="218">
        <f t="shared" si="2"/>
        <v>807</v>
      </c>
      <c r="I14" s="218">
        <f t="shared" si="2"/>
        <v>807</v>
      </c>
      <c r="J14" s="218">
        <f t="shared" si="2"/>
        <v>807</v>
      </c>
      <c r="K14" s="218">
        <f t="shared" si="2"/>
        <v>0</v>
      </c>
      <c r="L14" s="218">
        <f t="shared" si="2"/>
        <v>807</v>
      </c>
      <c r="M14" s="218">
        <f t="shared" si="2"/>
        <v>807</v>
      </c>
      <c r="N14" s="218">
        <f t="shared" si="2"/>
        <v>0</v>
      </c>
      <c r="O14" s="218"/>
      <c r="P14" s="219">
        <f>SUM(D14:O14)</f>
        <v>7263</v>
      </c>
    </row>
    <row r="15" spans="2:16" ht="13.5" thickBot="1" x14ac:dyDescent="0.25">
      <c r="B15" s="222" t="s">
        <v>12</v>
      </c>
      <c r="C15" s="220"/>
      <c r="D15" s="239">
        <f>D13+D14</f>
        <v>3749</v>
      </c>
      <c r="E15" s="239">
        <f t="shared" ref="E15:O15" si="3">E13+E14</f>
        <v>4556</v>
      </c>
      <c r="F15" s="239">
        <f t="shared" si="3"/>
        <v>5363</v>
      </c>
      <c r="G15" s="239">
        <f t="shared" si="3"/>
        <v>6170</v>
      </c>
      <c r="H15" s="239">
        <f t="shared" si="3"/>
        <v>6977</v>
      </c>
      <c r="I15" s="239">
        <f t="shared" si="3"/>
        <v>7784</v>
      </c>
      <c r="J15" s="239">
        <f t="shared" si="3"/>
        <v>8591</v>
      </c>
      <c r="K15" s="239">
        <f t="shared" si="3"/>
        <v>8591</v>
      </c>
      <c r="L15" s="239">
        <f t="shared" si="3"/>
        <v>9398</v>
      </c>
      <c r="M15" s="239">
        <f t="shared" si="3"/>
        <v>10205</v>
      </c>
      <c r="N15" s="239">
        <f t="shared" si="3"/>
        <v>10205</v>
      </c>
      <c r="O15" s="239">
        <f t="shared" si="3"/>
        <v>10205</v>
      </c>
      <c r="P15" s="221"/>
    </row>
    <row r="17" spans="5:11" x14ac:dyDescent="0.2">
      <c r="E17" s="198"/>
    </row>
    <row r="18" spans="5:11" x14ac:dyDescent="0.2">
      <c r="K18" s="198"/>
    </row>
  </sheetData>
  <mergeCells count="5">
    <mergeCell ref="D7:O7"/>
    <mergeCell ref="P7:P8"/>
    <mergeCell ref="C7:C8"/>
    <mergeCell ref="B7:B8"/>
    <mergeCell ref="B5:P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Resumen</vt:lpstr>
      <vt:lpstr>Ventas_Unidades</vt:lpstr>
      <vt:lpstr>Presupuesto_Ventas</vt:lpstr>
      <vt:lpstr>Inversión_Inicial</vt:lpstr>
      <vt:lpstr>Depreciación_VR</vt:lpstr>
      <vt:lpstr>Costos_Producción</vt:lpstr>
      <vt:lpstr>Planilla</vt:lpstr>
      <vt:lpstr>Gastos_Operativos</vt:lpstr>
      <vt:lpstr>KW_Año 1</vt:lpstr>
      <vt:lpstr>Costos_Unitarios</vt:lpstr>
      <vt:lpstr>Punto de equilibrio</vt:lpstr>
      <vt:lpstr>Flujo_Deuda</vt:lpstr>
      <vt:lpstr>Estado de Resultados</vt:lpstr>
      <vt:lpstr>IGV</vt:lpstr>
      <vt:lpstr>Ku</vt:lpstr>
      <vt:lpstr>Ke y Kwacc</vt:lpstr>
      <vt:lpstr>Flujos de Caja</vt:lpstr>
      <vt:lpstr>Rentabilidad</vt:lpstr>
      <vt:lpstr>Hoja2</vt:lpstr>
      <vt:lpstr>'Ke y Kwacc'!_Hlk37002392</vt:lpstr>
      <vt:lpstr>'Ke y Kwacc'!_Hlk38462990</vt:lpstr>
      <vt:lpstr>Resumen!TIRE</vt:lpstr>
      <vt:lpstr>Resumen!TIRF</vt:lpstr>
      <vt:lpstr>Resumen!Valor_de_venta</vt:lpstr>
      <vt:lpstr>Resumen!Valor_del_Rocoto</vt:lpstr>
      <vt:lpstr>Resumen!Valor_Mano_Obra</vt:lpstr>
      <vt:lpstr>Resumen!VANE</vt:lpstr>
      <vt:lpstr>Resumen!VANF</vt:lpstr>
    </vt:vector>
  </TitlesOfParts>
  <Company>gestion aplicada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maSVER</dc:creator>
  <cp:lastModifiedBy>EDISON ACHALMA</cp:lastModifiedBy>
  <cp:lastPrinted>2008-10-28T16:11:43Z</cp:lastPrinted>
  <dcterms:created xsi:type="dcterms:W3CDTF">2008-10-28T16:04:50Z</dcterms:created>
  <dcterms:modified xsi:type="dcterms:W3CDTF">2021-08-03T16:59:51Z</dcterms:modified>
</cp:coreProperties>
</file>