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ink/ink1.xml" ContentType="application/inkml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Folletos y Presentaciones Corporativas/ENIS_2022/"/>
    </mc:Choice>
  </mc:AlternateContent>
  <xr:revisionPtr revIDLastSave="1926" documentId="13_ncr:1_{FBFD05F2-624C-40E1-B2F5-E6C3A075E9B9}" xr6:coauthVersionLast="47" xr6:coauthVersionMax="47" xr10:uidLastSave="{8AD23082-990B-4A59-BFB0-B5E089FFAE72}"/>
  <bookViews>
    <workbookView xWindow="-120" yWindow="-120" windowWidth="29040" windowHeight="15720" tabRatio="795" activeTab="3" xr2:uid="{00000000-000D-0000-FFFF-FFFF00000000}"/>
  </bookViews>
  <sheets>
    <sheet name="Productores" sheetId="20" r:id="rId1"/>
    <sheet name="CUADRO N 2" sheetId="2" r:id="rId2"/>
    <sheet name="CUADRO N 3" sheetId="3" r:id="rId3"/>
    <sheet name="CULTIVOS" sheetId="8" r:id="rId4"/>
    <sheet name="HGA" sheetId="9" r:id="rId5"/>
    <sheet name="CGO" sheetId="25" r:id="rId6"/>
    <sheet name="HCOS" sheetId="26" r:id="rId7"/>
    <sheet name="HTA" sheetId="27" r:id="rId8"/>
    <sheet name="LMAR" sheetId="28" r:id="rId9"/>
    <sheet name="LUC" sheetId="29" r:id="rId10"/>
    <sheet name="PAR" sheetId="30" r:id="rId11"/>
    <sheet name="PSSR" sheetId="31" r:id="rId12"/>
    <sheet name="SCR" sheetId="32" r:id="rId13"/>
    <sheet name="VFJ" sheetId="33" r:id="rId14"/>
    <sheet name="VHM" sheetId="34" r:id="rId15"/>
  </sheets>
  <externalReferences>
    <externalReference r:id="rId16"/>
    <externalReference r:id="rId17"/>
    <externalReference r:id="rId18"/>
  </externalReferences>
  <definedNames>
    <definedName name="_xlnm._FilterDatabase" localSheetId="6" hidden="1">HCOS!$D$69:$O$69</definedName>
    <definedName name="_xlnm._FilterDatabase" localSheetId="4" hidden="1">HGA!#REF!</definedName>
    <definedName name="_xlnm._FilterDatabase" localSheetId="0" hidden="1">Productores!$C$5:$D$5</definedName>
    <definedName name="_Order1" hidden="1">255</definedName>
    <definedName name="_xlnm.Extract" localSheetId="0">Productores!#REF!</definedName>
    <definedName name="_xlnm.Print_Area" localSheetId="1">'CUADRO N 2'!$A$1:$O$62</definedName>
    <definedName name="_xlnm.Print_Area" localSheetId="2">'CUADRO N 3'!$A$1:$I$57</definedName>
    <definedName name="_xlnm.Print_Area" localSheetId="4">HGA!$A$2:$O$39</definedName>
    <definedName name="_xlnm.Print_Area" localSheetId="0">Productores!$A$1:$E$277</definedName>
    <definedName name="_xlnm.Database">[1]TPROAGE!$A$1:$S$47</definedName>
    <definedName name="code_dist">[1]dist!$A$2:$K$13</definedName>
    <definedName name="code_prodt">[1]prodt!$A$2:$C$40</definedName>
    <definedName name="MENSUAL">'[2]2002'!#REF!</definedName>
    <definedName name="prueba" localSheetId="0">Productores!#REF!</definedName>
    <definedName name="prueba">[3]data!#REF!</definedName>
    <definedName name="_xlnm.Print_Titles" localSheetId="4">HGA!$2:$5</definedName>
    <definedName name="_xlnm.Print_Titles" localSheetId="0">Productores!$1:$6</definedName>
    <definedName name="tumbes" localSheetId="0">Productores!$C$5:$D$5</definedName>
    <definedName name="tumbes">[1]data!$C$1:$DA$1</definedName>
    <definedName name="tumbesito" localSheetId="0">Productores!#REF!</definedName>
    <definedName name="tumbesito">[3]data!#REF!</definedName>
    <definedName name="ubigeo">[1]dist!$A$2:$K$117</definedName>
    <definedName name="ventas">#REF!</definedName>
    <definedName name="Z_CAA9766A_1F95_11D6_81C4_0004760F2E2A_.wvu.FilterData" localSheetId="0" hidden="1">Productores!$C$5:$D$5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" i="27" l="1"/>
  <c r="P34" i="9"/>
  <c r="S34" i="9" s="1"/>
  <c r="T34" i="9"/>
  <c r="Q34" i="9"/>
  <c r="R34" i="9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A76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Q71" i="34"/>
  <c r="Q72" i="34"/>
  <c r="Q73" i="34"/>
  <c r="Q74" i="34"/>
  <c r="S70" i="34"/>
  <c r="Q70" i="34"/>
  <c r="Q72" i="33"/>
  <c r="S72" i="33"/>
  <c r="Q73" i="33"/>
  <c r="S73" i="33"/>
  <c r="Q74" i="33"/>
  <c r="Q75" i="33"/>
  <c r="R75" i="33"/>
  <c r="U71" i="33"/>
  <c r="Q71" i="33"/>
  <c r="Q72" i="32"/>
  <c r="R72" i="32"/>
  <c r="Q73" i="32"/>
  <c r="S73" i="32"/>
  <c r="Q74" i="32"/>
  <c r="Q75" i="32"/>
  <c r="S75" i="32"/>
  <c r="S71" i="32"/>
  <c r="Q71" i="32"/>
  <c r="Q71" i="31"/>
  <c r="Q72" i="31"/>
  <c r="S72" i="31"/>
  <c r="Q73" i="31"/>
  <c r="Q74" i="31"/>
  <c r="Q70" i="31"/>
  <c r="Q70" i="30"/>
  <c r="U70" i="30"/>
  <c r="Q71" i="30"/>
  <c r="S71" i="30"/>
  <c r="Q72" i="30"/>
  <c r="S72" i="30"/>
  <c r="Q73" i="30"/>
  <c r="S69" i="30"/>
  <c r="Q69" i="30"/>
  <c r="Q71" i="29"/>
  <c r="R71" i="29"/>
  <c r="S71" i="29"/>
  <c r="T71" i="29"/>
  <c r="U71" i="29"/>
  <c r="Q72" i="29"/>
  <c r="R72" i="29"/>
  <c r="S72" i="29"/>
  <c r="T72" i="29"/>
  <c r="U72" i="29"/>
  <c r="Q73" i="29"/>
  <c r="R73" i="29"/>
  <c r="S73" i="29"/>
  <c r="T73" i="29"/>
  <c r="U73" i="29"/>
  <c r="Q74" i="29"/>
  <c r="R74" i="29"/>
  <c r="S74" i="29"/>
  <c r="T74" i="29"/>
  <c r="U74" i="29"/>
  <c r="R70" i="29"/>
  <c r="S70" i="29"/>
  <c r="T70" i="29"/>
  <c r="U70" i="29"/>
  <c r="Q70" i="29"/>
  <c r="Q71" i="28"/>
  <c r="R71" i="28"/>
  <c r="S71" i="28"/>
  <c r="T71" i="28"/>
  <c r="U71" i="28"/>
  <c r="Q72" i="28"/>
  <c r="R72" i="28"/>
  <c r="S72" i="28"/>
  <c r="T72" i="28"/>
  <c r="U72" i="28"/>
  <c r="Q73" i="28"/>
  <c r="R73" i="28"/>
  <c r="S73" i="28"/>
  <c r="T73" i="28"/>
  <c r="U73" i="28"/>
  <c r="Q74" i="28"/>
  <c r="R74" i="28"/>
  <c r="S74" i="28"/>
  <c r="T74" i="28"/>
  <c r="U74" i="28"/>
  <c r="R70" i="28"/>
  <c r="S70" i="28"/>
  <c r="T70" i="28"/>
  <c r="U70" i="28"/>
  <c r="Q70" i="28"/>
  <c r="Q71" i="27"/>
  <c r="R71" i="27"/>
  <c r="S71" i="27"/>
  <c r="T71" i="27"/>
  <c r="Q72" i="27"/>
  <c r="R72" i="27"/>
  <c r="S72" i="27"/>
  <c r="T72" i="27"/>
  <c r="Q73" i="27"/>
  <c r="R73" i="27"/>
  <c r="S73" i="27"/>
  <c r="T73" i="27"/>
  <c r="Q74" i="27"/>
  <c r="R74" i="27"/>
  <c r="S74" i="27"/>
  <c r="T74" i="27"/>
  <c r="R70" i="27"/>
  <c r="S70" i="27"/>
  <c r="T70" i="27"/>
  <c r="Q70" i="27"/>
  <c r="Q72" i="26"/>
  <c r="Q73" i="26"/>
  <c r="S73" i="26"/>
  <c r="Q74" i="26"/>
  <c r="Q75" i="26"/>
  <c r="S71" i="26"/>
  <c r="Q71" i="26"/>
  <c r="Q71" i="25"/>
  <c r="R71" i="25"/>
  <c r="S71" i="25"/>
  <c r="T71" i="25"/>
  <c r="U71" i="25"/>
  <c r="Q72" i="25"/>
  <c r="R72" i="25"/>
  <c r="S72" i="25"/>
  <c r="T72" i="25"/>
  <c r="U72" i="25"/>
  <c r="Q73" i="25"/>
  <c r="R73" i="25"/>
  <c r="S73" i="25"/>
  <c r="T73" i="25"/>
  <c r="U73" i="25"/>
  <c r="Q74" i="25"/>
  <c r="R74" i="25"/>
  <c r="S74" i="25"/>
  <c r="T74" i="25"/>
  <c r="U74" i="25"/>
  <c r="R70" i="25"/>
  <c r="S70" i="25"/>
  <c r="T70" i="25"/>
  <c r="U70" i="25"/>
  <c r="Q70" i="25"/>
  <c r="S70" i="9"/>
  <c r="R70" i="9"/>
  <c r="Q70" i="9"/>
  <c r="S32" i="9"/>
  <c r="R7" i="9"/>
  <c r="Q26" i="34"/>
  <c r="Q30" i="33"/>
  <c r="Q24" i="32"/>
  <c r="Q26" i="31"/>
  <c r="Q24" i="30"/>
  <c r="Q30" i="29"/>
  <c r="R30" i="29"/>
  <c r="Q32" i="28"/>
  <c r="R32" i="28"/>
  <c r="R19" i="26"/>
  <c r="S7" i="26"/>
  <c r="S7" i="27"/>
  <c r="R8" i="27"/>
  <c r="S8" i="27"/>
  <c r="R9" i="27"/>
  <c r="R30" i="27" s="1"/>
  <c r="S9" i="27"/>
  <c r="R10" i="27"/>
  <c r="S10" i="27"/>
  <c r="R11" i="27"/>
  <c r="S11" i="27"/>
  <c r="T11" i="27"/>
  <c r="R12" i="27"/>
  <c r="S12" i="27"/>
  <c r="R13" i="27"/>
  <c r="S13" i="27"/>
  <c r="R14" i="27"/>
  <c r="S14" i="27"/>
  <c r="R15" i="27"/>
  <c r="S15" i="27"/>
  <c r="R16" i="27"/>
  <c r="S16" i="27"/>
  <c r="R17" i="27"/>
  <c r="R18" i="27"/>
  <c r="S18" i="27"/>
  <c r="R19" i="27"/>
  <c r="S19" i="27"/>
  <c r="R20" i="27"/>
  <c r="S20" i="27"/>
  <c r="R21" i="27"/>
  <c r="S21" i="27"/>
  <c r="T21" i="27"/>
  <c r="R22" i="27"/>
  <c r="S22" i="27"/>
  <c r="R23" i="27"/>
  <c r="S23" i="27"/>
  <c r="R24" i="27"/>
  <c r="S24" i="27"/>
  <c r="R25" i="27"/>
  <c r="S25" i="27"/>
  <c r="R26" i="27"/>
  <c r="S26" i="27"/>
  <c r="R27" i="27"/>
  <c r="S27" i="27"/>
  <c r="T27" i="27"/>
  <c r="R28" i="27"/>
  <c r="S28" i="27"/>
  <c r="R29" i="27"/>
  <c r="S29" i="27"/>
  <c r="R7" i="27"/>
  <c r="R8" i="28"/>
  <c r="S8" i="28"/>
  <c r="R9" i="28"/>
  <c r="S9" i="28"/>
  <c r="R10" i="28"/>
  <c r="S10" i="28"/>
  <c r="R11" i="28"/>
  <c r="S11" i="28"/>
  <c r="R12" i="28"/>
  <c r="S12" i="28"/>
  <c r="R13" i="28"/>
  <c r="S13" i="28"/>
  <c r="R14" i="28"/>
  <c r="S14" i="28"/>
  <c r="R15" i="28"/>
  <c r="S15" i="28"/>
  <c r="R16" i="28"/>
  <c r="S16" i="28"/>
  <c r="R17" i="28"/>
  <c r="S17" i="28"/>
  <c r="R18" i="28"/>
  <c r="S18" i="28"/>
  <c r="R19" i="28"/>
  <c r="S19" i="28"/>
  <c r="R20" i="28"/>
  <c r="S20" i="28"/>
  <c r="R21" i="28"/>
  <c r="S21" i="28"/>
  <c r="R22" i="28"/>
  <c r="S22" i="28"/>
  <c r="R23" i="28"/>
  <c r="S23" i="28"/>
  <c r="R24" i="28"/>
  <c r="S24" i="28"/>
  <c r="R25" i="28"/>
  <c r="S25" i="28"/>
  <c r="R26" i="28"/>
  <c r="S26" i="28"/>
  <c r="R27" i="28"/>
  <c r="S27" i="28"/>
  <c r="R28" i="28"/>
  <c r="S28" i="28"/>
  <c r="R29" i="28"/>
  <c r="S29" i="28"/>
  <c r="R30" i="28"/>
  <c r="S30" i="28"/>
  <c r="R31" i="28"/>
  <c r="S31" i="28"/>
  <c r="S7" i="28"/>
  <c r="R7" i="28"/>
  <c r="R8" i="29"/>
  <c r="S8" i="29"/>
  <c r="R9" i="29"/>
  <c r="S9" i="29"/>
  <c r="R10" i="29"/>
  <c r="S10" i="29"/>
  <c r="R11" i="29"/>
  <c r="S11" i="29"/>
  <c r="R12" i="29"/>
  <c r="S12" i="29"/>
  <c r="R13" i="29"/>
  <c r="S13" i="29"/>
  <c r="R14" i="29"/>
  <c r="S14" i="29"/>
  <c r="R15" i="29"/>
  <c r="S15" i="29"/>
  <c r="R16" i="29"/>
  <c r="S16" i="29"/>
  <c r="R17" i="29"/>
  <c r="S17" i="29"/>
  <c r="R18" i="29"/>
  <c r="S18" i="29"/>
  <c r="R19" i="29"/>
  <c r="S19" i="29"/>
  <c r="R20" i="29"/>
  <c r="S20" i="29"/>
  <c r="R21" i="29"/>
  <c r="S21" i="29"/>
  <c r="R22" i="29"/>
  <c r="S22" i="29"/>
  <c r="R23" i="29"/>
  <c r="S23" i="29"/>
  <c r="R24" i="29"/>
  <c r="S24" i="29"/>
  <c r="R25" i="29"/>
  <c r="S25" i="29"/>
  <c r="R26" i="29"/>
  <c r="S26" i="29"/>
  <c r="R27" i="29"/>
  <c r="S27" i="29"/>
  <c r="R28" i="29"/>
  <c r="S28" i="29"/>
  <c r="R29" i="29"/>
  <c r="S29" i="29"/>
  <c r="S7" i="29"/>
  <c r="R7" i="29"/>
  <c r="R8" i="30"/>
  <c r="R70" i="30" s="1"/>
  <c r="S8" i="30"/>
  <c r="S70" i="30" s="1"/>
  <c r="R9" i="30"/>
  <c r="R71" i="30" s="1"/>
  <c r="S9" i="30"/>
  <c r="R10" i="30"/>
  <c r="R72" i="30" s="1"/>
  <c r="S10" i="30"/>
  <c r="R11" i="30"/>
  <c r="R73" i="30" s="1"/>
  <c r="S11" i="30"/>
  <c r="S73" i="30" s="1"/>
  <c r="R12" i="30"/>
  <c r="S12" i="30"/>
  <c r="R13" i="30"/>
  <c r="S13" i="30"/>
  <c r="R14" i="30"/>
  <c r="S14" i="30"/>
  <c r="R15" i="30"/>
  <c r="S15" i="30"/>
  <c r="R16" i="30"/>
  <c r="S16" i="30"/>
  <c r="R17" i="30"/>
  <c r="S17" i="30"/>
  <c r="R18" i="30"/>
  <c r="S18" i="30"/>
  <c r="R19" i="30"/>
  <c r="S19" i="30"/>
  <c r="R20" i="30"/>
  <c r="S20" i="30"/>
  <c r="R21" i="30"/>
  <c r="S21" i="30"/>
  <c r="R22" i="30"/>
  <c r="S22" i="30"/>
  <c r="R23" i="30"/>
  <c r="S23" i="30"/>
  <c r="S7" i="30"/>
  <c r="R7" i="30"/>
  <c r="R24" i="30" s="1"/>
  <c r="R8" i="31"/>
  <c r="R71" i="31" s="1"/>
  <c r="S8" i="31"/>
  <c r="S71" i="31" s="1"/>
  <c r="R9" i="31"/>
  <c r="R26" i="31" s="1"/>
  <c r="S9" i="31"/>
  <c r="R10" i="31"/>
  <c r="R73" i="31" s="1"/>
  <c r="S10" i="31"/>
  <c r="S73" i="31" s="1"/>
  <c r="R11" i="31"/>
  <c r="R74" i="31" s="1"/>
  <c r="S11" i="31"/>
  <c r="S74" i="31" s="1"/>
  <c r="R12" i="31"/>
  <c r="S12" i="31"/>
  <c r="R13" i="31"/>
  <c r="S13" i="31"/>
  <c r="R14" i="31"/>
  <c r="S14" i="31"/>
  <c r="R15" i="31"/>
  <c r="S15" i="31"/>
  <c r="R16" i="31"/>
  <c r="S16" i="31"/>
  <c r="R17" i="31"/>
  <c r="S17" i="31"/>
  <c r="R18" i="31"/>
  <c r="S18" i="31"/>
  <c r="R19" i="31"/>
  <c r="S19" i="31"/>
  <c r="R20" i="31"/>
  <c r="S20" i="31"/>
  <c r="R21" i="31"/>
  <c r="S21" i="31"/>
  <c r="R22" i="31"/>
  <c r="S22" i="31"/>
  <c r="R23" i="31"/>
  <c r="S23" i="31"/>
  <c r="R24" i="31"/>
  <c r="S24" i="31"/>
  <c r="R25" i="31"/>
  <c r="S25" i="31"/>
  <c r="S7" i="31"/>
  <c r="S70" i="31" s="1"/>
  <c r="R7" i="31"/>
  <c r="R70" i="31" s="1"/>
  <c r="R8" i="32"/>
  <c r="S8" i="32"/>
  <c r="S72" i="32" s="1"/>
  <c r="R9" i="32"/>
  <c r="R73" i="32" s="1"/>
  <c r="S9" i="32"/>
  <c r="R10" i="32"/>
  <c r="R74" i="32" s="1"/>
  <c r="S10" i="32"/>
  <c r="S74" i="32" s="1"/>
  <c r="R11" i="32"/>
  <c r="R75" i="32" s="1"/>
  <c r="S11" i="32"/>
  <c r="R12" i="32"/>
  <c r="S12" i="32"/>
  <c r="R13" i="32"/>
  <c r="S13" i="32"/>
  <c r="R14" i="32"/>
  <c r="S14" i="32"/>
  <c r="R15" i="32"/>
  <c r="S15" i="32"/>
  <c r="R16" i="32"/>
  <c r="S16" i="32"/>
  <c r="R17" i="32"/>
  <c r="S17" i="32"/>
  <c r="R18" i="32"/>
  <c r="S18" i="32"/>
  <c r="R19" i="32"/>
  <c r="S19" i="32"/>
  <c r="R20" i="32"/>
  <c r="S20" i="32"/>
  <c r="R21" i="32"/>
  <c r="S21" i="32"/>
  <c r="R22" i="32"/>
  <c r="S22" i="32"/>
  <c r="S7" i="32"/>
  <c r="R7" i="32"/>
  <c r="R71" i="32" s="1"/>
  <c r="R8" i="33"/>
  <c r="R72" i="33" s="1"/>
  <c r="S8" i="33"/>
  <c r="R9" i="33"/>
  <c r="R73" i="33" s="1"/>
  <c r="S9" i="33"/>
  <c r="R10" i="33"/>
  <c r="R74" i="33" s="1"/>
  <c r="S10" i="33"/>
  <c r="S74" i="33" s="1"/>
  <c r="R11" i="33"/>
  <c r="S11" i="33"/>
  <c r="S75" i="33" s="1"/>
  <c r="R12" i="33"/>
  <c r="S12" i="33"/>
  <c r="R13" i="33"/>
  <c r="S13" i="33"/>
  <c r="R14" i="33"/>
  <c r="S14" i="33"/>
  <c r="R15" i="33"/>
  <c r="S15" i="33"/>
  <c r="R16" i="33"/>
  <c r="S16" i="33"/>
  <c r="R17" i="33"/>
  <c r="S17" i="33"/>
  <c r="R18" i="33"/>
  <c r="S18" i="33"/>
  <c r="R19" i="33"/>
  <c r="S19" i="33"/>
  <c r="R20" i="33"/>
  <c r="S20" i="33"/>
  <c r="R21" i="33"/>
  <c r="S21" i="33"/>
  <c r="R22" i="33"/>
  <c r="S22" i="33"/>
  <c r="R23" i="33"/>
  <c r="S23" i="33"/>
  <c r="R24" i="33"/>
  <c r="S24" i="33"/>
  <c r="R25" i="33"/>
  <c r="S25" i="33"/>
  <c r="R26" i="33"/>
  <c r="S26" i="33"/>
  <c r="R27" i="33"/>
  <c r="S27" i="33"/>
  <c r="R28" i="33"/>
  <c r="S28" i="33"/>
  <c r="S7" i="33"/>
  <c r="S71" i="33" s="1"/>
  <c r="R7" i="33"/>
  <c r="R71" i="33" s="1"/>
  <c r="R8" i="34"/>
  <c r="R71" i="34" s="1"/>
  <c r="S8" i="34"/>
  <c r="S71" i="34" s="1"/>
  <c r="R9" i="34"/>
  <c r="R72" i="34" s="1"/>
  <c r="S9" i="34"/>
  <c r="S72" i="34" s="1"/>
  <c r="R10" i="34"/>
  <c r="R73" i="34" s="1"/>
  <c r="S10" i="34"/>
  <c r="S73" i="34" s="1"/>
  <c r="R11" i="34"/>
  <c r="R74" i="34" s="1"/>
  <c r="S11" i="34"/>
  <c r="S74" i="34" s="1"/>
  <c r="R12" i="34"/>
  <c r="S12" i="34"/>
  <c r="R13" i="34"/>
  <c r="S13" i="34"/>
  <c r="R14" i="34"/>
  <c r="S14" i="34"/>
  <c r="R15" i="34"/>
  <c r="S15" i="34"/>
  <c r="R16" i="34"/>
  <c r="S16" i="34"/>
  <c r="R17" i="34"/>
  <c r="S17" i="34"/>
  <c r="R18" i="34"/>
  <c r="S18" i="34"/>
  <c r="R19" i="34"/>
  <c r="S19" i="34"/>
  <c r="R20" i="34"/>
  <c r="S20" i="34"/>
  <c r="R21" i="34"/>
  <c r="S21" i="34"/>
  <c r="R22" i="34"/>
  <c r="S22" i="34"/>
  <c r="R23" i="34"/>
  <c r="S23" i="34"/>
  <c r="R24" i="34"/>
  <c r="S24" i="34"/>
  <c r="R25" i="34"/>
  <c r="S25" i="34"/>
  <c r="S7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U7" i="34" s="1"/>
  <c r="U70" i="34" s="1"/>
  <c r="C30" i="33"/>
  <c r="T8" i="33" s="1"/>
  <c r="T72" i="33" s="1"/>
  <c r="D30" i="33"/>
  <c r="E30" i="33"/>
  <c r="F30" i="33"/>
  <c r="G30" i="33"/>
  <c r="H30" i="33"/>
  <c r="I30" i="33"/>
  <c r="J30" i="33"/>
  <c r="K30" i="33"/>
  <c r="L30" i="33"/>
  <c r="M30" i="33"/>
  <c r="N30" i="33"/>
  <c r="O30" i="33"/>
  <c r="C24" i="32"/>
  <c r="T14" i="32" s="1"/>
  <c r="D24" i="32"/>
  <c r="E24" i="32"/>
  <c r="F24" i="32"/>
  <c r="G24" i="32"/>
  <c r="H24" i="32"/>
  <c r="I24" i="32"/>
  <c r="J24" i="32"/>
  <c r="K24" i="32"/>
  <c r="L24" i="32"/>
  <c r="M24" i="32"/>
  <c r="N24" i="32"/>
  <c r="O24" i="32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C30" i="27"/>
  <c r="T15" i="27" s="1"/>
  <c r="D30" i="27"/>
  <c r="E30" i="27"/>
  <c r="F30" i="27"/>
  <c r="G30" i="27"/>
  <c r="H30" i="27"/>
  <c r="I30" i="27"/>
  <c r="J30" i="27"/>
  <c r="K30" i="27"/>
  <c r="L30" i="27"/>
  <c r="M30" i="27"/>
  <c r="N30" i="27"/>
  <c r="O30" i="27"/>
  <c r="U7" i="9"/>
  <c r="U70" i="9" s="1"/>
  <c r="C32" i="28"/>
  <c r="T15" i="28" s="1"/>
  <c r="D32" i="28"/>
  <c r="E32" i="28"/>
  <c r="F32" i="28"/>
  <c r="G32" i="28"/>
  <c r="H32" i="28"/>
  <c r="I32" i="28"/>
  <c r="J32" i="28"/>
  <c r="K32" i="28"/>
  <c r="L32" i="28"/>
  <c r="M32" i="28"/>
  <c r="N32" i="28"/>
  <c r="O32" i="28"/>
  <c r="Q30" i="27"/>
  <c r="Q20" i="26"/>
  <c r="Q24" i="25"/>
  <c r="Q75" i="9"/>
  <c r="Q71" i="9"/>
  <c r="Q72" i="9"/>
  <c r="Q73" i="9"/>
  <c r="Q74" i="9"/>
  <c r="R71" i="9"/>
  <c r="R72" i="9"/>
  <c r="R73" i="9"/>
  <c r="R74" i="9"/>
  <c r="S71" i="9"/>
  <c r="S72" i="9"/>
  <c r="S73" i="9"/>
  <c r="S74" i="9"/>
  <c r="T70" i="9"/>
  <c r="T71" i="9"/>
  <c r="T72" i="9"/>
  <c r="T73" i="9"/>
  <c r="T74" i="9"/>
  <c r="D4" i="32"/>
  <c r="C75" i="9"/>
  <c r="R33" i="9"/>
  <c r="P30" i="33"/>
  <c r="U7" i="33" s="1"/>
  <c r="P24" i="32"/>
  <c r="U8" i="32" s="1"/>
  <c r="U72" i="32" s="1"/>
  <c r="P26" i="31"/>
  <c r="U8" i="31" s="1"/>
  <c r="U71" i="31" s="1"/>
  <c r="P24" i="30"/>
  <c r="U8" i="30" s="1"/>
  <c r="P30" i="29"/>
  <c r="U8" i="29" s="1"/>
  <c r="P32" i="28"/>
  <c r="U7" i="28" s="1"/>
  <c r="P30" i="27"/>
  <c r="U9" i="27" s="1"/>
  <c r="U72" i="27" s="1"/>
  <c r="C20" i="26"/>
  <c r="T11" i="26" s="1"/>
  <c r="T75" i="26" s="1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U8" i="26" s="1"/>
  <c r="U72" i="26" s="1"/>
  <c r="S21" i="25"/>
  <c r="R21" i="25"/>
  <c r="R8" i="9"/>
  <c r="S8" i="9"/>
  <c r="R9" i="9"/>
  <c r="S9" i="9"/>
  <c r="R10" i="9"/>
  <c r="S10" i="9"/>
  <c r="R11" i="9"/>
  <c r="S1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29" i="9"/>
  <c r="S29" i="9"/>
  <c r="R30" i="9"/>
  <c r="S30" i="9"/>
  <c r="R31" i="9"/>
  <c r="S31" i="9"/>
  <c r="R32" i="9"/>
  <c r="R8" i="25"/>
  <c r="S8" i="25"/>
  <c r="R9" i="25"/>
  <c r="S9" i="25"/>
  <c r="R10" i="25"/>
  <c r="S10" i="25"/>
  <c r="R11" i="25"/>
  <c r="S11" i="25"/>
  <c r="R12" i="25"/>
  <c r="S12" i="25"/>
  <c r="R13" i="25"/>
  <c r="S13" i="25"/>
  <c r="R14" i="25"/>
  <c r="S14" i="25"/>
  <c r="R15" i="25"/>
  <c r="S15" i="25"/>
  <c r="R16" i="25"/>
  <c r="S16" i="25"/>
  <c r="R17" i="25"/>
  <c r="S17" i="25"/>
  <c r="R18" i="25"/>
  <c r="S18" i="25"/>
  <c r="R19" i="25"/>
  <c r="S19" i="25"/>
  <c r="R20" i="25"/>
  <c r="S20" i="25"/>
  <c r="R22" i="25"/>
  <c r="S22" i="25"/>
  <c r="R23" i="25"/>
  <c r="S23" i="25"/>
  <c r="R8" i="26"/>
  <c r="R72" i="26" s="1"/>
  <c r="S8" i="26"/>
  <c r="S72" i="26" s="1"/>
  <c r="R9" i="26"/>
  <c r="R73" i="26" s="1"/>
  <c r="S9" i="26"/>
  <c r="R10" i="26"/>
  <c r="R74" i="26" s="1"/>
  <c r="S10" i="26"/>
  <c r="S74" i="26" s="1"/>
  <c r="R11" i="26"/>
  <c r="R75" i="26" s="1"/>
  <c r="S11" i="26"/>
  <c r="S75" i="26" s="1"/>
  <c r="R12" i="26"/>
  <c r="S12" i="26"/>
  <c r="R13" i="26"/>
  <c r="S13" i="26"/>
  <c r="R14" i="26"/>
  <c r="S14" i="26"/>
  <c r="R15" i="26"/>
  <c r="S15" i="26"/>
  <c r="R16" i="26"/>
  <c r="S16" i="26"/>
  <c r="R17" i="26"/>
  <c r="S17" i="26"/>
  <c r="R18" i="26"/>
  <c r="S18" i="26"/>
  <c r="R7" i="26"/>
  <c r="R71" i="26" s="1"/>
  <c r="S7" i="25"/>
  <c r="R7" i="25"/>
  <c r="R24" i="25" s="1"/>
  <c r="R7" i="34"/>
  <c r="R70" i="34" s="1"/>
  <c r="S7" i="9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U20" i="25" s="1"/>
  <c r="D68" i="34"/>
  <c r="E68" i="34"/>
  <c r="F68" i="34"/>
  <c r="G68" i="34"/>
  <c r="H68" i="34"/>
  <c r="I68" i="34"/>
  <c r="J68" i="34"/>
  <c r="K68" i="34"/>
  <c r="L68" i="34"/>
  <c r="M68" i="34"/>
  <c r="N68" i="34"/>
  <c r="O68" i="34"/>
  <c r="D4" i="34"/>
  <c r="E4" i="34"/>
  <c r="F4" i="34"/>
  <c r="G4" i="34"/>
  <c r="H4" i="34"/>
  <c r="I4" i="34"/>
  <c r="J4" i="34"/>
  <c r="K4" i="34"/>
  <c r="L4" i="34"/>
  <c r="M4" i="34"/>
  <c r="N4" i="34"/>
  <c r="O4" i="34"/>
  <c r="D69" i="33"/>
  <c r="E69" i="33"/>
  <c r="F69" i="33"/>
  <c r="G69" i="33"/>
  <c r="H69" i="33"/>
  <c r="I69" i="33"/>
  <c r="J69" i="33"/>
  <c r="K69" i="33"/>
  <c r="L69" i="33"/>
  <c r="M69" i="33"/>
  <c r="N69" i="33"/>
  <c r="O69" i="33"/>
  <c r="D4" i="33"/>
  <c r="E4" i="33"/>
  <c r="F4" i="33"/>
  <c r="G4" i="33"/>
  <c r="H4" i="33"/>
  <c r="I4" i="33"/>
  <c r="J4" i="33"/>
  <c r="K4" i="33"/>
  <c r="L4" i="33"/>
  <c r="M4" i="33"/>
  <c r="N4" i="33"/>
  <c r="O4" i="33"/>
  <c r="D69" i="32"/>
  <c r="E69" i="32"/>
  <c r="F69" i="32"/>
  <c r="G69" i="32"/>
  <c r="H69" i="32"/>
  <c r="I69" i="32"/>
  <c r="J69" i="32"/>
  <c r="K69" i="32"/>
  <c r="L69" i="32"/>
  <c r="M69" i="32"/>
  <c r="N69" i="32"/>
  <c r="O69" i="32"/>
  <c r="E4" i="32"/>
  <c r="F4" i="32"/>
  <c r="G4" i="32"/>
  <c r="H4" i="32"/>
  <c r="I4" i="32"/>
  <c r="J4" i="32"/>
  <c r="K4" i="32"/>
  <c r="L4" i="32"/>
  <c r="M4" i="32"/>
  <c r="N4" i="32"/>
  <c r="O4" i="32"/>
  <c r="D68" i="31"/>
  <c r="E68" i="31"/>
  <c r="F68" i="31"/>
  <c r="G68" i="31"/>
  <c r="H68" i="31"/>
  <c r="I68" i="31"/>
  <c r="J68" i="31"/>
  <c r="K68" i="31"/>
  <c r="L68" i="31"/>
  <c r="M68" i="31"/>
  <c r="N68" i="31"/>
  <c r="O68" i="31"/>
  <c r="D4" i="31"/>
  <c r="E4" i="31"/>
  <c r="F4" i="31"/>
  <c r="G4" i="31"/>
  <c r="H4" i="31"/>
  <c r="I4" i="31"/>
  <c r="J4" i="31"/>
  <c r="K4" i="31"/>
  <c r="L4" i="31"/>
  <c r="M4" i="31"/>
  <c r="N4" i="31"/>
  <c r="O4" i="31"/>
  <c r="D67" i="30"/>
  <c r="E67" i="30"/>
  <c r="F67" i="30"/>
  <c r="G67" i="30"/>
  <c r="H67" i="30"/>
  <c r="I67" i="30"/>
  <c r="J67" i="30"/>
  <c r="K67" i="30"/>
  <c r="L67" i="30"/>
  <c r="M67" i="30"/>
  <c r="N67" i="30"/>
  <c r="O67" i="30"/>
  <c r="D4" i="30"/>
  <c r="E4" i="30"/>
  <c r="F4" i="30"/>
  <c r="G4" i="30"/>
  <c r="H4" i="30"/>
  <c r="I4" i="30"/>
  <c r="J4" i="30"/>
  <c r="K4" i="30"/>
  <c r="L4" i="30"/>
  <c r="M4" i="30"/>
  <c r="N4" i="30"/>
  <c r="O4" i="30"/>
  <c r="D68" i="29"/>
  <c r="E68" i="29"/>
  <c r="F68" i="29"/>
  <c r="G68" i="29"/>
  <c r="H68" i="29"/>
  <c r="I68" i="29"/>
  <c r="J68" i="29"/>
  <c r="K68" i="29"/>
  <c r="L68" i="29"/>
  <c r="M68" i="29"/>
  <c r="N68" i="29"/>
  <c r="O68" i="29"/>
  <c r="D4" i="29"/>
  <c r="E4" i="29"/>
  <c r="F4" i="29"/>
  <c r="G4" i="29"/>
  <c r="H4" i="29"/>
  <c r="I4" i="29"/>
  <c r="J4" i="29"/>
  <c r="K4" i="29"/>
  <c r="L4" i="29"/>
  <c r="M4" i="29"/>
  <c r="N4" i="29"/>
  <c r="O4" i="29"/>
  <c r="D68" i="28"/>
  <c r="E68" i="28"/>
  <c r="F68" i="28"/>
  <c r="G68" i="28"/>
  <c r="H68" i="28"/>
  <c r="I68" i="28"/>
  <c r="J68" i="28"/>
  <c r="K68" i="28"/>
  <c r="L68" i="28"/>
  <c r="M68" i="28"/>
  <c r="N68" i="28"/>
  <c r="O68" i="28"/>
  <c r="D4" i="28"/>
  <c r="E4" i="28"/>
  <c r="F4" i="28"/>
  <c r="G4" i="28"/>
  <c r="H4" i="28"/>
  <c r="I4" i="28"/>
  <c r="J4" i="28"/>
  <c r="K4" i="28"/>
  <c r="L4" i="28"/>
  <c r="M4" i="28"/>
  <c r="N4" i="28"/>
  <c r="O4" i="28"/>
  <c r="D4" i="27"/>
  <c r="D68" i="27" s="1"/>
  <c r="E4" i="27"/>
  <c r="E68" i="27" s="1"/>
  <c r="F4" i="27"/>
  <c r="F68" i="27" s="1"/>
  <c r="G4" i="27"/>
  <c r="G68" i="27" s="1"/>
  <c r="H4" i="27"/>
  <c r="H68" i="27" s="1"/>
  <c r="I4" i="27"/>
  <c r="I68" i="27" s="1"/>
  <c r="J4" i="27"/>
  <c r="J68" i="27" s="1"/>
  <c r="K4" i="27"/>
  <c r="K68" i="27" s="1"/>
  <c r="L4" i="27"/>
  <c r="L68" i="27" s="1"/>
  <c r="M4" i="27"/>
  <c r="M68" i="27" s="1"/>
  <c r="N4" i="27"/>
  <c r="N68" i="27" s="1"/>
  <c r="O4" i="27"/>
  <c r="O68" i="27" s="1"/>
  <c r="E69" i="26"/>
  <c r="F69" i="26"/>
  <c r="G69" i="26"/>
  <c r="H69" i="26"/>
  <c r="J69" i="26"/>
  <c r="K69" i="26"/>
  <c r="L69" i="26"/>
  <c r="M69" i="26"/>
  <c r="N69" i="26"/>
  <c r="O69" i="26"/>
  <c r="D4" i="26"/>
  <c r="D69" i="26" s="1"/>
  <c r="I4" i="26"/>
  <c r="I69" i="26" s="1"/>
  <c r="AA69" i="9"/>
  <c r="AB69" i="9"/>
  <c r="D68" i="9"/>
  <c r="K4" i="3"/>
  <c r="K16" i="3"/>
  <c r="K15" i="3"/>
  <c r="K14" i="3"/>
  <c r="K13" i="3"/>
  <c r="K12" i="3"/>
  <c r="K11" i="3"/>
  <c r="K10" i="3"/>
  <c r="K9" i="3"/>
  <c r="K8" i="3"/>
  <c r="K7" i="3"/>
  <c r="K6" i="3"/>
  <c r="K5" i="3"/>
  <c r="J4" i="3"/>
  <c r="C34" i="9"/>
  <c r="T33" i="9" s="1"/>
  <c r="D34" i="9"/>
  <c r="E34" i="9"/>
  <c r="F34" i="9"/>
  <c r="G34" i="9"/>
  <c r="H34" i="9"/>
  <c r="I34" i="9"/>
  <c r="J34" i="9"/>
  <c r="K34" i="9"/>
  <c r="L34" i="9"/>
  <c r="M34" i="9"/>
  <c r="N34" i="9"/>
  <c r="O34" i="9"/>
  <c r="U13" i="9"/>
  <c r="U49" i="2"/>
  <c r="U50" i="2"/>
  <c r="U51" i="2"/>
  <c r="U48" i="2"/>
  <c r="H31" i="3"/>
  <c r="S44" i="2" s="1"/>
  <c r="I31" i="3"/>
  <c r="C70" i="25"/>
  <c r="B177" i="8"/>
  <c r="V49" i="2"/>
  <c r="V50" i="2"/>
  <c r="V51" i="2"/>
  <c r="V48" i="2"/>
  <c r="A68" i="9"/>
  <c r="P68" i="9"/>
  <c r="R26" i="34" l="1"/>
  <c r="R30" i="33"/>
  <c r="R24" i="32"/>
  <c r="R72" i="31"/>
  <c r="R69" i="30"/>
  <c r="T17" i="27"/>
  <c r="T23" i="27"/>
  <c r="T29" i="27"/>
  <c r="T13" i="27"/>
  <c r="T19" i="27"/>
  <c r="T25" i="27"/>
  <c r="T9" i="27"/>
  <c r="S30" i="27"/>
  <c r="S24" i="25"/>
  <c r="U24" i="34"/>
  <c r="U17" i="34"/>
  <c r="U9" i="34"/>
  <c r="U72" i="34" s="1"/>
  <c r="U19" i="34"/>
  <c r="U16" i="34"/>
  <c r="U25" i="34"/>
  <c r="U11" i="34"/>
  <c r="U74" i="34" s="1"/>
  <c r="U8" i="34"/>
  <c r="U22" i="34"/>
  <c r="U14" i="34"/>
  <c r="U21" i="34"/>
  <c r="U13" i="34"/>
  <c r="U18" i="34"/>
  <c r="U10" i="34"/>
  <c r="U73" i="34" s="1"/>
  <c r="U23" i="34"/>
  <c r="U15" i="34"/>
  <c r="U20" i="34"/>
  <c r="U12" i="34"/>
  <c r="T16" i="32"/>
  <c r="T20" i="32"/>
  <c r="T22" i="32"/>
  <c r="T12" i="32"/>
  <c r="T8" i="32"/>
  <c r="T72" i="32" s="1"/>
  <c r="U11" i="31"/>
  <c r="U74" i="31" s="1"/>
  <c r="U13" i="31"/>
  <c r="U19" i="31"/>
  <c r="U23" i="31"/>
  <c r="U25" i="31"/>
  <c r="U9" i="31"/>
  <c r="U72" i="31" s="1"/>
  <c r="U15" i="31"/>
  <c r="U21" i="31"/>
  <c r="U17" i="31"/>
  <c r="U11" i="30"/>
  <c r="U73" i="30" s="1"/>
  <c r="U21" i="30"/>
  <c r="U17" i="30"/>
  <c r="U23" i="30"/>
  <c r="U13" i="30"/>
  <c r="U19" i="30"/>
  <c r="U9" i="30"/>
  <c r="U71" i="30" s="1"/>
  <c r="U15" i="30"/>
  <c r="U25" i="29"/>
  <c r="U21" i="29"/>
  <c r="U9" i="29"/>
  <c r="U19" i="29"/>
  <c r="U27" i="29"/>
  <c r="U11" i="29"/>
  <c r="U17" i="29"/>
  <c r="U23" i="29"/>
  <c r="U29" i="29"/>
  <c r="U13" i="29"/>
  <c r="U15" i="29"/>
  <c r="U31" i="28"/>
  <c r="T13" i="28"/>
  <c r="U15" i="28"/>
  <c r="U22" i="28"/>
  <c r="T29" i="28"/>
  <c r="U27" i="28"/>
  <c r="T25" i="28"/>
  <c r="U18" i="28"/>
  <c r="U11" i="28"/>
  <c r="T9" i="28"/>
  <c r="U29" i="28"/>
  <c r="T27" i="28"/>
  <c r="U20" i="28"/>
  <c r="U13" i="28"/>
  <c r="T11" i="28"/>
  <c r="S32" i="28"/>
  <c r="T31" i="28"/>
  <c r="U24" i="28"/>
  <c r="U17" i="28"/>
  <c r="U8" i="28"/>
  <c r="U32" i="28" s="1"/>
  <c r="U26" i="28"/>
  <c r="U19" i="28"/>
  <c r="T17" i="28"/>
  <c r="U10" i="28"/>
  <c r="U28" i="28"/>
  <c r="U21" i="28"/>
  <c r="T19" i="28"/>
  <c r="U12" i="28"/>
  <c r="U30" i="28"/>
  <c r="U23" i="28"/>
  <c r="T21" i="28"/>
  <c r="U14" i="28"/>
  <c r="U25" i="28"/>
  <c r="T23" i="28"/>
  <c r="U16" i="28"/>
  <c r="U9" i="28"/>
  <c r="T7" i="33"/>
  <c r="T71" i="33" s="1"/>
  <c r="U19" i="32"/>
  <c r="U11" i="32"/>
  <c r="U75" i="32" s="1"/>
  <c r="U21" i="32"/>
  <c r="U13" i="32"/>
  <c r="T7" i="32"/>
  <c r="T71" i="32" s="1"/>
  <c r="T18" i="32"/>
  <c r="T10" i="32"/>
  <c r="T74" i="32" s="1"/>
  <c r="U7" i="32"/>
  <c r="U15" i="32"/>
  <c r="S24" i="32"/>
  <c r="U17" i="32"/>
  <c r="U9" i="32"/>
  <c r="U73" i="32" s="1"/>
  <c r="T7" i="26"/>
  <c r="T71" i="26" s="1"/>
  <c r="U7" i="26"/>
  <c r="U71" i="26" s="1"/>
  <c r="U28" i="27"/>
  <c r="U26" i="27"/>
  <c r="U24" i="27"/>
  <c r="U22" i="27"/>
  <c r="U20" i="27"/>
  <c r="U18" i="27"/>
  <c r="U16" i="27"/>
  <c r="U14" i="27"/>
  <c r="U12" i="27"/>
  <c r="U10" i="27"/>
  <c r="U73" i="27" s="1"/>
  <c r="U8" i="27"/>
  <c r="U71" i="27" s="1"/>
  <c r="T28" i="27"/>
  <c r="T26" i="27"/>
  <c r="T24" i="27"/>
  <c r="T22" i="27"/>
  <c r="T20" i="27"/>
  <c r="T18" i="27"/>
  <c r="T16" i="27"/>
  <c r="T14" i="27"/>
  <c r="T12" i="27"/>
  <c r="T10" i="27"/>
  <c r="T8" i="27"/>
  <c r="T7" i="27"/>
  <c r="U7" i="27"/>
  <c r="U70" i="27" s="1"/>
  <c r="U29" i="27"/>
  <c r="U27" i="27"/>
  <c r="U25" i="27"/>
  <c r="U23" i="27"/>
  <c r="U21" i="27"/>
  <c r="U19" i="27"/>
  <c r="U17" i="27"/>
  <c r="U15" i="27"/>
  <c r="U13" i="27"/>
  <c r="U11" i="27"/>
  <c r="U74" i="27" s="1"/>
  <c r="T7" i="28"/>
  <c r="T30" i="28"/>
  <c r="T28" i="28"/>
  <c r="T26" i="28"/>
  <c r="T24" i="28"/>
  <c r="T22" i="28"/>
  <c r="T20" i="28"/>
  <c r="T18" i="28"/>
  <c r="T16" i="28"/>
  <c r="T14" i="28"/>
  <c r="T12" i="28"/>
  <c r="T10" i="28"/>
  <c r="T8" i="28"/>
  <c r="T29" i="29"/>
  <c r="T27" i="29"/>
  <c r="T25" i="29"/>
  <c r="T23" i="29"/>
  <c r="T21" i="29"/>
  <c r="T19" i="29"/>
  <c r="T17" i="29"/>
  <c r="T15" i="29"/>
  <c r="T13" i="29"/>
  <c r="T11" i="29"/>
  <c r="T9" i="29"/>
  <c r="T7" i="29"/>
  <c r="U7" i="29"/>
  <c r="U28" i="29"/>
  <c r="U26" i="29"/>
  <c r="U24" i="29"/>
  <c r="U22" i="29"/>
  <c r="U20" i="29"/>
  <c r="U18" i="29"/>
  <c r="U16" i="29"/>
  <c r="U14" i="29"/>
  <c r="U12" i="29"/>
  <c r="U10" i="29"/>
  <c r="T28" i="29"/>
  <c r="T26" i="29"/>
  <c r="T24" i="29"/>
  <c r="T22" i="29"/>
  <c r="T20" i="29"/>
  <c r="T18" i="29"/>
  <c r="T16" i="29"/>
  <c r="T14" i="29"/>
  <c r="T12" i="29"/>
  <c r="T10" i="29"/>
  <c r="T8" i="29"/>
  <c r="S30" i="29"/>
  <c r="T23" i="30"/>
  <c r="T21" i="30"/>
  <c r="T19" i="30"/>
  <c r="T17" i="30"/>
  <c r="T15" i="30"/>
  <c r="T13" i="30"/>
  <c r="T11" i="30"/>
  <c r="T73" i="30" s="1"/>
  <c r="T9" i="30"/>
  <c r="T71" i="30" s="1"/>
  <c r="T7" i="30"/>
  <c r="T69" i="30" s="1"/>
  <c r="U7" i="30"/>
  <c r="U69" i="30" s="1"/>
  <c r="U22" i="30"/>
  <c r="U20" i="30"/>
  <c r="U18" i="30"/>
  <c r="U16" i="30"/>
  <c r="U14" i="30"/>
  <c r="U12" i="30"/>
  <c r="U10" i="30"/>
  <c r="U72" i="30" s="1"/>
  <c r="T22" i="30"/>
  <c r="T20" i="30"/>
  <c r="T18" i="30"/>
  <c r="T16" i="30"/>
  <c r="T14" i="30"/>
  <c r="T12" i="30"/>
  <c r="T10" i="30"/>
  <c r="T72" i="30" s="1"/>
  <c r="T8" i="30"/>
  <c r="T70" i="30" s="1"/>
  <c r="S24" i="30"/>
  <c r="T25" i="31"/>
  <c r="T23" i="31"/>
  <c r="T21" i="31"/>
  <c r="T19" i="31"/>
  <c r="T17" i="31"/>
  <c r="T15" i="31"/>
  <c r="T13" i="31"/>
  <c r="T11" i="31"/>
  <c r="T74" i="31" s="1"/>
  <c r="T9" i="31"/>
  <c r="T72" i="31" s="1"/>
  <c r="T7" i="31"/>
  <c r="T70" i="31" s="1"/>
  <c r="U7" i="31"/>
  <c r="U24" i="31"/>
  <c r="U22" i="31"/>
  <c r="U20" i="31"/>
  <c r="U18" i="31"/>
  <c r="U16" i="31"/>
  <c r="U14" i="31"/>
  <c r="U12" i="31"/>
  <c r="U10" i="31"/>
  <c r="U73" i="31" s="1"/>
  <c r="T24" i="31"/>
  <c r="T22" i="31"/>
  <c r="T20" i="31"/>
  <c r="T18" i="31"/>
  <c r="T16" i="31"/>
  <c r="T14" i="31"/>
  <c r="T12" i="31"/>
  <c r="T10" i="31"/>
  <c r="T73" i="31" s="1"/>
  <c r="T8" i="31"/>
  <c r="T71" i="31" s="1"/>
  <c r="S26" i="31"/>
  <c r="T21" i="32"/>
  <c r="T19" i="32"/>
  <c r="T17" i="32"/>
  <c r="T15" i="32"/>
  <c r="T13" i="32"/>
  <c r="T11" i="32"/>
  <c r="T75" i="32" s="1"/>
  <c r="T9" i="32"/>
  <c r="T73" i="32" s="1"/>
  <c r="U22" i="32"/>
  <c r="U20" i="32"/>
  <c r="U18" i="32"/>
  <c r="U16" i="32"/>
  <c r="U14" i="32"/>
  <c r="U12" i="32"/>
  <c r="U10" i="32"/>
  <c r="U74" i="32" s="1"/>
  <c r="U27" i="33"/>
  <c r="U9" i="33"/>
  <c r="U73" i="33" s="1"/>
  <c r="T27" i="33"/>
  <c r="T25" i="33"/>
  <c r="T23" i="33"/>
  <c r="T21" i="33"/>
  <c r="T19" i="33"/>
  <c r="T17" i="33"/>
  <c r="T15" i="33"/>
  <c r="T13" i="33"/>
  <c r="T11" i="33"/>
  <c r="T75" i="33" s="1"/>
  <c r="T9" i="33"/>
  <c r="T73" i="33" s="1"/>
  <c r="U25" i="33"/>
  <c r="U21" i="33"/>
  <c r="U11" i="33"/>
  <c r="U75" i="33" s="1"/>
  <c r="S30" i="33"/>
  <c r="U23" i="33"/>
  <c r="U19" i="33"/>
  <c r="U13" i="33"/>
  <c r="U17" i="33"/>
  <c r="U28" i="33"/>
  <c r="U26" i="33"/>
  <c r="U24" i="33"/>
  <c r="U22" i="33"/>
  <c r="U20" i="33"/>
  <c r="U18" i="33"/>
  <c r="U16" i="33"/>
  <c r="U14" i="33"/>
  <c r="U12" i="33"/>
  <c r="U10" i="33"/>
  <c r="U74" i="33" s="1"/>
  <c r="U8" i="33"/>
  <c r="U15" i="33"/>
  <c r="T28" i="33"/>
  <c r="T26" i="33"/>
  <c r="T24" i="33"/>
  <c r="T22" i="33"/>
  <c r="T20" i="33"/>
  <c r="T18" i="33"/>
  <c r="T16" i="33"/>
  <c r="T14" i="33"/>
  <c r="T12" i="33"/>
  <c r="T10" i="33"/>
  <c r="T74" i="33" s="1"/>
  <c r="T24" i="34"/>
  <c r="T22" i="34"/>
  <c r="T20" i="34"/>
  <c r="T18" i="34"/>
  <c r="T16" i="34"/>
  <c r="T14" i="34"/>
  <c r="T12" i="34"/>
  <c r="T10" i="34"/>
  <c r="T73" i="34" s="1"/>
  <c r="T8" i="34"/>
  <c r="T71" i="34" s="1"/>
  <c r="T7" i="34"/>
  <c r="T70" i="34" s="1"/>
  <c r="T25" i="34"/>
  <c r="T23" i="34"/>
  <c r="T21" i="34"/>
  <c r="T19" i="34"/>
  <c r="T17" i="34"/>
  <c r="T15" i="34"/>
  <c r="T13" i="34"/>
  <c r="T11" i="34"/>
  <c r="T74" i="34" s="1"/>
  <c r="T9" i="34"/>
  <c r="T72" i="34" s="1"/>
  <c r="S26" i="34"/>
  <c r="T18" i="26"/>
  <c r="T10" i="26"/>
  <c r="T74" i="26" s="1"/>
  <c r="T17" i="26"/>
  <c r="T8" i="26"/>
  <c r="T72" i="26" s="1"/>
  <c r="T15" i="26"/>
  <c r="T14" i="26"/>
  <c r="T9" i="26"/>
  <c r="T73" i="26" s="1"/>
  <c r="T16" i="26"/>
  <c r="T12" i="26"/>
  <c r="T13" i="26"/>
  <c r="U15" i="26"/>
  <c r="U14" i="26"/>
  <c r="U13" i="26"/>
  <c r="U12" i="26"/>
  <c r="U11" i="26"/>
  <c r="U75" i="26" s="1"/>
  <c r="U18" i="26"/>
  <c r="U10" i="26"/>
  <c r="U74" i="26" s="1"/>
  <c r="U17" i="26"/>
  <c r="U9" i="26"/>
  <c r="U73" i="26" s="1"/>
  <c r="U16" i="26"/>
  <c r="S20" i="26"/>
  <c r="R20" i="26"/>
  <c r="U33" i="9"/>
  <c r="U30" i="9"/>
  <c r="U14" i="9"/>
  <c r="U27" i="9"/>
  <c r="U10" i="9"/>
  <c r="U73" i="9" s="1"/>
  <c r="U26" i="9"/>
  <c r="U19" i="9"/>
  <c r="U22" i="9"/>
  <c r="T7" i="9"/>
  <c r="U18" i="9"/>
  <c r="U11" i="9"/>
  <c r="U74" i="9" s="1"/>
  <c r="U31" i="9"/>
  <c r="U23" i="9"/>
  <c r="U15" i="9"/>
  <c r="U28" i="9"/>
  <c r="U20" i="9"/>
  <c r="U12" i="9"/>
  <c r="U25" i="9"/>
  <c r="U17" i="9"/>
  <c r="U9" i="9"/>
  <c r="U72" i="9" s="1"/>
  <c r="U32" i="9"/>
  <c r="U24" i="9"/>
  <c r="U16" i="9"/>
  <c r="U8" i="9"/>
  <c r="U71" i="9" s="1"/>
  <c r="U29" i="9"/>
  <c r="U21" i="9"/>
  <c r="T31" i="9"/>
  <c r="T29" i="9"/>
  <c r="T27" i="9"/>
  <c r="T25" i="9"/>
  <c r="T23" i="9"/>
  <c r="T21" i="9"/>
  <c r="T19" i="9"/>
  <c r="T17" i="9"/>
  <c r="T15" i="9"/>
  <c r="T13" i="9"/>
  <c r="T11" i="9"/>
  <c r="T9" i="9"/>
  <c r="T32" i="9"/>
  <c r="T30" i="9"/>
  <c r="T28" i="9"/>
  <c r="T26" i="9"/>
  <c r="T24" i="9"/>
  <c r="T22" i="9"/>
  <c r="T20" i="9"/>
  <c r="T18" i="9"/>
  <c r="T16" i="9"/>
  <c r="T14" i="9"/>
  <c r="T12" i="9"/>
  <c r="T10" i="9"/>
  <c r="T8" i="9"/>
  <c r="U23" i="25"/>
  <c r="U12" i="25"/>
  <c r="U18" i="25"/>
  <c r="U8" i="25"/>
  <c r="U14" i="25"/>
  <c r="U21" i="25"/>
  <c r="U10" i="25"/>
  <c r="U16" i="25"/>
  <c r="T23" i="25"/>
  <c r="T21" i="25"/>
  <c r="T18" i="25"/>
  <c r="T16" i="25"/>
  <c r="T14" i="25"/>
  <c r="T12" i="25"/>
  <c r="T10" i="25"/>
  <c r="T8" i="25"/>
  <c r="U22" i="25"/>
  <c r="U19" i="25"/>
  <c r="U17" i="25"/>
  <c r="U15" i="25"/>
  <c r="U13" i="25"/>
  <c r="U11" i="25"/>
  <c r="U9" i="25"/>
  <c r="T22" i="25"/>
  <c r="T19" i="25"/>
  <c r="T17" i="25"/>
  <c r="T15" i="25"/>
  <c r="T13" i="25"/>
  <c r="T11" i="25"/>
  <c r="T9" i="25"/>
  <c r="T7" i="25"/>
  <c r="T20" i="25"/>
  <c r="U7" i="25"/>
  <c r="J31" i="3"/>
  <c r="K31" i="3"/>
  <c r="T44" i="2"/>
  <c r="U44" i="2" s="1"/>
  <c r="K17" i="3"/>
  <c r="K18" i="3"/>
  <c r="K19" i="3"/>
  <c r="K20" i="3"/>
  <c r="K21" i="3"/>
  <c r="K22" i="3"/>
  <c r="K24" i="3"/>
  <c r="K26" i="3"/>
  <c r="K27" i="3"/>
  <c r="K29" i="3"/>
  <c r="K30" i="3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A75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74" i="34"/>
  <c r="A74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73" i="34"/>
  <c r="A73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A72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C71" i="34"/>
  <c r="B71" i="34"/>
  <c r="A71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B70" i="34"/>
  <c r="A70" i="34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A76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A75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A74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A73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B72" i="33"/>
  <c r="A72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C71" i="33"/>
  <c r="B71" i="33"/>
  <c r="A71" i="33"/>
  <c r="P76" i="32"/>
  <c r="O76" i="32"/>
  <c r="N76" i="32"/>
  <c r="M76" i="32"/>
  <c r="L76" i="32"/>
  <c r="K76" i="32"/>
  <c r="J76" i="32"/>
  <c r="I76" i="32"/>
  <c r="H76" i="32"/>
  <c r="G76" i="32"/>
  <c r="F76" i="32"/>
  <c r="E76" i="32"/>
  <c r="D76" i="32"/>
  <c r="C76" i="32"/>
  <c r="A76" i="32"/>
  <c r="P75" i="32"/>
  <c r="O75" i="32"/>
  <c r="N75" i="32"/>
  <c r="M75" i="32"/>
  <c r="L75" i="32"/>
  <c r="K75" i="32"/>
  <c r="J75" i="32"/>
  <c r="I75" i="32"/>
  <c r="H75" i="32"/>
  <c r="G75" i="32"/>
  <c r="F75" i="32"/>
  <c r="E75" i="32"/>
  <c r="D75" i="32"/>
  <c r="C75" i="32"/>
  <c r="B75" i="32"/>
  <c r="A75" i="32"/>
  <c r="P74" i="32"/>
  <c r="O74" i="32"/>
  <c r="N74" i="32"/>
  <c r="M74" i="32"/>
  <c r="L74" i="32"/>
  <c r="K74" i="32"/>
  <c r="J74" i="32"/>
  <c r="I74" i="32"/>
  <c r="H74" i="32"/>
  <c r="G74" i="32"/>
  <c r="F74" i="32"/>
  <c r="E74" i="32"/>
  <c r="D74" i="32"/>
  <c r="C74" i="32"/>
  <c r="B74" i="32"/>
  <c r="A74" i="32"/>
  <c r="P73" i="32"/>
  <c r="O73" i="32"/>
  <c r="N73" i="32"/>
  <c r="M73" i="32"/>
  <c r="L73" i="32"/>
  <c r="K73" i="32"/>
  <c r="J73" i="32"/>
  <c r="I73" i="32"/>
  <c r="H73" i="32"/>
  <c r="G73" i="32"/>
  <c r="F73" i="32"/>
  <c r="E73" i="32"/>
  <c r="D73" i="32"/>
  <c r="C73" i="32"/>
  <c r="B73" i="32"/>
  <c r="A73" i="32"/>
  <c r="P72" i="32"/>
  <c r="O72" i="32"/>
  <c r="N72" i="32"/>
  <c r="M72" i="32"/>
  <c r="L72" i="32"/>
  <c r="K72" i="32"/>
  <c r="J72" i="32"/>
  <c r="I72" i="32"/>
  <c r="H72" i="32"/>
  <c r="G72" i="32"/>
  <c r="F72" i="32"/>
  <c r="E72" i="32"/>
  <c r="D72" i="32"/>
  <c r="C72" i="32"/>
  <c r="B72" i="32"/>
  <c r="A72" i="32"/>
  <c r="P71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C71" i="32"/>
  <c r="B71" i="32"/>
  <c r="A71" i="32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75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74" i="31"/>
  <c r="A74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73" i="31"/>
  <c r="A73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72" i="31"/>
  <c r="A72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71" i="31"/>
  <c r="A71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70" i="31"/>
  <c r="A70" i="31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74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A73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72" i="30"/>
  <c r="A72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71" i="30"/>
  <c r="A71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A70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A69" i="30"/>
  <c r="V74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A75" i="29"/>
  <c r="V73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B74" i="29"/>
  <c r="A74" i="29"/>
  <c r="V72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73" i="29"/>
  <c r="A73" i="29"/>
  <c r="V71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72" i="29"/>
  <c r="A72" i="29"/>
  <c r="V70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71" i="29"/>
  <c r="A71" i="29"/>
  <c r="V69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70" i="29"/>
  <c r="A70" i="29"/>
  <c r="V74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C75" i="28"/>
  <c r="A75" i="28"/>
  <c r="V73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C74" i="28"/>
  <c r="B74" i="28"/>
  <c r="A74" i="28"/>
  <c r="V72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B73" i="28"/>
  <c r="A73" i="28"/>
  <c r="V71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C72" i="28"/>
  <c r="B72" i="28"/>
  <c r="A72" i="28"/>
  <c r="V70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V69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V74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A75" i="27"/>
  <c r="V73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A74" i="27"/>
  <c r="V72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A73" i="27"/>
  <c r="V71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A72" i="27"/>
  <c r="V70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A71" i="27"/>
  <c r="V69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A70" i="27"/>
  <c r="P76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A76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A75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74" i="26"/>
  <c r="A74" i="26"/>
  <c r="P73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73" i="26"/>
  <c r="A73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71" i="26"/>
  <c r="P70" i="25"/>
  <c r="C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A75" i="25"/>
  <c r="P74" i="25"/>
  <c r="O74" i="25"/>
  <c r="N74" i="25"/>
  <c r="M74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P73" i="25"/>
  <c r="O73" i="25"/>
  <c r="N73" i="25"/>
  <c r="M73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B72" i="25"/>
  <c r="A72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A71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B70" i="25"/>
  <c r="A70" i="25"/>
  <c r="A71" i="9"/>
  <c r="A72" i="9"/>
  <c r="A73" i="9"/>
  <c r="A74" i="9"/>
  <c r="A75" i="9"/>
  <c r="A70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E70" i="9"/>
  <c r="F70" i="9"/>
  <c r="G70" i="9"/>
  <c r="H70" i="9"/>
  <c r="I70" i="9"/>
  <c r="J70" i="9"/>
  <c r="K70" i="9"/>
  <c r="L70" i="9"/>
  <c r="M70" i="9"/>
  <c r="N70" i="9"/>
  <c r="O70" i="9"/>
  <c r="P70" i="9"/>
  <c r="D70" i="9"/>
  <c r="U26" i="34" l="1"/>
  <c r="U71" i="34"/>
  <c r="U30" i="33"/>
  <c r="U72" i="33"/>
  <c r="U24" i="32"/>
  <c r="U71" i="32"/>
  <c r="U26" i="31"/>
  <c r="U70" i="31"/>
  <c r="U30" i="27"/>
  <c r="T30" i="27"/>
  <c r="T26" i="34"/>
  <c r="T30" i="33"/>
  <c r="T24" i="32"/>
  <c r="T26" i="31"/>
  <c r="U24" i="30"/>
  <c r="T24" i="30"/>
  <c r="U30" i="29"/>
  <c r="T30" i="29"/>
  <c r="T32" i="28"/>
  <c r="P75" i="30"/>
  <c r="T24" i="25"/>
  <c r="U24" i="25"/>
  <c r="P76" i="25"/>
  <c r="U34" i="9"/>
  <c r="P76" i="9"/>
  <c r="P76" i="34"/>
  <c r="P76" i="31"/>
  <c r="P77" i="33"/>
  <c r="P77" i="32"/>
  <c r="P76" i="29"/>
  <c r="P76" i="28"/>
  <c r="P76" i="27"/>
  <c r="P77" i="26"/>
  <c r="X74" i="29"/>
  <c r="X72" i="27"/>
  <c r="X72" i="28"/>
  <c r="X73" i="27"/>
  <c r="X74" i="27"/>
  <c r="X70" i="29"/>
  <c r="X69" i="29"/>
  <c r="X71" i="29"/>
  <c r="X73" i="29"/>
  <c r="X72" i="29"/>
  <c r="X73" i="28"/>
  <c r="X74" i="28"/>
  <c r="X69" i="28"/>
  <c r="X70" i="28"/>
  <c r="X71" i="28"/>
  <c r="X69" i="27"/>
  <c r="X70" i="27"/>
  <c r="X71" i="27"/>
  <c r="T20" i="26" l="1"/>
  <c r="U20" i="26"/>
  <c r="B70" i="9"/>
  <c r="C70" i="9"/>
  <c r="C71" i="9"/>
  <c r="C72" i="9"/>
  <c r="C73" i="9"/>
  <c r="C74" i="9"/>
  <c r="B71" i="9"/>
  <c r="B72" i="9"/>
  <c r="B73" i="9"/>
  <c r="B74" i="9"/>
  <c r="T41" i="2"/>
  <c r="B9" i="8" l="1"/>
  <c r="C34" i="2"/>
  <c r="J5" i="3"/>
  <c r="J30" i="3"/>
  <c r="J29" i="3"/>
  <c r="J27" i="3"/>
  <c r="J21" i="3"/>
  <c r="J19" i="3"/>
  <c r="J18" i="3"/>
  <c r="J16" i="3"/>
  <c r="J15" i="3"/>
  <c r="J11" i="3"/>
  <c r="J10" i="3"/>
  <c r="J7" i="3"/>
  <c r="J6" i="3"/>
  <c r="J28" i="3"/>
  <c r="G31" i="3"/>
  <c r="B67" i="3" s="1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C9" i="8"/>
  <c r="D9" i="8"/>
  <c r="E9" i="8"/>
  <c r="F9" i="8"/>
  <c r="G9" i="8"/>
  <c r="H9" i="8"/>
  <c r="I9" i="8"/>
  <c r="J9" i="8"/>
  <c r="K9" i="8"/>
  <c r="L9" i="8"/>
  <c r="M9" i="8"/>
  <c r="N9" i="8"/>
  <c r="C47" i="8"/>
  <c r="C89" i="8" s="1"/>
  <c r="C132" i="8" s="1"/>
  <c r="H47" i="8"/>
  <c r="H89" i="8" s="1"/>
  <c r="H132" i="8" s="1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B543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B584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B624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B664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B704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B745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B786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B828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B1073" i="8"/>
  <c r="C1073" i="8"/>
  <c r="D1073" i="8"/>
  <c r="E1073" i="8"/>
  <c r="F1073" i="8"/>
  <c r="G1073" i="8"/>
  <c r="H1073" i="8"/>
  <c r="I1073" i="8"/>
  <c r="J1073" i="8"/>
  <c r="K1073" i="8"/>
  <c r="L1073" i="8"/>
  <c r="M1073" i="8"/>
  <c r="N1073" i="8"/>
  <c r="B31" i="3"/>
  <c r="B62" i="3" s="1"/>
  <c r="C31" i="3"/>
  <c r="B63" i="3" s="1"/>
  <c r="D31" i="3"/>
  <c r="B64" i="3" s="1"/>
  <c r="E31" i="3"/>
  <c r="B65" i="3" s="1"/>
  <c r="A62" i="3"/>
  <c r="A63" i="3"/>
  <c r="A64" i="3"/>
  <c r="A65" i="3"/>
  <c r="A66" i="3"/>
  <c r="A67" i="3"/>
  <c r="A68" i="3"/>
  <c r="A69" i="3"/>
  <c r="D34" i="2"/>
  <c r="E34" i="2"/>
  <c r="F34" i="2"/>
  <c r="G34" i="2"/>
  <c r="H34" i="2"/>
  <c r="I34" i="2"/>
  <c r="J34" i="2"/>
  <c r="K34" i="2"/>
  <c r="L34" i="2"/>
  <c r="M34" i="2"/>
  <c r="N34" i="2"/>
  <c r="O34" i="2"/>
  <c r="B64" i="2"/>
  <c r="B65" i="2"/>
  <c r="B66" i="2"/>
  <c r="B67" i="2"/>
  <c r="B68" i="2"/>
  <c r="B69" i="2"/>
  <c r="B70" i="2"/>
  <c r="B71" i="2"/>
  <c r="B72" i="2"/>
  <c r="B73" i="2"/>
  <c r="F31" i="3"/>
  <c r="B66" i="3" s="1"/>
  <c r="J22" i="3"/>
  <c r="J14" i="3"/>
  <c r="J26" i="3"/>
  <c r="H174" i="8" l="1"/>
  <c r="H216" i="8" s="1"/>
  <c r="H257" i="8" s="1"/>
  <c r="H297" i="8" s="1"/>
  <c r="H337" i="8" s="1"/>
  <c r="H378" i="8" s="1"/>
  <c r="H418" i="8" s="1"/>
  <c r="H458" i="8" s="1"/>
  <c r="H499" i="8" s="1"/>
  <c r="H540" i="8" s="1"/>
  <c r="H581" i="8" s="1"/>
  <c r="H621" i="8" s="1"/>
  <c r="H661" i="8" s="1"/>
  <c r="H701" i="8" s="1"/>
  <c r="H742" i="8" s="1"/>
  <c r="H783" i="8" s="1"/>
  <c r="H825" i="8" s="1"/>
  <c r="H866" i="8" s="1"/>
  <c r="H908" i="8" s="1"/>
  <c r="H949" i="8" s="1"/>
  <c r="H988" i="8" s="1"/>
  <c r="H1030" i="8" s="1"/>
  <c r="H1070" i="8" s="1"/>
  <c r="C174" i="8"/>
  <c r="C216" i="8" s="1"/>
  <c r="C257" i="8" s="1"/>
  <c r="C297" i="8" s="1"/>
  <c r="C337" i="8" s="1"/>
  <c r="C378" i="8" s="1"/>
  <c r="C418" i="8" s="1"/>
  <c r="C458" i="8" s="1"/>
  <c r="C499" i="8" s="1"/>
  <c r="C540" i="8" s="1"/>
  <c r="C581" i="8" s="1"/>
  <c r="C621" i="8" s="1"/>
  <c r="C661" i="8" s="1"/>
  <c r="C701" i="8" s="1"/>
  <c r="C742" i="8" s="1"/>
  <c r="C783" i="8" s="1"/>
  <c r="C825" i="8" s="1"/>
  <c r="C866" i="8" s="1"/>
  <c r="C908" i="8" s="1"/>
  <c r="C949" i="8" s="1"/>
  <c r="C988" i="8" s="1"/>
  <c r="C1030" i="8" s="1"/>
  <c r="C1070" i="8" s="1"/>
  <c r="K25" i="3"/>
  <c r="J23" i="3"/>
  <c r="K23" i="3"/>
  <c r="B69" i="3"/>
  <c r="C74" i="2"/>
  <c r="J9" i="3"/>
  <c r="J24" i="3"/>
  <c r="C71" i="2"/>
  <c r="C70" i="2"/>
  <c r="C69" i="2"/>
  <c r="C68" i="2"/>
  <c r="C67" i="2"/>
  <c r="C64" i="2"/>
  <c r="C66" i="2"/>
  <c r="C73" i="2"/>
  <c r="C65" i="2"/>
  <c r="C72" i="2"/>
  <c r="J8" i="3"/>
  <c r="J20" i="3"/>
  <c r="J12" i="3"/>
  <c r="J25" i="3"/>
  <c r="J17" i="3"/>
  <c r="J13" i="3"/>
  <c r="B6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tc={F8C5E733-E9D7-4A45-9872-559F74732853}</author>
  </authors>
  <commentList>
    <comment ref="U43" authorId="0" shapeId="0" xr:uid="{F8C5E733-E9D7-4A45-9872-559F74732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matemáticas, el concepto de la variación porcentual se utiliza para describir la relación entre un valor pasado y uno presente. De manera específica, la variación porcentual representa la diferencia entre un valor pasado y uno presente en términos de un porcentaje del valor pasado. La ecuación a utilizar es ((V2 - V1) / V1) × 100 en la cual V1 representa al valor pasado o inicial y V2 representa al valor presente o final. Si el número es positivo, entonces hay un incremento porcentual. Si es negativo, hay un decremento o disminución porcentual. Si prefieres evitar trabajar con números negativos, puedes usar una fórmula modificada para determinar la disminución porcentual.</t>
      </text>
    </comment>
  </commentList>
</comments>
</file>

<file path=xl/sharedStrings.xml><?xml version="1.0" encoding="utf-8"?>
<sst xmlns="http://schemas.openxmlformats.org/spreadsheetml/2006/main" count="5614" uniqueCount="1364">
  <si>
    <t>ARVEJA GRANO SECO</t>
  </si>
  <si>
    <t>CEBADA GRANO</t>
  </si>
  <si>
    <t>FRIJOL GRANO SECO</t>
  </si>
  <si>
    <t>HABA GRANO SECO</t>
  </si>
  <si>
    <t>OLLUCO</t>
  </si>
  <si>
    <t>QUINUA</t>
  </si>
  <si>
    <t>TOMATE</t>
  </si>
  <si>
    <t>ZANAHORIA</t>
  </si>
  <si>
    <t>ZAPALLO</t>
  </si>
  <si>
    <t xml:space="preserve">Nº </t>
  </si>
  <si>
    <t>CULTIVO</t>
  </si>
  <si>
    <t>TOTAL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</si>
  <si>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</si>
  <si>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</si>
  <si>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</si>
  <si>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</si>
  <si>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</si>
  <si>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</si>
  <si>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</si>
  <si>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</si>
  <si>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</si>
  <si>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</si>
  <si>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</si>
  <si>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</si>
  <si>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</si>
  <si>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</si>
  <si>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</si>
  <si>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</si>
  <si>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</si>
  <si>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</si>
  <si>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</si>
  <si>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</si>
  <si>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</si>
  <si>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</si>
  <si>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</si>
  <si>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</si>
  <si>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</si>
  <si>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</si>
  <si>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</si>
  <si>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</si>
  <si>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</si>
  <si>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</si>
  <si>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</si>
  <si>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</si>
  <si>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OTROS</t>
  </si>
  <si>
    <t>SUPERFICIE SEMBRADA (ha)</t>
  </si>
  <si>
    <t>Int. de Siembra</t>
  </si>
  <si>
    <t>PROVINCIA</t>
  </si>
  <si>
    <t>HUAMANGA</t>
  </si>
  <si>
    <t>VICTOR FAJARDO</t>
  </si>
  <si>
    <t>CANGALLO</t>
  </si>
  <si>
    <t>HUANTA</t>
  </si>
  <si>
    <t>LA MAR</t>
  </si>
  <si>
    <t>LUCANAS</t>
  </si>
  <si>
    <t>SUCRE</t>
  </si>
  <si>
    <t>VILCASHUAMAN</t>
  </si>
  <si>
    <t>PARINACOCHAS</t>
  </si>
  <si>
    <t>HUANCASANCOS</t>
  </si>
  <si>
    <t>PAUCAR DEL SARA SARA</t>
  </si>
  <si>
    <t>N°</t>
  </si>
  <si>
    <t>21</t>
  </si>
  <si>
    <t>CAMOTE</t>
  </si>
  <si>
    <t>AYACUCHO</t>
  </si>
  <si>
    <t>SOCOS</t>
  </si>
  <si>
    <t>ACOCRO</t>
  </si>
  <si>
    <t>TAMBILLO</t>
  </si>
  <si>
    <t>VINCHOS</t>
  </si>
  <si>
    <t>ACOS VINCHOS</t>
  </si>
  <si>
    <t>CARMEN ALTO</t>
  </si>
  <si>
    <t>JESUS NAZARENO</t>
  </si>
  <si>
    <t>CHIARA</t>
  </si>
  <si>
    <t>CHUSCHI</t>
  </si>
  <si>
    <t>OCROS</t>
  </si>
  <si>
    <t>LOS MOROCHUCOS</t>
  </si>
  <si>
    <t>PACAYCASA</t>
  </si>
  <si>
    <t>MARIA PARADO DE BELLIDO</t>
  </si>
  <si>
    <t>SAN JOSE DE TICLLAS</t>
  </si>
  <si>
    <t>SAN JUAN BAUTISTA</t>
  </si>
  <si>
    <t>PARAS</t>
  </si>
  <si>
    <t>SANTIAGO DE PISCHA</t>
  </si>
  <si>
    <t>TOTOS</t>
  </si>
  <si>
    <t>SAN MIGUEL</t>
  </si>
  <si>
    <t>CHACA</t>
  </si>
  <si>
    <t>SANCOS</t>
  </si>
  <si>
    <t>CARAPO</t>
  </si>
  <si>
    <t>ANCO</t>
  </si>
  <si>
    <t>SACSAMARCA</t>
  </si>
  <si>
    <t>SANTIAGO DE LUCANAMARCA</t>
  </si>
  <si>
    <t>AYNA</t>
  </si>
  <si>
    <t>UCHURACCAY</t>
  </si>
  <si>
    <t>SAN PEDRO</t>
  </si>
  <si>
    <t>CHILCAS</t>
  </si>
  <si>
    <t>AYAHUANCO</t>
  </si>
  <si>
    <t>CHUNGUI</t>
  </si>
  <si>
    <t>HUAMANGUILLA</t>
  </si>
  <si>
    <t>IGUAIN</t>
  </si>
  <si>
    <t>LUIS CARRANZA</t>
  </si>
  <si>
    <t>LURICOCHA</t>
  </si>
  <si>
    <t>SANTA ROSA</t>
  </si>
  <si>
    <t>SANTILLANA</t>
  </si>
  <si>
    <t>SIVIA</t>
  </si>
  <si>
    <t>TAMBO</t>
  </si>
  <si>
    <t>LLOCHEGUA</t>
  </si>
  <si>
    <t>PUQUIO</t>
  </si>
  <si>
    <t>AUCARA</t>
  </si>
  <si>
    <t>SANTA ANA DE HUAYCAHUACHO</t>
  </si>
  <si>
    <t>SANTA LUCIA</t>
  </si>
  <si>
    <t>CABANA</t>
  </si>
  <si>
    <t>CARMEN SALCEDO</t>
  </si>
  <si>
    <t>CORACORA</t>
  </si>
  <si>
    <t>CHAVIÑA</t>
  </si>
  <si>
    <t>CHUMPI</t>
  </si>
  <si>
    <t>CHIPAO</t>
  </si>
  <si>
    <t>HUAC-HUAS</t>
  </si>
  <si>
    <t>CORONEL CASTAÑEDA</t>
  </si>
  <si>
    <t>PACAPAUSA</t>
  </si>
  <si>
    <t>LARAMATE</t>
  </si>
  <si>
    <t>PULLO</t>
  </si>
  <si>
    <t>COLCA</t>
  </si>
  <si>
    <t>LEONCIO PRADO</t>
  </si>
  <si>
    <t>PUYUSCA</t>
  </si>
  <si>
    <t>LLAUTA</t>
  </si>
  <si>
    <t>UPAHUACHO</t>
  </si>
  <si>
    <t>OCAÑA</t>
  </si>
  <si>
    <t>PAUSA</t>
  </si>
  <si>
    <t>OTOCA</t>
  </si>
  <si>
    <t>COLTA</t>
  </si>
  <si>
    <t>CONCEPCION</t>
  </si>
  <si>
    <t>CORCULLA</t>
  </si>
  <si>
    <t>SAISA</t>
  </si>
  <si>
    <t>LAMPA</t>
  </si>
  <si>
    <t>SAN CRISTOBAL</t>
  </si>
  <si>
    <t>MARCABAMBA</t>
  </si>
  <si>
    <t>SAN JUAN</t>
  </si>
  <si>
    <t>OYOLO</t>
  </si>
  <si>
    <t>PARARCA</t>
  </si>
  <si>
    <t>SAN PEDRO DE PALCO</t>
  </si>
  <si>
    <t>SAN JAVIER DE ALPABAMBA</t>
  </si>
  <si>
    <t>SAN JOSE DE USHUA</t>
  </si>
  <si>
    <t>SARA SARA</t>
  </si>
  <si>
    <t>QUEROBAMBA</t>
  </si>
  <si>
    <t>HUAMANQUIQUIA</t>
  </si>
  <si>
    <t>BELEN</t>
  </si>
  <si>
    <t>CHALCOS</t>
  </si>
  <si>
    <t>HUANCARAYLLA</t>
  </si>
  <si>
    <t>CHILCAYOC</t>
  </si>
  <si>
    <t>HUACAÑA</t>
  </si>
  <si>
    <t>HUALLA</t>
  </si>
  <si>
    <t>SARHUA</t>
  </si>
  <si>
    <t>MORCOLLA</t>
  </si>
  <si>
    <t>PAICO</t>
  </si>
  <si>
    <t>VILCANCHOS</t>
  </si>
  <si>
    <t>SAN PEDRO DE LARCAY</t>
  </si>
  <si>
    <t>SAN SALVADOR DE QUIJE</t>
  </si>
  <si>
    <t>SANTIAGO DE PAUCARAY</t>
  </si>
  <si>
    <t>SORAS</t>
  </si>
  <si>
    <t>ACCOMARCA</t>
  </si>
  <si>
    <t>HUANCAPI</t>
  </si>
  <si>
    <t>CARHUANCA</t>
  </si>
  <si>
    <t>ALCAMENCA</t>
  </si>
  <si>
    <t>HUAMBALPA</t>
  </si>
  <si>
    <t>APONGO</t>
  </si>
  <si>
    <t>INDEPENDENCIA</t>
  </si>
  <si>
    <t>ASQUIPATA</t>
  </si>
  <si>
    <t>CANARIA</t>
  </si>
  <si>
    <t>SAURAMA</t>
  </si>
  <si>
    <t>VISCHONGO</t>
  </si>
  <si>
    <t>CAYARA</t>
  </si>
  <si>
    <t>VILCAS HUAMAN</t>
  </si>
  <si>
    <t>SAMUGARI</t>
  </si>
  <si>
    <t>SAN FRANCISCO DE RIVACAYCO</t>
  </si>
  <si>
    <t>CANAIRE</t>
  </si>
  <si>
    <t>ANDRES AVELINO CACERES</t>
  </si>
  <si>
    <t>OCA</t>
  </si>
  <si>
    <t>MASHUA O IZANO</t>
  </si>
  <si>
    <t>MAIZ MORADO</t>
  </si>
  <si>
    <t>22</t>
  </si>
  <si>
    <t>23</t>
  </si>
  <si>
    <t>24</t>
  </si>
  <si>
    <t>25</t>
  </si>
  <si>
    <t>26</t>
  </si>
  <si>
    <t>27</t>
  </si>
  <si>
    <t>2015-2016</t>
  </si>
  <si>
    <t>2016-2017</t>
  </si>
  <si>
    <t>PUCACOLPA</t>
  </si>
  <si>
    <t>ANCHIHUAY</t>
  </si>
  <si>
    <t>2017-2018</t>
  </si>
  <si>
    <t>DIF.</t>
  </si>
  <si>
    <t>%</t>
  </si>
  <si>
    <t>MAIZ AMILACEO</t>
  </si>
  <si>
    <t>PAPA BLANCA</t>
  </si>
  <si>
    <t>PAPA COLOR</t>
  </si>
  <si>
    <t>TRIGO</t>
  </si>
  <si>
    <t>PAPA NATIVA</t>
  </si>
  <si>
    <t>ARVEJA GRANO VERDE</t>
  </si>
  <si>
    <t>MAIZ CHOCLO</t>
  </si>
  <si>
    <t>HABA GRANO VERDE</t>
  </si>
  <si>
    <t>MAIZ AMARILLO DURO</t>
  </si>
  <si>
    <t>YUCA</t>
  </si>
  <si>
    <t>AJO</t>
  </si>
  <si>
    <t>CEBOLLA CABEZA ROJA</t>
  </si>
  <si>
    <t>AJI</t>
  </si>
  <si>
    <t>2018-2019</t>
  </si>
  <si>
    <t>2019-2020</t>
  </si>
  <si>
    <t>DISTRITO</t>
  </si>
  <si>
    <t>NOMBRES Y APELLIDOS</t>
  </si>
  <si>
    <t>CARGO</t>
  </si>
  <si>
    <t>RUTH RODRIGUEZ SULCA</t>
  </si>
  <si>
    <t>PRESIDENTE</t>
  </si>
  <si>
    <t>DAMIAN ACASIO MENDOZA</t>
  </si>
  <si>
    <t>GREGORIO SERNA PIANTO</t>
  </si>
  <si>
    <t>HILARIO HUAMAN SULCA</t>
  </si>
  <si>
    <t>AGRICULTOR</t>
  </si>
  <si>
    <t>OSCAR PALOMINO LAURA</t>
  </si>
  <si>
    <t>ALCALDE</t>
  </si>
  <si>
    <t>MELQUIADES ESPINOZA FERNANDEZ</t>
  </si>
  <si>
    <t>NEMESIO EMILIANO LOZANO ARANGO</t>
  </si>
  <si>
    <t>SECRETARIO</t>
  </si>
  <si>
    <t>ZENOBIO CANDIA GUISADO</t>
  </si>
  <si>
    <t>ARMANDO PALOMINO GUTIERREZ</t>
  </si>
  <si>
    <t>TEODORO HUAMANI ESPINOZA</t>
  </si>
  <si>
    <t>TORIBIO GOMEZ FLORES</t>
  </si>
  <si>
    <t>MARCELO GODOY YUPANQUI</t>
  </si>
  <si>
    <t>EDGAR REYES SALCEDO</t>
  </si>
  <si>
    <t>RAUL SULCA TINEO</t>
  </si>
  <si>
    <t>JUAN LAZARO TINEO FLORES</t>
  </si>
  <si>
    <t>ALFREDO GOMEZ NAVARRO</t>
  </si>
  <si>
    <t>SEGUNDINO BAUTISTA VARGAS</t>
  </si>
  <si>
    <t>JUAN DE LA CRUZ BAUTISTA</t>
  </si>
  <si>
    <t>HUGO PAULLO BAUTISTA</t>
  </si>
  <si>
    <t>REGIDOR</t>
  </si>
  <si>
    <t>IGNACIO CIPRIAN CONTRERAS</t>
  </si>
  <si>
    <t>FORTUNATO CIPRIAN CONTRERAS</t>
  </si>
  <si>
    <t>SILVERIO AYME QUISPE</t>
  </si>
  <si>
    <t>ROBERTO SALVADOR HUAMAN</t>
  </si>
  <si>
    <t>FISCAL</t>
  </si>
  <si>
    <t>CESAR GASTELU CHIHUA</t>
  </si>
  <si>
    <t>FRANCISCO CHIHUA COLLAHUACHO</t>
  </si>
  <si>
    <t>EX PRESIDENTE COMUNAL</t>
  </si>
  <si>
    <t>JUAN CANCHO TORRES</t>
  </si>
  <si>
    <t>TEOFILO MUÑOZ SAUÑE</t>
  </si>
  <si>
    <t>RICHARD REYES CASAS</t>
  </si>
  <si>
    <t>ALCALDE CENTRO POBLADO</t>
  </si>
  <si>
    <t>FERNANDO PISCO CABEZAS</t>
  </si>
  <si>
    <t>EDGAR PARIONA HUASHUAYO</t>
  </si>
  <si>
    <t>WILBER ALLCCAHUAMAN YARASCA</t>
  </si>
  <si>
    <t>TESORERO</t>
  </si>
  <si>
    <t>REDER JAUREGUI RODRIGUEZ</t>
  </si>
  <si>
    <t>COORDINADOR</t>
  </si>
  <si>
    <t>TENIENTE GOBERNADOR</t>
  </si>
  <si>
    <t>PEDRO FLORES RAYMUNDEZ</t>
  </si>
  <si>
    <t>WALTER GOMEZ FLORES</t>
  </si>
  <si>
    <t>MARTIN CANCHO CABEZAS</t>
  </si>
  <si>
    <t>EDWIN SAUL SANCHEZ ALTAMIRANO</t>
  </si>
  <si>
    <t>CESAR LUYA BAUTISTA</t>
  </si>
  <si>
    <t>ENRIQUE BAUTISTA NUÑEZ</t>
  </si>
  <si>
    <t>FLORENTINO RODRIGUEZ BARZOLA</t>
  </si>
  <si>
    <t>RUBEN CAMPOS MORENO</t>
  </si>
  <si>
    <t>YURI TINEO TENORIO</t>
  </si>
  <si>
    <t>MARCELO AYALA CISNEROS</t>
  </si>
  <si>
    <t>DELIA BARZOLA CISNEROS</t>
  </si>
  <si>
    <t>RENE CISNEROS MORENO</t>
  </si>
  <si>
    <t>AYDEE LLALLAHUI TINEO</t>
  </si>
  <si>
    <t>ESTEBAN CISNEROS BAUTISTA</t>
  </si>
  <si>
    <t>APARICIO CERDA DE LA CRUZ</t>
  </si>
  <si>
    <t>MARIELA MANCILLA LLALLAHUI</t>
  </si>
  <si>
    <t>PELAGIO SALVATIERRA MENDEZ</t>
  </si>
  <si>
    <t>ABILIO ALEJANDRO CISNEROS CUADROS</t>
  </si>
  <si>
    <t>DAMIAN VELASQUEZ BELLIDO</t>
  </si>
  <si>
    <t>INDALICIO GAMBOA TINEO</t>
  </si>
  <si>
    <t>FORTUNATO VEGA CUYA</t>
  </si>
  <si>
    <t>FELIPE CASTRO CALDERON</t>
  </si>
  <si>
    <t>JULIO QUISPE CARRION</t>
  </si>
  <si>
    <t>OSCAR ARTURO VENEGAS YARANGA</t>
  </si>
  <si>
    <t>JAIME PERALTA CASTILLO</t>
  </si>
  <si>
    <t>TOMAS MAXIMO VEGA LUQUE</t>
  </si>
  <si>
    <t>URBANO AGUILAR GOMEZ</t>
  </si>
  <si>
    <t>GUILLERMO NOLBERTO ANYOSA ALACOTE</t>
  </si>
  <si>
    <t>SEGUNDO MENDEZ PRADO</t>
  </si>
  <si>
    <t>DANIEL LUQUE PRADO</t>
  </si>
  <si>
    <t>PRUDENCIO LIZANA LLOCCLLA</t>
  </si>
  <si>
    <t>EPIFANIO GUTIERREZ CACERES</t>
  </si>
  <si>
    <t>LUCHO WINDER GARCIA CORTERREAL</t>
  </si>
  <si>
    <t>LUIS MENDOZA DONAYRE</t>
  </si>
  <si>
    <t>ISMAEL GUILLEN LIMACO</t>
  </si>
  <si>
    <t>MARIN GUTIERREZ CISNEROS</t>
  </si>
  <si>
    <t>MANUEL ANTEZANA MENDOZA</t>
  </si>
  <si>
    <t>CLAUDIO RAUL MENDOZA ILLANES</t>
  </si>
  <si>
    <t>MARCIAL CONTRERAS CARBAJAL</t>
  </si>
  <si>
    <t>ANDRES PAULINO ANTEZANA VIVANCO</t>
  </si>
  <si>
    <t>LEONARDO LAURIANO CISNEROS ROMERO</t>
  </si>
  <si>
    <t>ROLANDO MENACHO DIPAZ</t>
  </si>
  <si>
    <t>GRAVIEL MORALES GUTIERREZ</t>
  </si>
  <si>
    <t>RICARDO BARRIAL SAYAS</t>
  </si>
  <si>
    <t>ELISEO AMAO NUÑEZ</t>
  </si>
  <si>
    <t>BENITO GASTELU QUISPE</t>
  </si>
  <si>
    <t>SOFIA MARIBEL APAICO ENRIQUEZ</t>
  </si>
  <si>
    <t>MAXIMO APAICO GUTIERREZ</t>
  </si>
  <si>
    <t>ROLANDO CHACMANA LOPEZ</t>
  </si>
  <si>
    <t>PRESIDENTE JASS</t>
  </si>
  <si>
    <t>FILOMENO ROMANI ROBLES</t>
  </si>
  <si>
    <t>JUAN LAPA CANGANA</t>
  </si>
  <si>
    <t>EMILIANO LLACTAHUAMAN ROJAS</t>
  </si>
  <si>
    <t>EMILIANO HUAMAN ESPINOZA</t>
  </si>
  <si>
    <t>FROILAN PALOMINO PALOMINO</t>
  </si>
  <si>
    <t>DAMIAN CARDENAS QUISPE</t>
  </si>
  <si>
    <t>FORTUNATO LOME AGUILAR</t>
  </si>
  <si>
    <t>WALTER LUCIO SANCHEZ MOLINA</t>
  </si>
  <si>
    <t>AGRICULTORA</t>
  </si>
  <si>
    <t>SALOME RAUCANA QUISPE</t>
  </si>
  <si>
    <t>MARINO HUALLANCA CONDORI</t>
  </si>
  <si>
    <t>ROLANDO CASTILLO CANCHO</t>
  </si>
  <si>
    <t>CONSTANTINO CASTILLO CARDENAS</t>
  </si>
  <si>
    <t xml:space="preserve">PRESIDENTE </t>
  </si>
  <si>
    <t>HELADIO CASTILLO CANCHO</t>
  </si>
  <si>
    <t>PRESIDENTA</t>
  </si>
  <si>
    <t>PEPE AGUIRRE LOZANO</t>
  </si>
  <si>
    <t>ALEJANDRO ROMANI RAMOS</t>
  </si>
  <si>
    <t>ANDRES QUISPE MARTINEZ</t>
  </si>
  <si>
    <t>EUGENIO CANCHO ALANYA</t>
  </si>
  <si>
    <t>PAULINO PARIONA FLORES</t>
  </si>
  <si>
    <t>JACINTO CARRION CAYLLAHUA</t>
  </si>
  <si>
    <t>CIRILO QUISPE JAULIS</t>
  </si>
  <si>
    <t>ARMANDO GUTIERREZ ESPINO</t>
  </si>
  <si>
    <t>ERNESTO CLARA GUTIERREZ</t>
  </si>
  <si>
    <t>MERCEDES BELLIDO CARBAJAL</t>
  </si>
  <si>
    <t>SILVIA CARINA NICOLAS ZAMORA</t>
  </si>
  <si>
    <t>ADRIAN DE LA CRUZ SIMON</t>
  </si>
  <si>
    <t>ALICIA ORIUNDO SALAZAR</t>
  </si>
  <si>
    <t>VICENTE GASTELU QUISPE</t>
  </si>
  <si>
    <t>EDGAR QUISPE SIMON</t>
  </si>
  <si>
    <t>FLORIANO GOMEZ ROMAN</t>
  </si>
  <si>
    <t>HUALBERTO VEGA ESCRIBA</t>
  </si>
  <si>
    <t>CHARLES YUPANQUI MUÑOZ</t>
  </si>
  <si>
    <t>FAUSTINO HUARCAYA SOSA</t>
  </si>
  <si>
    <t>SIMION CUCHO GOMEZ</t>
  </si>
  <si>
    <t>ELEUTERIO YUPANQUI PALOMINO</t>
  </si>
  <si>
    <t>PAUGILO CAHUANA PRETEL</t>
  </si>
  <si>
    <t>SECRETARIA</t>
  </si>
  <si>
    <t>SANTOS QUISPE MONTERAS</t>
  </si>
  <si>
    <t>DELFIN TAIPE GONZALO</t>
  </si>
  <si>
    <t>TEODORO QUICAÑA TUEROS</t>
  </si>
  <si>
    <t>MARCELINO QUISPE CURI</t>
  </si>
  <si>
    <t>EDUARDO CHOQUECAHUA CANALES</t>
  </si>
  <si>
    <t>RAMON ARANGO CASTRO</t>
  </si>
  <si>
    <t>CLAUDIO MARTINEZ CARDENAS</t>
  </si>
  <si>
    <t>PABLO MARTINEZ VENTURA</t>
  </si>
  <si>
    <t>VENITA QUISPE FERNANDEZ</t>
  </si>
  <si>
    <t>JULIO LLAMOCCA VENTURA</t>
  </si>
  <si>
    <t>ADELA ENCISO PALOMINO</t>
  </si>
  <si>
    <t>CARLOS LLAMOCCA QUISPE</t>
  </si>
  <si>
    <t>ROMULO ANTONIO LAURA APONTE</t>
  </si>
  <si>
    <t>FRAY WILDER PRADO HUAYTALLA</t>
  </si>
  <si>
    <t>MELQUIADES TENORIO DE LA CRUZ</t>
  </si>
  <si>
    <t>LUIS ALBERTO BAYGORREA JOTA</t>
  </si>
  <si>
    <t>FREDY CANCHARI HUAYTALLA</t>
  </si>
  <si>
    <t>ANTENOR TINEO TINCO</t>
  </si>
  <si>
    <t>YUDHY MARIBEL URIBE HUAMANI</t>
  </si>
  <si>
    <t>EDWIN BAUTISTA VEGA</t>
  </si>
  <si>
    <t>WILFREDO ESCRIBA OCHOA</t>
  </si>
  <si>
    <t>JORGE LUIS CUBA BARZOLA</t>
  </si>
  <si>
    <t>FORTUNATO HINOSTROZA GOMEZ</t>
  </si>
  <si>
    <t>EFRAIN SALVATIERRA PRADO</t>
  </si>
  <si>
    <t>PEDRO CISNEROS PRADO</t>
  </si>
  <si>
    <t>ISMAEL SICHA TINCO</t>
  </si>
  <si>
    <t>ZONIA GUTIERREZ PRADO</t>
  </si>
  <si>
    <t>AUGUSTO ESCRIBA CUYA</t>
  </si>
  <si>
    <t>ALIPIO ANCHAYHUA CHUMBE</t>
  </si>
  <si>
    <t>VIRGINIA MENDOZA CHATE</t>
  </si>
  <si>
    <t>ALBERTO HUAMANI CAHUANA</t>
  </si>
  <si>
    <t>WILLIAM HUAMACCTO DE LA CRUZ</t>
  </si>
  <si>
    <t>VICENTE RAMOS HUAMANI</t>
  </si>
  <si>
    <t>MAURO GONZALEZ CHAUCA</t>
  </si>
  <si>
    <t>TOMAS HINOSTROZA FERNANDEZ</t>
  </si>
  <si>
    <t>RICARDO ARONE HUAMANI</t>
  </si>
  <si>
    <t>TEOFILO LLALLI CONDE</t>
  </si>
  <si>
    <t>RICARDO PACOTAIPE TUCNO</t>
  </si>
  <si>
    <t>ADRIAN TEOFILO ARONES TOMAYLLA</t>
  </si>
  <si>
    <t>ANTONIO VICTOR GALINDO NUÑEZ</t>
  </si>
  <si>
    <t>TEOFILO CCALLOCUNTO CONDE</t>
  </si>
  <si>
    <t>HERNAN MENDIETA VILCA</t>
  </si>
  <si>
    <t>ORLANDO HUAMANI TODELANO</t>
  </si>
  <si>
    <t>PEDRO AMADEO MENDOZA CONDE</t>
  </si>
  <si>
    <t>CRISOSTOMO FLORES EVANAN</t>
  </si>
  <si>
    <t>CELSO VICTOR CCONISLLA GALINDO</t>
  </si>
  <si>
    <t>SONIA EDITH CUBA TOMAYLLA</t>
  </si>
  <si>
    <t>HECTOR QUISPE MENESES</t>
  </si>
  <si>
    <t>BONIFACIO PALOMINO QUISPE</t>
  </si>
  <si>
    <t>FAUSTINO CALDERON QUISPE</t>
  </si>
  <si>
    <t>AMADOR QUISPE HUARANCCA</t>
  </si>
  <si>
    <t>SANTIAGO CONDE TUDELANO</t>
  </si>
  <si>
    <t>INDALICIO CONDE HUARANCCA</t>
  </si>
  <si>
    <t>JESUS GALINDO MACHACA</t>
  </si>
  <si>
    <t>ALCALDE MENOR</t>
  </si>
  <si>
    <t>ELEAZAR CONDE HUAMANI</t>
  </si>
  <si>
    <t>NORMA VILCA LLALLI</t>
  </si>
  <si>
    <t>VOCAL</t>
  </si>
  <si>
    <t>MARINO CCALLOCUNTO CONDE</t>
  </si>
  <si>
    <t>JULIO JOSUE NUÑEZ GALINDO</t>
  </si>
  <si>
    <t>HERLINDA ANDREA NUÑEZ SULCACONDOR</t>
  </si>
  <si>
    <t>VLADIMIR DE LA CRUZ QUICAÑO</t>
  </si>
  <si>
    <t>FREDY DIDDIER VELASQUEZ TINEO</t>
  </si>
  <si>
    <t>JUAN CARLOS HINOSTROZA DE LA CRUZ</t>
  </si>
  <si>
    <t>LUCHO DE LA CRUZ ARANGO</t>
  </si>
  <si>
    <t>ALFREDO TENORIO BARBARAN</t>
  </si>
  <si>
    <t>ANDRES ALARCON BELLIDO</t>
  </si>
  <si>
    <t>ADOLFO GALINDO TENORIO</t>
  </si>
  <si>
    <t>HECTOR RAUL CANCHARI PRADO</t>
  </si>
  <si>
    <t>JAIME HUASHUAYO CHUMBILE</t>
  </si>
  <si>
    <t>HECTOR CUADROS ARONES</t>
  </si>
  <si>
    <t>EDGAR PRADO CHUCHON</t>
  </si>
  <si>
    <t>JULIAN TENORIO COLOS</t>
  </si>
  <si>
    <t>RAUL CALDERON CALLAÑAUPA</t>
  </si>
  <si>
    <t>FELIPE MORENO GOMEZ</t>
  </si>
  <si>
    <t>ALFREDO RAMOS ROCA</t>
  </si>
  <si>
    <t>PRESIDENTE ASOCIACION</t>
  </si>
  <si>
    <t>REGIDORA</t>
  </si>
  <si>
    <t>CARLOS RAMOS MEJIA</t>
  </si>
  <si>
    <t>JUEZ DE PAZ</t>
  </si>
  <si>
    <t>ALEJANDRO CAHUANA ATUNCA</t>
  </si>
  <si>
    <t>ELVIS CLEEVER BELLIDO HINOSTROZA</t>
  </si>
  <si>
    <t>JAIME CARLOS MITMA OGOSE</t>
  </si>
  <si>
    <t>VIDAL CALDERON CUADROS</t>
  </si>
  <si>
    <t>ADRIPINO QUICAÑO HINOSTROZA</t>
  </si>
  <si>
    <t>JORGE BELLIDO QUICAÑO</t>
  </si>
  <si>
    <t>JULIO RAMOS ESCALANTE</t>
  </si>
  <si>
    <t>EFRAIN JAYO PARADO</t>
  </si>
  <si>
    <t>JORGE JAYO LAURENTE</t>
  </si>
  <si>
    <t>ROBERTO CARLOS PARCO SULCA</t>
  </si>
  <si>
    <t>AMADEO JAYO QUISPE</t>
  </si>
  <si>
    <t>VICENTE PEREZ LICAS</t>
  </si>
  <si>
    <t>GAUDENCIO MANCILLA QUICHCA</t>
  </si>
  <si>
    <t>LEONCIO LEON ENCISO</t>
  </si>
  <si>
    <t>ALDO LIONEL TODELANO GUERRA</t>
  </si>
  <si>
    <t>JULIAN PARIONA HUAMAN</t>
  </si>
  <si>
    <t>LUISA OCHOA CARDENAS</t>
  </si>
  <si>
    <t>MARCELINO CHANCO QUISPE</t>
  </si>
  <si>
    <t>IGNACIO PRADO QUISPE</t>
  </si>
  <si>
    <t>FRANCISCO CAMASCA ARONES</t>
  </si>
  <si>
    <t>ZACARIAS PEREZ AVALOS</t>
  </si>
  <si>
    <t>GAUDENCIO HUAMAN GALINDO</t>
  </si>
  <si>
    <t>FELIX TUMBALOBOS TUMBALOBOS</t>
  </si>
  <si>
    <t>DAVID HUAYANAY POLIDO</t>
  </si>
  <si>
    <t>WILBER PUMALLIHUA AUCCASI</t>
  </si>
  <si>
    <t>DANIEL YARCURI CANCHO</t>
  </si>
  <si>
    <t>PRESIDENTE JUNTA LOCAL</t>
  </si>
  <si>
    <t>YONY CANCHO DEL PINO</t>
  </si>
  <si>
    <t>HERNAN CAYAMPI FERNANDEZ</t>
  </si>
  <si>
    <t>WILBER TAQUIRI AUCCASI</t>
  </si>
  <si>
    <t>SABINO CONDORI QUIROZ</t>
  </si>
  <si>
    <t>TENIENTE ALCALDE</t>
  </si>
  <si>
    <t>SATURNINO ÑAUPA PONCE</t>
  </si>
  <si>
    <t>LUIS CCENTE CASTRO</t>
  </si>
  <si>
    <t>RAYMUNDO AGAMA RIVEROS</t>
  </si>
  <si>
    <t>DIONICIO DE LA CRUZ PALOMINO</t>
  </si>
  <si>
    <t>ANIBAL TELLO LLANTOY</t>
  </si>
  <si>
    <t>ROSA PALOMINO BERNA</t>
  </si>
  <si>
    <t>SAMUEL AGUILAR LIMACHE</t>
  </si>
  <si>
    <t>ALIPIO LIMACHE LOPEZ</t>
  </si>
  <si>
    <t>ORIOL CURO CCOCHACHI</t>
  </si>
  <si>
    <t>AGENTE MUNICIPAL</t>
  </si>
  <si>
    <t>DIMAS CURO QUISPE</t>
  </si>
  <si>
    <t>EDUARDO CUSICHE CHAHUA</t>
  </si>
  <si>
    <t>MARIO AUCCAPUCLLA PARIONA</t>
  </si>
  <si>
    <t>GREGORIO QUISPE LLANTOY</t>
  </si>
  <si>
    <t>RUBEN ROJAS PARIONA</t>
  </si>
  <si>
    <t>EDWIN JOEL PIANTO HUMAREDA</t>
  </si>
  <si>
    <t>FAUSTO CUCHURI RAMOS</t>
  </si>
  <si>
    <t>ELSA RUIZ RAIME</t>
  </si>
  <si>
    <t>GREGORIO OSORIO CRESPO</t>
  </si>
  <si>
    <t>TEODOR CORICHAHUA BETALLELUZ</t>
  </si>
  <si>
    <t>VALENTIN LIZARASO ÑAÑA</t>
  </si>
  <si>
    <t>GOBERNADOR</t>
  </si>
  <si>
    <t>MARUJA PAREDES SANCHEZ</t>
  </si>
  <si>
    <t>VICTOR CRUZ CARBAJAL</t>
  </si>
  <si>
    <t>JUAN ALBERTO RUIZ ARIAS</t>
  </si>
  <si>
    <t>SAUL VELASQUEZ FLORES</t>
  </si>
  <si>
    <t>ESTEBAN QUISPE HUAMAN</t>
  </si>
  <si>
    <t>FRANCISCO MAYHUA POMA</t>
  </si>
  <si>
    <t>ABILIO GAVILAN GUERRA</t>
  </si>
  <si>
    <t>EX TENIENTE GOBERNADOR</t>
  </si>
  <si>
    <t>MANUEL FLORES VARGAS</t>
  </si>
  <si>
    <t>HECTOR RODRIGUEZ ORE</t>
  </si>
  <si>
    <t>ALEJANDRO CANCHARI CAYETANO</t>
  </si>
  <si>
    <t>MARTINA QUISPE DE GALVEZ</t>
  </si>
  <si>
    <t>OSCAR GUILLEN CCASANI</t>
  </si>
  <si>
    <t>EDUARDO HUACHACA CABEZAS</t>
  </si>
  <si>
    <t>EDWIN ROMERO RAMIREZ</t>
  </si>
  <si>
    <t>JORGE VASQUEZ QUISPE</t>
  </si>
  <si>
    <t>ZOLANO CONDORI BERMUDO</t>
  </si>
  <si>
    <t>AUTORIDAD</t>
  </si>
  <si>
    <t>MARGOT TOLEDO DE LA CRUZ</t>
  </si>
  <si>
    <t>YURI MUÑOZ ROMANI</t>
  </si>
  <si>
    <t>GEDEON PEREZ PEREZ</t>
  </si>
  <si>
    <t>MARCOS CONDOR FLORES</t>
  </si>
  <si>
    <t>CARLOS DURAN OLIVARES</t>
  </si>
  <si>
    <t>JULIAN ROJAS LOAYZA</t>
  </si>
  <si>
    <t>EDGAR LIMACO TORRES</t>
  </si>
  <si>
    <t>ERASMO BERMUDO VALENZUELA</t>
  </si>
  <si>
    <t>MARIANO LLANTOY HUAMAN</t>
  </si>
  <si>
    <t>CESAR ÑAUPA CRUZ</t>
  </si>
  <si>
    <t>WALTER CCENTE GAMBOA</t>
  </si>
  <si>
    <t>EMILIANO RAMOS CHAVEZ</t>
  </si>
  <si>
    <t>ADRIAN PALOMINO CURO</t>
  </si>
  <si>
    <t>SAMUEL HUARINGA SALAZAR</t>
  </si>
  <si>
    <t>ALICIA VILA PEREZ</t>
  </si>
  <si>
    <t>MARCIANO CARDENAS PALOMINO</t>
  </si>
  <si>
    <t>JULIAN ALTAMIRANO CARDENAS</t>
  </si>
  <si>
    <t>HELIO GAVILAN HUANCAS</t>
  </si>
  <si>
    <t>EMILIANO TOVAR AGUILA</t>
  </si>
  <si>
    <t>MAXIMO CCORIÑAUPA AGUILA</t>
  </si>
  <si>
    <t>ALBERTO ESCALANTE URBANO</t>
  </si>
  <si>
    <t>CELESTINO SAUME FLORES</t>
  </si>
  <si>
    <t>ELEUTERIO FIGUEROA RAMOS</t>
  </si>
  <si>
    <t>BRUNO CURO QUISPE</t>
  </si>
  <si>
    <t>MABERTO ROJAS MUÑOZ</t>
  </si>
  <si>
    <t>TEODOSIO VILA YAROS</t>
  </si>
  <si>
    <t>MANUEL NAVARRO PEREZ</t>
  </si>
  <si>
    <t>JULIO QUISPE CURO</t>
  </si>
  <si>
    <t>ALBINO CRISOSTOMO HUAMAN</t>
  </si>
  <si>
    <t>LINO MARTIN ESPINO GUILLEN</t>
  </si>
  <si>
    <t>VICTOR JERI ICHACCAYA</t>
  </si>
  <si>
    <t>RICHARD PALOMINO SANTIAGO</t>
  </si>
  <si>
    <t>TECNICO AGROPECUARIO</t>
  </si>
  <si>
    <t>RICHARD CCASANI PALOMINO</t>
  </si>
  <si>
    <t>GERMAN CURO TORRES</t>
  </si>
  <si>
    <t>BERTHA PIANTO BAEZ</t>
  </si>
  <si>
    <t>FIDEL CORDERO LAPA</t>
  </si>
  <si>
    <t>MARCELINO BAÑICO CARDENAS</t>
  </si>
  <si>
    <t>EMILIANO HUARANCCAY GUILLEN</t>
  </si>
  <si>
    <t>HILARIO YARANGA GUTIERREZ</t>
  </si>
  <si>
    <t>JORGE SULCA JORPA</t>
  </si>
  <si>
    <t>APOLINARIO JORGE ARANGO</t>
  </si>
  <si>
    <t>JAVIER GUTIERREZ BORDA</t>
  </si>
  <si>
    <t>MAXIMO CORAS QUISPE</t>
  </si>
  <si>
    <t>SANTIAGO IRCAÑAUPA FERREL</t>
  </si>
  <si>
    <t>JORGE AGUILAR QUISPE</t>
  </si>
  <si>
    <t>CRISTIAN HUAMAN AUCCATOMA</t>
  </si>
  <si>
    <t>DONATO MAYHUA QUISPE</t>
  </si>
  <si>
    <t>IBETY FLORES DEL VILLAR</t>
  </si>
  <si>
    <t>RUFINA AVILA QUISPE</t>
  </si>
  <si>
    <t>YOLANDA HUAYANAY TAGUADA</t>
  </si>
  <si>
    <t>BENJAMIN PAREJA CARDENAS</t>
  </si>
  <si>
    <t>SALOMON SULCA LOPEZ</t>
  </si>
  <si>
    <t>MARCELINO TITO QUISPE</t>
  </si>
  <si>
    <t>SERGIO RAMIREZ TINEO</t>
  </si>
  <si>
    <t>EDUARDO SOTO GUTIERREZ</t>
  </si>
  <si>
    <t>HECTOR ROJAS CANDIA</t>
  </si>
  <si>
    <t>GABRIEL GUTIERREZ SOSA</t>
  </si>
  <si>
    <t>RUBEN QUISPE CANDIA</t>
  </si>
  <si>
    <t>CONSTANTINO ALLENDE QUISPE</t>
  </si>
  <si>
    <t>EULOGIA BELLIDO FLORES</t>
  </si>
  <si>
    <t>ALCIDES CHALCO CCAYANCHIRA</t>
  </si>
  <si>
    <t>EDGAR TELLO ASPUR</t>
  </si>
  <si>
    <t>SAMUEL LAPA SOLIS</t>
  </si>
  <si>
    <t>VILMA GUZMAN PALOMINO</t>
  </si>
  <si>
    <t>MARCIAL BELLIDO QUISPE</t>
  </si>
  <si>
    <t>CONSTANTINO PARHUANA MORENO</t>
  </si>
  <si>
    <t>EUGENIO QUISPE PERALTA</t>
  </si>
  <si>
    <t>PRESIDENTE ECA</t>
  </si>
  <si>
    <t>COSME DAMIAN HUAMAN CARDENAS</t>
  </si>
  <si>
    <t>ODILON MENDEZ GUTIERREZ</t>
  </si>
  <si>
    <t>ROLANDO YARANGA LAURENTE</t>
  </si>
  <si>
    <t>FILOMENO TORRES RAMOS</t>
  </si>
  <si>
    <t>JOSE HUAMANTINCO AMIQUERO</t>
  </si>
  <si>
    <t>SEVERO ATAO LEANDRO</t>
  </si>
  <si>
    <t>RUBEN GUTIERREZ HUAMAN</t>
  </si>
  <si>
    <t>ALEJANDRO TAPIA QUISPE</t>
  </si>
  <si>
    <t>DAVID SOSA GUTIERREZ</t>
  </si>
  <si>
    <t>LUIS GUALBERTO SOSA ÑACCHA</t>
  </si>
  <si>
    <t>ROMULO LLANCCE HUICHO</t>
  </si>
  <si>
    <t>FLAVIO TUDELA AYVAR</t>
  </si>
  <si>
    <t>GELACIO HUAMANI CCACCRO</t>
  </si>
  <si>
    <t>ROSA DIAZ PARIONA</t>
  </si>
  <si>
    <t>ALFREDO LEON RIVERA</t>
  </si>
  <si>
    <t>GABRIEL LAPA QUISPE</t>
  </si>
  <si>
    <t>JOEL CASTRO AYALA</t>
  </si>
  <si>
    <t>JULIAN QUISPE PALOMINO</t>
  </si>
  <si>
    <t>TEODOR GAMBOA JERI</t>
  </si>
  <si>
    <t>EDWIN JERI VARGAS</t>
  </si>
  <si>
    <t>VICTOR CASTILLO TAIPE</t>
  </si>
  <si>
    <t>JULIAN BORDA HUAMAN</t>
  </si>
  <si>
    <t>ORONQOY</t>
  </si>
  <si>
    <t>GREGORIO HUANACO CCAYANCHIRA</t>
  </si>
  <si>
    <t>FREDY CONDORI OROSCO</t>
  </si>
  <si>
    <t>CARLOS AÑANCA ARANGO</t>
  </si>
  <si>
    <t>EDUARDO CRUCES VILLA</t>
  </si>
  <si>
    <t>PRESIDENTE DE RIEGO</t>
  </si>
  <si>
    <t>ADRIANO CCORAHUA MENDOZA</t>
  </si>
  <si>
    <t>RAYMUNDO CCOYLLO SANCHEZ</t>
  </si>
  <si>
    <t>JOAQUIN PERCY SERRANO CHAMPA</t>
  </si>
  <si>
    <t>JOSE ANTONIO POLANCO QUISPE</t>
  </si>
  <si>
    <t>PEDRO CUPE MESAJIL</t>
  </si>
  <si>
    <t xml:space="preserve">REGIDOR </t>
  </si>
  <si>
    <t>CIRILO CHERCCA SILVERA</t>
  </si>
  <si>
    <t>SEBASTIAN PUSARI CANALES</t>
  </si>
  <si>
    <t>EX ALCALDE</t>
  </si>
  <si>
    <t>PEDRO PASCUAL GARCIA ZARATE</t>
  </si>
  <si>
    <t>HUMBERTO FLORES CANCHOS</t>
  </si>
  <si>
    <t>BRIGIDA ESPINOZA SOTO</t>
  </si>
  <si>
    <t>DEFENSA CIVIL</t>
  </si>
  <si>
    <t>YURI MOCHCCO CANTORAL</t>
  </si>
  <si>
    <t>FELIX FELIPE RIVAS LEON</t>
  </si>
  <si>
    <t>SALVADOR AGAPO CENTENO LOPEZ</t>
  </si>
  <si>
    <t>GODOFREDO ROGER BARRIENTOS GUEVARA</t>
  </si>
  <si>
    <t>PROFESOR</t>
  </si>
  <si>
    <t xml:space="preserve">DELEGADO </t>
  </si>
  <si>
    <t>ENRIQUE CUEVAS CCANCCE</t>
  </si>
  <si>
    <t>JOFFRE BAUTISTA ALMENARA</t>
  </si>
  <si>
    <t>DOMINGO ROSARIO CORONADO ANDIA</t>
  </si>
  <si>
    <t>HIPOLITO SANTI HUAYTA</t>
  </si>
  <si>
    <t>HILARION HUAMANI MELGAREJO</t>
  </si>
  <si>
    <t>RAUL MALDONADO HUAMANI</t>
  </si>
  <si>
    <t>EPIFANIO MANUEL MOTTA RETAMOZO</t>
  </si>
  <si>
    <t>JULIO ELDHER HUAMANI BALDARRAGO</t>
  </si>
  <si>
    <t>JUAN VIDAL FALCON DIAZ</t>
  </si>
  <si>
    <t>PAUL GONZALO FRANCO PRADO</t>
  </si>
  <si>
    <t>PLACIDO DIAZ DIAZ</t>
  </si>
  <si>
    <t>JESUS GUTIERREZ BENITES</t>
  </si>
  <si>
    <t>ALEJANDRO FREDY ANAMPA PUQUIO</t>
  </si>
  <si>
    <t>WILFREDO FELIX CARHUALLA ANAMPA</t>
  </si>
  <si>
    <t>FORTUNATO JIMENEZ BENITES</t>
  </si>
  <si>
    <t>ARTEMIO QUISPE MEDINA</t>
  </si>
  <si>
    <t>DEMETRIO BERNARDO CAYSURE CRUZ</t>
  </si>
  <si>
    <t>LUNSDEN FREDY GUTIERREZ TORRES</t>
  </si>
  <si>
    <t>MANUEL HUACHACA PACHECO</t>
  </si>
  <si>
    <t>RENEE CARDENAS RODRIGUEZ</t>
  </si>
  <si>
    <t>DELFIN MELENDEZ BALDEON</t>
  </si>
  <si>
    <t>LUIS GAMBOA AYALA</t>
  </si>
  <si>
    <t>CESAR AROSTEGUI SEANCAS</t>
  </si>
  <si>
    <t>RICHARD ANTEZANA QUISPE</t>
  </si>
  <si>
    <t>LEONCIO MACEDONIO FLORES ESTRADA</t>
  </si>
  <si>
    <t>LILIA LUISA ILLACONZA SANCHEZ</t>
  </si>
  <si>
    <t>ANTONIO CASTILLO AYALA</t>
  </si>
  <si>
    <t>PERCY CABEZAS SALAZAR</t>
  </si>
  <si>
    <t>TOMAS CAYLLAHUA GARIBAY</t>
  </si>
  <si>
    <t>LIZ VANESSA ARIAS MINAYA</t>
  </si>
  <si>
    <t>JUAN HERMITANIO QUISPE CENTENO</t>
  </si>
  <si>
    <t>ADRIANO HUAYHUAS GUTIERREZ</t>
  </si>
  <si>
    <t>DOLORES PUCHURI FLORES</t>
  </si>
  <si>
    <t>JUAN YUCRA AROTINCO</t>
  </si>
  <si>
    <t>NARCIZO HUAMAN AROTINCO</t>
  </si>
  <si>
    <t>FELIX TIMOTEO HUAUYA HUAMANI</t>
  </si>
  <si>
    <t>BARTOLOME QUINTANA OSEJO</t>
  </si>
  <si>
    <t>PERCY ARTEMIO PARIONA ASTOQUILCA</t>
  </si>
  <si>
    <t>HEBER DE LA CRUZ CACERES</t>
  </si>
  <si>
    <t>VALENTIN GLICERIO QUISPE RIVAS</t>
  </si>
  <si>
    <t>ENRIQUE HUAMANI CHIPANA</t>
  </si>
  <si>
    <t>EUSTAQUIO BERROCAL HUAMANI</t>
  </si>
  <si>
    <t>DELIA NIETO CHACON</t>
  </si>
  <si>
    <t>OSCAR CHAVEZ BERROCAL</t>
  </si>
  <si>
    <t>MIGUEL ANGEL DE LA CRUZ JAUREGUI</t>
  </si>
  <si>
    <t>YLIA MARILU GUTIERREZ CHALCO</t>
  </si>
  <si>
    <t>RAYMUNDO GARCIA QUISPE</t>
  </si>
  <si>
    <t>SERAPIO JANAMPA AÑANCA</t>
  </si>
  <si>
    <t>TEODOSIO PILLACA ROMERO</t>
  </si>
  <si>
    <t>PAPIAS QUILCA CASTILLA</t>
  </si>
  <si>
    <t>CAYETANO RODRIGUEZ ARONI</t>
  </si>
  <si>
    <t>CIRILO FERNANDEZ TARQUI</t>
  </si>
  <si>
    <t>ANTONIO QUISPE MONTES</t>
  </si>
  <si>
    <t>CUPERTINO HUAMANI AVALOS</t>
  </si>
  <si>
    <t>JAVIER QUISPE CHILLCCE</t>
  </si>
  <si>
    <t>AUGUSTO GONZALES FERNANDEZ</t>
  </si>
  <si>
    <t>SANTIAGO PORRAS TALAVERA</t>
  </si>
  <si>
    <t>EFRAIN CAHUANA JANAMPA</t>
  </si>
  <si>
    <t>JUAN CARLOS PEREZ SULCA</t>
  </si>
  <si>
    <t>DORA RAMOS VENTURA</t>
  </si>
  <si>
    <t>EDIKSON QUISPE JIMENEZ</t>
  </si>
  <si>
    <t>JESUS HUAUYA PAUCAR</t>
  </si>
  <si>
    <t>MARINO LINARES FLORES</t>
  </si>
  <si>
    <t>EDUARDO AROTINCO FLORES</t>
  </si>
  <si>
    <t>MELITON PALOMINO AROTINCO</t>
  </si>
  <si>
    <t>GRACIANO HUAMANI CUSI</t>
  </si>
  <si>
    <t>ZOSIMO CUENCA PALOMINO</t>
  </si>
  <si>
    <t>FRANCISCO FLORES ALFARO</t>
  </si>
  <si>
    <t>NAZARIO CONDE PAUCCARIMA</t>
  </si>
  <si>
    <t>SEVERIO VEGA GARCIA</t>
  </si>
  <si>
    <t>LEONCIO DURAND RAYMUNDO</t>
  </si>
  <si>
    <t>AQUILES CLARES LINARES</t>
  </si>
  <si>
    <t>BERNABE ELEAZAR CUTIPA BAUTISTA</t>
  </si>
  <si>
    <t>DOCENTE</t>
  </si>
  <si>
    <t>JULIO IPURRE PALOMINO</t>
  </si>
  <si>
    <t>LEONCIO PALOMINO ORE</t>
  </si>
  <si>
    <t>PERCY LEONIDAS NOA PALOMINO</t>
  </si>
  <si>
    <t>JUAN DAVID VILLANUEVA SALCEDO</t>
  </si>
  <si>
    <t>LEONARDO CURIÑAUPA VICENTE</t>
  </si>
  <si>
    <t>ELIAS ELISEO DE LA CRUZ DIAZ</t>
  </si>
  <si>
    <t>FORTUNATO URBANO QUISPE</t>
  </si>
  <si>
    <t>FAUSTINO QUISPE PALOMINO</t>
  </si>
  <si>
    <t>SABINO FORTUNATO HUARANCCA HUAMANI</t>
  </si>
  <si>
    <t>MARCELINO COELLO GUILLEN</t>
  </si>
  <si>
    <t>ELVER HUAMANI TAYPE</t>
  </si>
  <si>
    <t>ROBERTO SICHA BAYGORREA</t>
  </si>
  <si>
    <t>FREDY HUAMAN SICHA</t>
  </si>
  <si>
    <t>CELESTINO VENTURA VIVANCO</t>
  </si>
  <si>
    <t>ALFREDO PAYHUA GONZALES</t>
  </si>
  <si>
    <t>JUAN AROCANQUI TENORIO</t>
  </si>
  <si>
    <t>FELICIANO ROMANI ROJAS</t>
  </si>
  <si>
    <t>AURELIO HUAMAN VENTURA</t>
  </si>
  <si>
    <t>EMILIANO PAUCAR BAUTISTA</t>
  </si>
  <si>
    <t>ANGEL ALEGRIA BAUTISTA</t>
  </si>
  <si>
    <t>EDWIN BAUTISTA ALEGRIA</t>
  </si>
  <si>
    <t>SILVIA CACÑAHUARAY JANAMPA</t>
  </si>
  <si>
    <t>ROBERTO JANAMPA MALMACEDA</t>
  </si>
  <si>
    <t>CELSO JANAMPA MALMACEDA</t>
  </si>
  <si>
    <t>PRESIDENTE DE CUADRILLA</t>
  </si>
  <si>
    <t>JULIAN PALOMINO SANCHEZ</t>
  </si>
  <si>
    <t>JORGE DE LA CRUZ MEZA</t>
  </si>
  <si>
    <t>CAYO PAUCAR JIMENEZ</t>
  </si>
  <si>
    <t>ELADIO MIZARE BARRIENTOS</t>
  </si>
  <si>
    <t>GUILLERMO PAUCCARA ALCANTARA</t>
  </si>
  <si>
    <t>RAFAEL HUAMANI AYALA</t>
  </si>
  <si>
    <t>CESAR RODRIGUEZ QUISPE</t>
  </si>
  <si>
    <t>INMA QUINO ESPINOZA</t>
  </si>
  <si>
    <t>DIONISIO POMASONCCO QUISPE</t>
  </si>
  <si>
    <t>MARCOS SERGIO QUISPE CASAVILCA</t>
  </si>
  <si>
    <t>GERMAN VARGAS CAHUANA</t>
  </si>
  <si>
    <t>JULIAN NUÑEZ CAMASCA</t>
  </si>
  <si>
    <t>OSCAR NUÑEZ HUAMANI</t>
  </si>
  <si>
    <t>EDLY COLLAHUACHO YANAMA</t>
  </si>
  <si>
    <t>TOMAS ARIAS YUPA</t>
  </si>
  <si>
    <t>VIRGILIO HUAMANI VARGAS</t>
  </si>
  <si>
    <t>ANA VILMA CONTRERAS CUSIATADO</t>
  </si>
  <si>
    <t>SUMEYR VEGA AYALA</t>
  </si>
  <si>
    <t>SEVERO PARADO GUERRA</t>
  </si>
  <si>
    <t>EFRAIN GONZALES QUISPE</t>
  </si>
  <si>
    <t>ORLANDO QUISPE GODOY</t>
  </si>
  <si>
    <t>ALFONSO HUAMANI ARONI</t>
  </si>
  <si>
    <t>SERAPIO HUAMANI ARONI</t>
  </si>
  <si>
    <t>ARTURO NUÑEZ HUAMANCULI</t>
  </si>
  <si>
    <t>EDGAR CAYLLAHUA SULLCA</t>
  </si>
  <si>
    <t>WILLIAM AMBULO CARDENAS</t>
  </si>
  <si>
    <t>RUBEN SULCA CHAVEZ</t>
  </si>
  <si>
    <t>PIO MENDOZA QUISPE</t>
  </si>
  <si>
    <t>NILO QUISPE RODRIGUEZ</t>
  </si>
  <si>
    <t>VICTOR INOCENCIO FERNANDEZ QUISPE</t>
  </si>
  <si>
    <t>NILO VILLAVICENCIO GUTIERREZ</t>
  </si>
  <si>
    <t>JULIAN BUITRON RAMIREZ</t>
  </si>
  <si>
    <t>BELTRAN BUITRON TABOADA</t>
  </si>
  <si>
    <t>WILMER GOMEZ GUTIERREZ</t>
  </si>
  <si>
    <t>EUDOSIO QUISPE QUINTO</t>
  </si>
  <si>
    <t>JACINTO MENDOZA AMBULO</t>
  </si>
  <si>
    <t>GAVINO MARCELO PALOMINO MARTINEZ</t>
  </si>
  <si>
    <t>LENIN BALDEON GOMEZ</t>
  </si>
  <si>
    <t>TOMAS PULIDO QUISPE</t>
  </si>
  <si>
    <t>AMADOR QUISPE BALDEON</t>
  </si>
  <si>
    <t>CARLOS SOTO PALACIOS</t>
  </si>
  <si>
    <t>RINSO BAEZ RAMIREZ</t>
  </si>
  <si>
    <t>PAULINA RAYMI ALMEIDA</t>
  </si>
  <si>
    <t>MACEDONIO CARLOS CERON BALBOA</t>
  </si>
  <si>
    <t>RUBEN CERON MANCILLA</t>
  </si>
  <si>
    <t>NESTOR MORALES GUTIERREZ</t>
  </si>
  <si>
    <t>ANGEL GOMEZ LEON</t>
  </si>
  <si>
    <t>JUAN PARODI ESPINOZA</t>
  </si>
  <si>
    <t>FRANCISCO PIZARRO SALVATIERRA</t>
  </si>
  <si>
    <t>DELFIN LAZON MORALES</t>
  </si>
  <si>
    <t>WILBER GUTIERREZ VASQUEZ</t>
  </si>
  <si>
    <t>JAVIER LEON CORONADO</t>
  </si>
  <si>
    <t>EDGAR QUISPE ALIAGA</t>
  </si>
  <si>
    <t>HECTOR GUTIERREZ REMON</t>
  </si>
  <si>
    <t>ROLANDO BELLIDO ANDRADE</t>
  </si>
  <si>
    <t>FORTUNATO FUENTES MARTINEZ</t>
  </si>
  <si>
    <t>RODOLFO ÑAUPAS TABOADA</t>
  </si>
  <si>
    <t>GABRIEL MENDOZA CORONADO</t>
  </si>
  <si>
    <t>FEDERICO JANAMPA ESCRIBA</t>
  </si>
  <si>
    <t>PAULINO PEÑA CHUYMA</t>
  </si>
  <si>
    <t>VICTORIANO QUISPE SOCA</t>
  </si>
  <si>
    <t>LUIS QUISPE BALDEON</t>
  </si>
  <si>
    <t>SAMUEL DIAZ RAMIREZ</t>
  </si>
  <si>
    <t>DIOGENES CASTRO ORE</t>
  </si>
  <si>
    <t>SAUL MEDINA GAMBOA</t>
  </si>
  <si>
    <t>OSCAR BALDEON DE LA CRUZ</t>
  </si>
  <si>
    <t>MODESTO PALACIOS MONTES</t>
  </si>
  <si>
    <t>JORGE HUAYTA QUISPE</t>
  </si>
  <si>
    <t>ALIPIO BALBOA OCHOA</t>
  </si>
  <si>
    <t>CIRILO JAUREGUI GAMBOA</t>
  </si>
  <si>
    <t>JUAN CARLOS COCHACHI NAJARRO</t>
  </si>
  <si>
    <t>TEOBALDO ROJAS ESPINOZA</t>
  </si>
  <si>
    <t>LIDER TEOFILO MARTINEZ RIVERA</t>
  </si>
  <si>
    <t>JUAN AYALA GOMEZ</t>
  </si>
  <si>
    <t>JOSE LUIS RIVERA QUISPE</t>
  </si>
  <si>
    <t>MELITON CERDA QUISPE</t>
  </si>
  <si>
    <t>ALEJANDRO GOMEZ PALOMINO</t>
  </si>
  <si>
    <t>VICTOR VICENTE CRISOSTOMO GOMEZ</t>
  </si>
  <si>
    <t>JHON SOTO DIAZ</t>
  </si>
  <si>
    <t>FIDEL OCHANTE HERMOZA</t>
  </si>
  <si>
    <t>CESAR ORE CERDA</t>
  </si>
  <si>
    <t>PERCY ARANGO ORE</t>
  </si>
  <si>
    <t>INFORMANTES CALIFICADOS PARTICIPANTES EN LA ENCUESTA</t>
  </si>
  <si>
    <t>RESIDENTE</t>
  </si>
  <si>
    <t>BARTOLOME HUAMANI LAURA</t>
  </si>
  <si>
    <t xml:space="preserve">AGRICULTOR </t>
  </si>
  <si>
    <t>VICEPRESIDENTE</t>
  </si>
  <si>
    <t>TENIENTE</t>
  </si>
  <si>
    <t>PRODUCTOR</t>
  </si>
  <si>
    <t>PRESIDENTE DE LA COMUNIDAD</t>
  </si>
  <si>
    <t xml:space="preserve">PRESIDENTA DE LA COMUNIDAD </t>
  </si>
  <si>
    <t>FELICIANO ZAMORA RAUCANA</t>
  </si>
  <si>
    <t>COMITÉ REGANTES</t>
  </si>
  <si>
    <t>COMUNERO</t>
  </si>
  <si>
    <t>COMUNERA</t>
  </si>
  <si>
    <t>SUBPREFECTO</t>
  </si>
  <si>
    <t>MARCELINO LUNASCO RAMOS</t>
  </si>
  <si>
    <t>PEDRO ARANGO MEDINA</t>
  </si>
  <si>
    <t>TECNICO</t>
  </si>
  <si>
    <t>JAVIER OCHOA SOSA</t>
  </si>
  <si>
    <t>SUBPREFECTA</t>
  </si>
  <si>
    <t>JUAN ARISTIDES CARDENAS MOSCOSO</t>
  </si>
  <si>
    <t>BARTOLOME MARTINEZ POLANCO</t>
  </si>
  <si>
    <t>VICENTA JUSTINA JARA GUERRA</t>
  </si>
  <si>
    <t>ALI ENRIQUE ANTEZANA BENDEZU</t>
  </si>
  <si>
    <t>REMIGIO REYES LUCANA</t>
  </si>
  <si>
    <t>JULIAN HUARACA HUAMANI</t>
  </si>
  <si>
    <t xml:space="preserve">PRODUCTOR </t>
  </si>
  <si>
    <t>LUZ PILAR MITMA ESPINOZA</t>
  </si>
  <si>
    <t>ADRIAN BULEJE ALARCON</t>
  </si>
  <si>
    <t>VICEPRESIDFENTE</t>
  </si>
  <si>
    <t>PRESIDENTA DE LA COMUNIDAD</t>
  </si>
  <si>
    <t>OSCAR PUCHURI AYALA</t>
  </si>
  <si>
    <t>EX REGIDOR</t>
  </si>
  <si>
    <t>EX SUB PREFECTO</t>
  </si>
  <si>
    <t>GERENTE MUNICIPAL</t>
  </si>
  <si>
    <t>VICEPERESIDENTE</t>
  </si>
  <si>
    <t>TRABAJADOR DEL MUNICIPIO</t>
  </si>
  <si>
    <t>SECRETARIA REGANTES</t>
  </si>
  <si>
    <t>JUNTA DE USUARIOS</t>
  </si>
  <si>
    <t>FABIAN HUARIPAUCAR ROJAS</t>
  </si>
  <si>
    <t>RUFINO URBANO ARAUJO</t>
  </si>
  <si>
    <t>GLORIA VIRGINIA CALDERON CHECCLLO</t>
  </si>
  <si>
    <t>DARIO ANAYHUAMAN PAUCAR</t>
  </si>
  <si>
    <t>CESAR BRIGIDO ANYOSA INTIMAYTA</t>
  </si>
  <si>
    <t>EXALTACION QUINCHO ZAMORA</t>
  </si>
  <si>
    <t>JUAN LAZARO GALINDO HUAMANI</t>
  </si>
  <si>
    <t>ANATOLIO ALEJANDRO CUBA MISAICO</t>
  </si>
  <si>
    <t>ELVA CAROLINA HUAMANI MISAICO</t>
  </si>
  <si>
    <t>ANCELMO TARQUI QUISPE</t>
  </si>
  <si>
    <t>FIDEL ISAIAS MALDONADO HUAMANI</t>
  </si>
  <si>
    <t>ALEJANDRO LEANDRO GUERRA CRUZ</t>
  </si>
  <si>
    <t>ANA GLORIA NIETO SOSA</t>
  </si>
  <si>
    <t>ESTHER VENTURA TORRES</t>
  </si>
  <si>
    <t>RAMON RIVERA HUAMANI</t>
  </si>
  <si>
    <t>DAMASO HUAMANTINCO LOZANO</t>
  </si>
  <si>
    <t>LUIS GUILLERMO DELGADILLO YARANGA</t>
  </si>
  <si>
    <t>MIGUEL ESCRIBA MUÑOZ</t>
  </si>
  <si>
    <t>ALFREDO PILLACA BEDRIÑANA</t>
  </si>
  <si>
    <t>FAUSTINO BELLIDO QUISPE</t>
  </si>
  <si>
    <t>PEDRO PINZAS FLORES</t>
  </si>
  <si>
    <t>HECTOR QUISPE DIPAZ</t>
  </si>
  <si>
    <t>OCTAVIO MOROTE TUPIA</t>
  </si>
  <si>
    <t>SANTOS DEMETRIO HINOSTROZA CCENTA</t>
  </si>
  <si>
    <t>ELEUTERIO QUISPE CANCHARI</t>
  </si>
  <si>
    <t>CESAR ROBERTO MOROTE CUCHO</t>
  </si>
  <si>
    <t>JUAN REYES SALCEDO</t>
  </si>
  <si>
    <t>MARIO ESCRIBA MENDOZA</t>
  </si>
  <si>
    <t>FILOMENO PIANTO HINOSTROZA</t>
  </si>
  <si>
    <t>ANDRES MENDOZA TINEO</t>
  </si>
  <si>
    <t>FELIPE HUAYTALLA MENDOZA</t>
  </si>
  <si>
    <t>ABRAHAN QUISPE CULLAHUACHO</t>
  </si>
  <si>
    <t>CARLOS ALBERTO CANCHO QUISPE</t>
  </si>
  <si>
    <t>MIKIAS CUADROS RISCO</t>
  </si>
  <si>
    <t>JORGE LUIS CABEZAS SAHUANAY</t>
  </si>
  <si>
    <t>CESAR CANCHO MENDOZA</t>
  </si>
  <si>
    <t>JESUS PONCIANO BELLIDO</t>
  </si>
  <si>
    <t>MIGUEL ANGEL FERNANDEZ ASTO</t>
  </si>
  <si>
    <t>CARLOS ALBERTO ALANYA CURI</t>
  </si>
  <si>
    <t>JORGE MARIO QUISPE JAIME</t>
  </si>
  <si>
    <t>WILFREDO JAUREGUI HUAMAN</t>
  </si>
  <si>
    <t>CLAUDIO JULIO PALOMINO HUARCAYA</t>
  </si>
  <si>
    <t>MOISES ZOZIMO GARAY CANCHO</t>
  </si>
  <si>
    <t>JULIAN TENORIO BEJAR</t>
  </si>
  <si>
    <t>EMILIO EYDER MOROTE VEGA</t>
  </si>
  <si>
    <t>LINCOL FREDY AYALA BARRON</t>
  </si>
  <si>
    <t>VIDAL ANTONIO MOROTE CISNEROS</t>
  </si>
  <si>
    <t>JULIAN CAMPOS MORENO</t>
  </si>
  <si>
    <t>FILOMENO CAMPOS MORENO</t>
  </si>
  <si>
    <t>ALEJANDRO QUICAÑO ALANYA</t>
  </si>
  <si>
    <t>FRANCISCA CUADROS DE SULCA</t>
  </si>
  <si>
    <t>CESAR AUGUSTO HUAMANI PARIHUAMAN</t>
  </si>
  <si>
    <t>FREDY PERALTA LLOCCLLA</t>
  </si>
  <si>
    <t>TOMAS TINOCO PALOMINO</t>
  </si>
  <si>
    <t>AMELIA NARCISO ROBLES</t>
  </si>
  <si>
    <t>MARCIANO JANAMPA VILCHEZ</t>
  </si>
  <si>
    <t>MARCIAL BARRIAL PAREJA</t>
  </si>
  <si>
    <t>JUAN CARLOS MERCADO PILLACA</t>
  </si>
  <si>
    <t>JESUS MERCADO MANTILLA</t>
  </si>
  <si>
    <t>LOURDES TAYPE QUISPE</t>
  </si>
  <si>
    <t>IGNACIO JESUS YUPANQUI HUAYHUA</t>
  </si>
  <si>
    <t>ALFREDO CORDOVA YUPANQUI</t>
  </si>
  <si>
    <t>TRINITARIO OCTAVIO CARRASCO HUAMAN</t>
  </si>
  <si>
    <t>NADIOSCA EPIFANIA LUYA BERROCAL</t>
  </si>
  <si>
    <t>RONAL ROMULO RUPAY ROCA</t>
  </si>
  <si>
    <t>ALEJANDRO GUTIERREZ CLARA</t>
  </si>
  <si>
    <t>EZEQUIEL SAEZ TACO</t>
  </si>
  <si>
    <t>BIBIANA AURELIA SACCSARA CARDENAS</t>
  </si>
  <si>
    <t>HERMENEGILDO ALVITES HUAYHUA</t>
  </si>
  <si>
    <t>MARI LUZ GUTIERREZ CARDENAS</t>
  </si>
  <si>
    <t>MARCIAL COLLAHUACHO ZAMORA</t>
  </si>
  <si>
    <t>FELIX COLLAHUACHO ANAYA</t>
  </si>
  <si>
    <t>FRANCISCO PAULINO MENDOZA GONZALES</t>
  </si>
  <si>
    <t>YSIDRO HUARANCCA LIMAQUISPE</t>
  </si>
  <si>
    <t>PERCE MENDOZA CONTRERAS</t>
  </si>
  <si>
    <t>JAVIER YUPANQUI HUAMANI</t>
  </si>
  <si>
    <t>ZOCIMO VILLANUEVA CHUMBES</t>
  </si>
  <si>
    <t>LIZ CAROLA GODOY MALLQUI</t>
  </si>
  <si>
    <t>JUAN ATAUCUSI CONDORI</t>
  </si>
  <si>
    <t>MARINO ANTONIO ATAUCUSI RUYRO</t>
  </si>
  <si>
    <t>MARDONIO CANCHOHUAMAN QUISPE</t>
  </si>
  <si>
    <t>MECOLAS RUPAY LLACCTAHUAMAN</t>
  </si>
  <si>
    <t>GLORIA HAYDEE VALDEZ FLORES</t>
  </si>
  <si>
    <t>FORTUNATO APARICIO CASTRO CURI</t>
  </si>
  <si>
    <t>VICENTE CHOQUECAHUA RIVEROS</t>
  </si>
  <si>
    <t>RICHARD GOMEZ LLAMOCCA</t>
  </si>
  <si>
    <t>ZACARIAS OCHOA FERNANDEZ</t>
  </si>
  <si>
    <t>NILO ALFREDO JANAMPA MENESES</t>
  </si>
  <si>
    <t>JUAN DE DIOS MALLQUI CUBA</t>
  </si>
  <si>
    <t>SALOMON A CUBA INFANZON</t>
  </si>
  <si>
    <t>MARTIN PARIONA RIVEROS</t>
  </si>
  <si>
    <t>VICTOR GERONIMO GOMEZ OCHOA</t>
  </si>
  <si>
    <t>MIGUEL REYNALDO MUNAYLLA MENDOZA</t>
  </si>
  <si>
    <t>RONALD CASMA SANCHEZ</t>
  </si>
  <si>
    <t>LUIS ROBERTO GALINDO MEJIA</t>
  </si>
  <si>
    <t>GREGORIO HUARCAYA HACHAS</t>
  </si>
  <si>
    <t>WILFREDO PRADO QUICAÑO</t>
  </si>
  <si>
    <t>JOSE ANTONIO GOMEZ ESPINOZA</t>
  </si>
  <si>
    <t>LUIS ALBERTO COLOS TENORIO</t>
  </si>
  <si>
    <t>JORGE ROCA MENDEZ</t>
  </si>
  <si>
    <t>VICENTE MORENO ALARCON</t>
  </si>
  <si>
    <t>TEOFILO ROCA GARAMENDI</t>
  </si>
  <si>
    <t>JHONY VELASQUEZ DE LA CRUZ</t>
  </si>
  <si>
    <t>TEODORICO FLORES DE LA CRUZ</t>
  </si>
  <si>
    <t>ROBERTO MARTINEZ CUADROS</t>
  </si>
  <si>
    <t>ISIDRO ALARCON HINOSTROZA</t>
  </si>
  <si>
    <t>CRISOLOGO PERALTA HUAYTALLA</t>
  </si>
  <si>
    <t>ALEJANDRINA QUISPE YANCCE</t>
  </si>
  <si>
    <t>ADRIAN CAMPOS MEDRANO</t>
  </si>
  <si>
    <t>PERCY GARAY BAIGORREA</t>
  </si>
  <si>
    <t>JESUS LLANTOY LOPEZ</t>
  </si>
  <si>
    <t>MOISES REDOLFO GUTIERREZ</t>
  </si>
  <si>
    <t>DARIO FLORES MEDINA</t>
  </si>
  <si>
    <t>LIDIA LICAS CABRERA</t>
  </si>
  <si>
    <t>RAUL QUICHCA RETAMOZO</t>
  </si>
  <si>
    <t>SABINA HUAYHUAMEZA QUISURUCO</t>
  </si>
  <si>
    <t>NOE HUAMAN VILCA</t>
  </si>
  <si>
    <t>JACINTO ALFONSO QUISPE PAUCARHUANCA</t>
  </si>
  <si>
    <t>NARCISO VILCHEZ CHECCNES</t>
  </si>
  <si>
    <t>OSCAR JUAREZ BARRIENTOS</t>
  </si>
  <si>
    <t>PASTOR MARCIAL PILLIHUAMAN FLORES</t>
  </si>
  <si>
    <t>NELSON EVANAN ALLCCAHUAMAN</t>
  </si>
  <si>
    <t>WILBER ALLCCAHUAMAN CHAUPIN</t>
  </si>
  <si>
    <t>ALCIBIADES ALLCCAHUAMAN CHAUPIN</t>
  </si>
  <si>
    <t>CESAR AGUSTIN HUAMAN ARONES</t>
  </si>
  <si>
    <t>GREGORIO RIMACHE ÑAUPA</t>
  </si>
  <si>
    <t>DAMIAN ELEAZAR GARAGUNDO LAURENTE</t>
  </si>
  <si>
    <t>SIMON ARRIGOYLA GASPAR</t>
  </si>
  <si>
    <t>GERARDO MEDINA LIMACHE</t>
  </si>
  <si>
    <t>PAULINO GARCIA CUCHO</t>
  </si>
  <si>
    <t>LAZARO ORE SANCHEZ</t>
  </si>
  <si>
    <t>PAULINO ESPINOZA MALLQUI</t>
  </si>
  <si>
    <t>JAVIER PEDRO VERA QUINTERO</t>
  </si>
  <si>
    <t>FILEMON QUISPE CURO</t>
  </si>
  <si>
    <t>ROSA ELISEA ORE ORTEGA</t>
  </si>
  <si>
    <t>ANGELINO HILAREZ PEREZ</t>
  </si>
  <si>
    <t>ZACARIAS CLEMENTE GARCIA CORONADO</t>
  </si>
  <si>
    <t>YONEL ALBERTO VILLANUEVA PALOMINO</t>
  </si>
  <si>
    <t>MOISES RODRIGUEZ DURAND</t>
  </si>
  <si>
    <t>EFRAIN SOTO DURAND</t>
  </si>
  <si>
    <t>EUSEBIO POLANCO CCENTE</t>
  </si>
  <si>
    <t>MAXIMO HUAMAN RICRA</t>
  </si>
  <si>
    <t>PELAYO ÑAUPA ROMERO</t>
  </si>
  <si>
    <t>DOMETILIO PADILLA GAMBOA</t>
  </si>
  <si>
    <t>FRANCISCO CISNEROS ENCIZO</t>
  </si>
  <si>
    <t>JUSTO RAUL PALOMINO ORE</t>
  </si>
  <si>
    <t>FORTUNATO SULLCA MAITA</t>
  </si>
  <si>
    <t>DONATO CHOCCE CCACCRO</t>
  </si>
  <si>
    <t>MARIO RAMIREZ LUNASCO</t>
  </si>
  <si>
    <t>ANSELMO RAMIREZ LONASCO</t>
  </si>
  <si>
    <t>HECTOR CESAR RASCHIO UCEDA</t>
  </si>
  <si>
    <t>CLEMENTE MARIO VELASQUE HUAMAN</t>
  </si>
  <si>
    <t>JULIO CESAR ASCARZA MORALES</t>
  </si>
  <si>
    <t>BENIGNO DIAZ ASTOPILLO</t>
  </si>
  <si>
    <t>JORGE SATURNINO NAVARRO FERNANDEZ</t>
  </si>
  <si>
    <t>RAMON ADOLFO ACEVEDO ERAZO</t>
  </si>
  <si>
    <t>EDGAR EDMUNDO LOPEZ SALAZAR</t>
  </si>
  <si>
    <t>DIONISIO PARIONA CHAVEZ</t>
  </si>
  <si>
    <t>JHON WILBER PEÑA HUAMAN</t>
  </si>
  <si>
    <t>ANTONIO FELIX RAMOS LLANCCE</t>
  </si>
  <si>
    <t>DENIS ALBERTO VALENCIA RAMOS</t>
  </si>
  <si>
    <t>CRISTIAN PAREDES HUAMAN</t>
  </si>
  <si>
    <t>YEFER KENE CANCHARI CONDOR</t>
  </si>
  <si>
    <t>ALFREDO ÑAUPARI FARFAN</t>
  </si>
  <si>
    <t>EFRAIN ÑAUPA VELASQUE</t>
  </si>
  <si>
    <t>MAURO FLORES TORRES</t>
  </si>
  <si>
    <t>JUAN ARAUJO AUCCATOMA</t>
  </si>
  <si>
    <t>ADOLFO AYALA SOLIS</t>
  </si>
  <si>
    <t>TORIBIO HUACRE CHUMBES</t>
  </si>
  <si>
    <t>NORMA HERMILINDA SANCHEZ CHUMBEZ</t>
  </si>
  <si>
    <t>ZECENIO MALLQUI HUARACA</t>
  </si>
  <si>
    <t>RENEY ABILA HUAMAN</t>
  </si>
  <si>
    <t>MOISES OSORIO HUARACA</t>
  </si>
  <si>
    <t>FELIPE AGUILAR MUÑOZ</t>
  </si>
  <si>
    <t>JAIME YOR GUTIERREZ CHALCO</t>
  </si>
  <si>
    <t>DEGNY CHOCCE FLORES</t>
  </si>
  <si>
    <t>ROLAN PEREZ LUNA</t>
  </si>
  <si>
    <t>NENE GIRBETH CCAICURI LOPEZ</t>
  </si>
  <si>
    <t>HELI WALTER GUZMAN PALOMINO</t>
  </si>
  <si>
    <t>NILDA HUAYHUA RUIZ</t>
  </si>
  <si>
    <t>FELIX CCASANI GUIZADO</t>
  </si>
  <si>
    <t>HERNAN DIAZ HINOSTROZA</t>
  </si>
  <si>
    <t>EDGAR FREDY LEON RODRIGUEZ</t>
  </si>
  <si>
    <t>LIDIO HUAMAN ROJAS</t>
  </si>
  <si>
    <t>HERMENEGILDO MAXIMO MORENO OSCCO</t>
  </si>
  <si>
    <t>JUAN LUCIO GOMEZ SALAZAR</t>
  </si>
  <si>
    <t>ABRAHAM CCOLLANA QUINTO</t>
  </si>
  <si>
    <t>NICOLAS DEVARIS GOMEZ HUACHACA</t>
  </si>
  <si>
    <t>VICTOR MIGUEL TORRES</t>
  </si>
  <si>
    <t>MAMERTO ZAMORA VILA</t>
  </si>
  <si>
    <t>TEODOSIO CCAPCHA CASAFRANCA</t>
  </si>
  <si>
    <t>CEFERINO LLOCCLLA ERAZO</t>
  </si>
  <si>
    <t>ANATOLIO GARCIA GUTIERREZ</t>
  </si>
  <si>
    <t>ATILIO ESPINOZA FERNANDEZ</t>
  </si>
  <si>
    <t>SIXTO CARDENAS QUISPE</t>
  </si>
  <si>
    <t>IRENEO BENDAÑO URBANO</t>
  </si>
  <si>
    <t>TEODORO ZAMORA CHAVEZ</t>
  </si>
  <si>
    <t>JUAN DE DIOS TAIPE HUARACA</t>
  </si>
  <si>
    <t>JUAN LAPA ROMERO</t>
  </si>
  <si>
    <t>FILEMON PALOMINO HUMAREDA</t>
  </si>
  <si>
    <t>YOVER MUCHA HUALLPA</t>
  </si>
  <si>
    <t>INDALICIO DURAND ORE</t>
  </si>
  <si>
    <t>GUALBERTO LUIS PEREZ ÑAHUI</t>
  </si>
  <si>
    <t>HERNAN CARDENAS HUAMAN</t>
  </si>
  <si>
    <t>MAURO ALEJANDRO FLORES VEGA</t>
  </si>
  <si>
    <t>JAVIER GUTIERREZ CAYLLAHUA</t>
  </si>
  <si>
    <t>SEVERINO CAYLLAHUA HUAMAN</t>
  </si>
  <si>
    <t>EUGENIO SULCA BORDA</t>
  </si>
  <si>
    <t>CESAR VENTURA CALDERON</t>
  </si>
  <si>
    <t>PERCE HERMOZA HUAMAN</t>
  </si>
  <si>
    <t>MOISES CCORAHUA TERRAZA</t>
  </si>
  <si>
    <t>FORTUNATO FERNANDEZ FLORES</t>
  </si>
  <si>
    <t>NATIVIDAD LUCIA ARQUIÑEGO DE RAMOS</t>
  </si>
  <si>
    <t>JUAN BAUTISTA GARIBAY JAUREGUI</t>
  </si>
  <si>
    <t>LUCIO ESPEJO ROJAS</t>
  </si>
  <si>
    <t>JONNY ALFREDO ROJAS SANCHEZ</t>
  </si>
  <si>
    <t>ALEJANDRO DELGADO LEON</t>
  </si>
  <si>
    <t>AMANCIO HUANACO CACCHA</t>
  </si>
  <si>
    <t>ALBERTO CRISOSTOMO OSCCO</t>
  </si>
  <si>
    <t>MELANIO HUAMANI DAMIAN</t>
  </si>
  <si>
    <t>REIMUNDO HUAMANI INCA</t>
  </si>
  <si>
    <t>LUIS DIAZ FLORES</t>
  </si>
  <si>
    <t>MACARIO HUAMANI CUPE</t>
  </si>
  <si>
    <t>ROGER JESUS LOPEZ CARRASCO</t>
  </si>
  <si>
    <t>IGNACIO ANDRES CABRERA LOAYZA</t>
  </si>
  <si>
    <t>MOISES VICTOR HUAMANI LOAYZA</t>
  </si>
  <si>
    <t>YBAN ANTONIO JIMENEZ ALVARO</t>
  </si>
  <si>
    <t>ZENAIDA CIRILA MONTESINOS ESCOBAR</t>
  </si>
  <si>
    <t>JUAN CARLOS GUTIERREZ FLORES</t>
  </si>
  <si>
    <t>CAYO ORTIZ MIRANDA</t>
  </si>
  <si>
    <t>FAUSTINO QUISPE LLAMOCCA</t>
  </si>
  <si>
    <t>NOE ISRAEL GALLEGOS CASTAÑEDA</t>
  </si>
  <si>
    <t>SERGIO CASTAÑEDA PUJAICO</t>
  </si>
  <si>
    <t>ROMAN RICHARD SOTELO ANAYHUAMAN</t>
  </si>
  <si>
    <t>FRANCISCO ABELARDO CHAVEZ SALCEDO</t>
  </si>
  <si>
    <t>PAULINO ALFONSO REJAS RUPIRE</t>
  </si>
  <si>
    <t>LUIS ALBERTO FLORES REYNAGA</t>
  </si>
  <si>
    <t>JULIO CESAR CANALES SARMIENTO</t>
  </si>
  <si>
    <t>PELAGIO JURADO MORENO</t>
  </si>
  <si>
    <t>RAYZA MIRELLA ROMUCHO ESCALANTE</t>
  </si>
  <si>
    <t>TORIBIO HUAMANI CHUMBILE</t>
  </si>
  <si>
    <t>RUTHBELIA ADELAIDA SANDOVAL YARIHUAMAN</t>
  </si>
  <si>
    <t>EDSON RAUL ROMUCHO CRUCES</t>
  </si>
  <si>
    <t>IVAN RICHARD BENDEZU TRILLO</t>
  </si>
  <si>
    <t>DIONICIO ALARCON LIZARBE</t>
  </si>
  <si>
    <t>NARCISA ALICIA ROCA REVILLA</t>
  </si>
  <si>
    <t>DEMETRIO HONORATO SILLIRICO SOSAYA</t>
  </si>
  <si>
    <t>PAULINO TORRES PARIONA</t>
  </si>
  <si>
    <t>DIONISIO FLORES GARCIA</t>
  </si>
  <si>
    <t>ZENON ANDRADE ACHULLA</t>
  </si>
  <si>
    <t>HENDRIK DANIEL ESPINOZA PALOMINO</t>
  </si>
  <si>
    <t>ERNESTO MANFREDO HERENCIA BENDEZU</t>
  </si>
  <si>
    <t>DARIO MEZA POMASONCCO</t>
  </si>
  <si>
    <t>ROJER CLEIBER SARAVIA PALOMINO</t>
  </si>
  <si>
    <t>RONY FABIANI GARCIA ANTAYA</t>
  </si>
  <si>
    <t>JOSE GUILLERMO GARCIA BERROCAL</t>
  </si>
  <si>
    <t>JHON GELER CHAVEZ SUAREZ</t>
  </si>
  <si>
    <t>LUIS RONALD URBANO TAYA</t>
  </si>
  <si>
    <t>ELMER PABLO HUAMANI INFANZÓN</t>
  </si>
  <si>
    <t>LUIS PAULINO ROJAS ALFARO</t>
  </si>
  <si>
    <t>CELMIRA HUAMANI REYES</t>
  </si>
  <si>
    <t>YURI ANTONIO PINO ANTEZANA</t>
  </si>
  <si>
    <t>FAUSTO FROILAN PARIONA CUPE</t>
  </si>
  <si>
    <t>HIPOLITO LIZANO TINCOPA</t>
  </si>
  <si>
    <t>EFRAIN CIRIANO AMAO MOCHCCO</t>
  </si>
  <si>
    <t>ESMELIN ZOSIMO PEÑAFIEL GARCIA</t>
  </si>
  <si>
    <t>PABLO JIMENEZ CANALES</t>
  </si>
  <si>
    <t>VITORIO ASTOYAURI COLORADO</t>
  </si>
  <si>
    <t>BERNAVE CANCHOS ANCCANA</t>
  </si>
  <si>
    <t>JUANDE PINO ATOCCSA</t>
  </si>
  <si>
    <t>DAVID MEZA SANTARIA</t>
  </si>
  <si>
    <t>JUSTO LUIS GAVILAN GUTIERREZ</t>
  </si>
  <si>
    <t>MARIO SARAVIA ZAMORA</t>
  </si>
  <si>
    <t>PABLO ISIDORO CACERES VILCARIMA</t>
  </si>
  <si>
    <t>JORGE ORTEGA ATOCCZA</t>
  </si>
  <si>
    <t>POLICARPO TEODORO MASCCO JIMENEZ</t>
  </si>
  <si>
    <t>EFRAIN SERGIO MEDINA HUAMANI</t>
  </si>
  <si>
    <t>VICTORIANO BENITO CENTENO LOPEZ</t>
  </si>
  <si>
    <t>WILVER HUAUYA HUAMANI</t>
  </si>
  <si>
    <t>ALFREDO PERALTA GARIBAY</t>
  </si>
  <si>
    <t>SERGIO WILER CANCHOS INFANZON</t>
  </si>
  <si>
    <t>NESTOR GUTIERREZ MUÑOZ</t>
  </si>
  <si>
    <t>JUDITH ROXANA ORE BERNAOLA</t>
  </si>
  <si>
    <t>BERNARDO SAMUEL CAUTI LOPEZ</t>
  </si>
  <si>
    <t>MARCELINO LEONSO JIMENEZ POZO</t>
  </si>
  <si>
    <t>JOHNY ALFREDO ARONI CAUTI</t>
  </si>
  <si>
    <t>WILBER RAFAEL NEYRA NEYRA</t>
  </si>
  <si>
    <t>FELIPE FERNANDO NINA NEYRA</t>
  </si>
  <si>
    <t>FAUSTINO BELTRAN CONTRERAS PEÑA</t>
  </si>
  <si>
    <t>JHON WILFREDO PINARES FLORES</t>
  </si>
  <si>
    <t>WILFREDO TOMAS SALAS SANTI</t>
  </si>
  <si>
    <t>JORGE ANTERO MEDINA SALCEDO</t>
  </si>
  <si>
    <t>GABRIEL ARCANGEL ARIAS GUTIERREZ</t>
  </si>
  <si>
    <t>ALBERTO ELEODORO ZARATE CHIMPAY</t>
  </si>
  <si>
    <t>CESAREGO DASIO ARAUJO HUAMANI</t>
  </si>
  <si>
    <t>ENCARNACION TEODOCIO NARREA OLIVO</t>
  </si>
  <si>
    <t>JUAN FRANCISCO GALINDO NARREA</t>
  </si>
  <si>
    <t>ROMAN FIDEL VARGAS ROMAN</t>
  </si>
  <si>
    <t>LAZARO FLORENCIO RODRIGUEZ PURCA</t>
  </si>
  <si>
    <t>HECTOR WALTER RAMOS CASTAÑEDA</t>
  </si>
  <si>
    <t>SILVERIO CCERHUAYO HUAMANI</t>
  </si>
  <si>
    <t>AGUSTIN ARONI QUISPE</t>
  </si>
  <si>
    <t>ALICIA ARACELI OSCCO MOSCOSO</t>
  </si>
  <si>
    <t>RUBEN LARLON CONDO CURI</t>
  </si>
  <si>
    <t>JUAN ARMANDO QUINTANILLA MENDOZA</t>
  </si>
  <si>
    <t>VICTOR PATRICIO ZARATE LUDEÑA</t>
  </si>
  <si>
    <t>VALERIANO ABDON LAIME IBARRA</t>
  </si>
  <si>
    <t>SANTOS GERARDO FERNANDEZ PAITAN</t>
  </si>
  <si>
    <t>HECTOR CLEMENTE LOPEZ RISTHER</t>
  </si>
  <si>
    <t>ELISVAN FLORENCIO MONTES LOA</t>
  </si>
  <si>
    <t>HUGO RAMON MONTES MONTESINOS</t>
  </si>
  <si>
    <t>REYNALDO ISAAC CALLAS LOPEZ</t>
  </si>
  <si>
    <t>FLORENCIA EULOGIA RETAMOZO ATAUCUSI</t>
  </si>
  <si>
    <t>CARLOS ANTONIO HUAMAN GARCIA</t>
  </si>
  <si>
    <t>JOSE MARTIN VIÑA ARCOS</t>
  </si>
  <si>
    <t>CIRILO RODICIENDO LLAMOCA VIÑA</t>
  </si>
  <si>
    <t>LEONARDO NEMESIO CACERES HILARION</t>
  </si>
  <si>
    <t>EDDISON ANDRES HUAMANI MURGA</t>
  </si>
  <si>
    <t>EDGAR TIBURCIO LUCANA CURI</t>
  </si>
  <si>
    <t>YSMAEL CALLA CAYO</t>
  </si>
  <si>
    <t>LUCAS ABEL GELDRES OROSCO</t>
  </si>
  <si>
    <t>MARIO RENE LEON QUILCARO</t>
  </si>
  <si>
    <t>ANDRES AVELINO CACERES ANTAYHUA</t>
  </si>
  <si>
    <t>PABLO JOSE CASAVERDE CASTAÑEDA</t>
  </si>
  <si>
    <t>EDGAR BACILIO FLORES ARANGOITIA</t>
  </si>
  <si>
    <t>DILMER CASTAÑEDA CASTAÑEDA</t>
  </si>
  <si>
    <t>FABIO SANTIAGO DIAZ MOLINA</t>
  </si>
  <si>
    <t>AGUEDO FELIPE HUAMANI LICAS</t>
  </si>
  <si>
    <t>FELIPE CRUZATE DURAND</t>
  </si>
  <si>
    <t>MATEO WILMAN QUISPE SANDOVAL</t>
  </si>
  <si>
    <t>PLINIO SATURNINO QUISPE RAFAEL</t>
  </si>
  <si>
    <t>MANUEL JESUS VILLEGAS CRUCES</t>
  </si>
  <si>
    <t>ADOLFO HERMOGENES CACCIRE VARGAS</t>
  </si>
  <si>
    <t>JESUS VIRGILIO BALDARRAGO SIHUI</t>
  </si>
  <si>
    <t>WENSESLADO RUMUALDO OVIEDO TEJADA</t>
  </si>
  <si>
    <t>SANTOS MAXIMO QUISPE MITMA</t>
  </si>
  <si>
    <t>MARTIN TEODORO ROCA AGUIRRE</t>
  </si>
  <si>
    <t>EDWIN AVELINO HUAMANI MENDOZA</t>
  </si>
  <si>
    <t>HENRRY AMERICO ARCE FALCON</t>
  </si>
  <si>
    <t>LUCIO MARCELO ARCE FALCON</t>
  </si>
  <si>
    <t>WILLIAMS HUAMAN CANALES</t>
  </si>
  <si>
    <t>SANTOS EDILBERTO EVANGELISTA FLORES</t>
  </si>
  <si>
    <t>RENE RICARDO ROSALES RUA</t>
  </si>
  <si>
    <t>ANGEL DOMINGO HUAMANI LLAMOCURO</t>
  </si>
  <si>
    <t>DIONISIO MATEO RUBIO CARCELEN</t>
  </si>
  <si>
    <t>ENRIQUE LUIS HUARHUA GUZMAN</t>
  </si>
  <si>
    <t>SECUNDINO FAUSTO CASTILLA FALCON</t>
  </si>
  <si>
    <t>EDUARDO CEFERINO FALCON ROJAS</t>
  </si>
  <si>
    <t>FELIX ALEJANDRO CARDENAS SALCEDO</t>
  </si>
  <si>
    <t>TEUDOLO GARIBAY TELLO</t>
  </si>
  <si>
    <t>EMILIO TOMAYLLA OROSCO</t>
  </si>
  <si>
    <t>RAUL ORLANDO HUARANCCA AYALA</t>
  </si>
  <si>
    <t>SANTIAGO ISAAC BALDEON PILLACA</t>
  </si>
  <si>
    <t>DIONISIO SALCEDO CABEZAS</t>
  </si>
  <si>
    <t>MARCIANO ZENON MENDIVIL LEON</t>
  </si>
  <si>
    <t>ZENON JULIO QUISPE PUCHURI</t>
  </si>
  <si>
    <t>GREGORIO FABIAN YUCRA GASPAR</t>
  </si>
  <si>
    <t>ALFONSO HUARCAYA HUAMANI</t>
  </si>
  <si>
    <t>SILVESTRE GOMEZ HUAMANI</t>
  </si>
  <si>
    <t>WILMAN PICHIHUA MALLQUI</t>
  </si>
  <si>
    <t>RAYMUNDO BERNABE HUAMANI POMA</t>
  </si>
  <si>
    <t>RENEE EFRAIN LLAMOCCA HUAMANI</t>
  </si>
  <si>
    <t>ELEODORO OCEAS SANTARIA HUAMANI</t>
  </si>
  <si>
    <t>ELVIS JULIO TINCO CHANCOS</t>
  </si>
  <si>
    <t>GUMERCINDO LEONCIO QUISPE MONTES</t>
  </si>
  <si>
    <t>YONATAN CAMPOS PORRAS</t>
  </si>
  <si>
    <t>TORIBIO ALFONSO PARIONA HUANCAHUARI</t>
  </si>
  <si>
    <t>NESTOR GALVEZ QUISPE</t>
  </si>
  <si>
    <t>RUBEN HUYHUA TOMAIRO</t>
  </si>
  <si>
    <t>ADELAIDO HUYHUA TOMAYRO</t>
  </si>
  <si>
    <t>DAMAZO HUANCA TORRES</t>
  </si>
  <si>
    <t>PELAGIO CHOCCÑA HUAMANI</t>
  </si>
  <si>
    <t>PELAYO ALIPIO PACHECO PILLPE</t>
  </si>
  <si>
    <t>EULOGIO HUACAUSE GOTA</t>
  </si>
  <si>
    <t>TEOFILO AGUERO HUAYHUALLA</t>
  </si>
  <si>
    <t>RAUL MENDOZA TITO</t>
  </si>
  <si>
    <t>VIDAL HUACCAN QUINTANILLA</t>
  </si>
  <si>
    <t>EUGENIO CAMPOS MIZAICO</t>
  </si>
  <si>
    <t>MACARIO CAYO ARGUEDAS PAYHUA</t>
  </si>
  <si>
    <t>VICTORIANO PAYHUA CARDENAS</t>
  </si>
  <si>
    <t>ALFONSO VIVANCO BERROCAL</t>
  </si>
  <si>
    <t>ANDREZ HUAMAN GOMEZ</t>
  </si>
  <si>
    <t>JUAN QUISPE CISNEROS</t>
  </si>
  <si>
    <t>TEOFANES MAXIMO HUAMAN ENRIQUEZ</t>
  </si>
  <si>
    <t>JUAN DE DIOS FELIX HUAMAN VENTURA</t>
  </si>
  <si>
    <t>NERIO HUAMAN BARRANTES</t>
  </si>
  <si>
    <t>JOAQUIN MEZA VASQUEZ</t>
  </si>
  <si>
    <t>ANGEL VARGAS VASQUEZ</t>
  </si>
  <si>
    <t>NILO EFRAIN CANCHARI POMASONCCO</t>
  </si>
  <si>
    <t>BENIGNO CESARIO LAGOS CHAUPIN</t>
  </si>
  <si>
    <t>JHONNY PARIONA YANAMA</t>
  </si>
  <si>
    <t>FORTUNATO ARTEAGA CHAUPIN</t>
  </si>
  <si>
    <t>EDGAR OSCAR ARIAS HUARACC</t>
  </si>
  <si>
    <t>SIMON ALEJANDRO LLANTOY PEREZ</t>
  </si>
  <si>
    <t>TEODOLINDA LLANTOY MEDINA</t>
  </si>
  <si>
    <t>PERCY WILFREDO ZAMORA LICAS</t>
  </si>
  <si>
    <t>JULIO VEGA LICAS</t>
  </si>
  <si>
    <t>CRESILDA VEGA CLAUDIO</t>
  </si>
  <si>
    <t>SANTOS LICAS VALDEZ</t>
  </si>
  <si>
    <t>VIBIANO GALINDO FERNANDEZ</t>
  </si>
  <si>
    <t>ANANIAS MISAEL GUTIERREZ FERNANDEZ</t>
  </si>
  <si>
    <t>MIGUEL ARQUIMEDES FERNANDEZ GALINDO</t>
  </si>
  <si>
    <t>PASCUAL ANTONIO TOLEDO SALCEDO</t>
  </si>
  <si>
    <t>WALTER DIONISIO NAJARRO OCHOA</t>
  </si>
  <si>
    <t>SOYER HEBER TABOADA GOMEZ</t>
  </si>
  <si>
    <t>VALERIANA LODUBINA ZEA SOTO</t>
  </si>
  <si>
    <t>ESMITT BARRIENTOS NAJARRO</t>
  </si>
  <si>
    <t>RICHARD SOLANO GOMEZ</t>
  </si>
  <si>
    <t>CHRISTIAN RODRIGUEZ TINCO</t>
  </si>
  <si>
    <t>LEONCIO CHIPANA LLALLIRE</t>
  </si>
  <si>
    <t>JAVIER SULCA GUTIERREZ</t>
  </si>
  <si>
    <t>ALFREDO TECCSI CARDENAS</t>
  </si>
  <si>
    <t>CLECITH ANALI ALVARADO RAMIREZ</t>
  </si>
  <si>
    <t>EDMUNDO FRUILAN DAVILA GARCIA</t>
  </si>
  <si>
    <t>CARMEN ROSA GARCIA VALDEZ</t>
  </si>
  <si>
    <t>ADOLFO MAGNO RAMIREZ RIVERA</t>
  </si>
  <si>
    <t>GLICERIO COCHACHI GALVAN</t>
  </si>
  <si>
    <t>ALIDA MARUJA PALOMINO HUAMANI</t>
  </si>
  <si>
    <t>WILLIAM GOMEZ AYALA</t>
  </si>
  <si>
    <t>ALFONSO GUTIERREZ GOMEZ</t>
  </si>
  <si>
    <t>CEBOLLA CABEZA AMARILLA</t>
  </si>
  <si>
    <t>HUANCA SANCOS</t>
  </si>
  <si>
    <t>2020-2021</t>
  </si>
  <si>
    <t>2022-2023</t>
  </si>
  <si>
    <t>CUADRO Nº 01: INTENCIONES DE SIEMBRA DE PRINCIPALES CULTIVOS DE CAMPAÑA AGRICOLA 2022-2023</t>
  </si>
  <si>
    <t>Seperficie sembrada (ha)</t>
  </si>
  <si>
    <t>Campaña agrícola</t>
  </si>
  <si>
    <t>CUADRO Nº 03: SERIE HISTORICA DE SUPEFICIES SEMBRADAS DE PRINCIPALES CULTIVOS DE CAMPAÑAS AGRICOLAS  2015-2016 A 2021-2022 E INTENCIONES DE SIEMBRA DE CAMPAÑA AGRICOLA 2022-2023</t>
  </si>
  <si>
    <t>CUADRO Nº 11: RESUMEN REGIONAL POR PROVINCIAS DE SUPERFICIES INTENCIONADAS DE SIEMBRAS DE LA CAMPAÑA AGRICOLA 2022-2023 (ha)</t>
  </si>
  <si>
    <t xml:space="preserve">CUADRO Nº 12: RESUMEN REGIONAL POR PROVINCIAS DE SUPERFICIES INTENCIONADAS DE SIEMBRAS DE LA CAMPAÑA AGRICOLA 2022-2023 (ha) </t>
  </si>
  <si>
    <t>CUADRO Nº 13: RESUMEN REGIONAL POR PROVINCIAS DE SUPERFICIES INTENCIONADAS DE SIEMBRAS DE LA CAMPAÑA AGRICOLA 2022-2023 (ha)</t>
  </si>
  <si>
    <t>CUADRO Nº 14: RESUMEN REGIONAL POR PROVINCIAS DE SUPERFICIES INTENCIONADAS DE SIEMBRAS DE LA CAMPAÑA AGRICOLA 2022-2023 (ha)</t>
  </si>
  <si>
    <t>CUADRO Nº 15: RESUMEN REGIONAL POR PROVINCIAS DE SUPERFICIES INTENCIONADAS DE SIEMBRAS DE LA CAMPAÑA AGRICOLA 2022-2023 (ha)</t>
  </si>
  <si>
    <t>CUADRO Nº 16: RESUMEN REGIONAL POR PROVINCIAS DE SUPERFICIES INTENCIONADAS DE SIEMBRAS DE LA CAMPAÑA AGRICOLA 2022-2023 (ha)</t>
  </si>
  <si>
    <t>CUADRO Nº 17: RESUMEN REGIONAL POR PROVINCIAS DE SUPERFICIES INTENCIONADAS DE SIEMBRAS DE LA CAMPAÑA AGRICOLA 2022-2023 (ha)</t>
  </si>
  <si>
    <t>CUADRO Nº 18: RESUMEN REGIONAL POR PROVINCIAS DE SUPERFICIES INTENCIONADAS DE SIEMBRAS DE LA CAMPAÑA AGRICOLA 2022-2023 (ha)</t>
  </si>
  <si>
    <t>CUADRO Nº 19: RESUMEN REGIONAL POR PROVINCIAS DE SUPERFICIES INTENCIONADAS DE SIEMBRAS DE LA CAMPAÑA AGRICOLA 2022-2023 (ha)</t>
  </si>
  <si>
    <t>CUADRO Nº 20: RESUMEN REGIONAL POR PROVINCIAS DE SUPERFICIES INTENCIONADAS DE SIEMBRAS DE LA CAMPAÑA AGRICOLA 2022-2023 (ha)</t>
  </si>
  <si>
    <t>CUADRO Nº 21: RESUMEN REGIONAL POR PROVINCIAS DE SUPERFICIES INTENCIONADAS DE SIEMBRAS DE LA CAMPAÑA AGRICOLA 2022-2023 (ha)</t>
  </si>
  <si>
    <t>CUADRO Nº 22: RESUMEN REGIONAL POR PROVINCIAS DE SUPERFICIES INTENCIONADAS DE SIEMBRAS DE LA CAMPAÑA AGRICOLA 2022-2023 (ha)</t>
  </si>
  <si>
    <t>CUADRO Nº 23: RESUMEN REGIONAL POR PROVINCIAS DE SUPERFICIES INTENCIONADAS DE SIEMBRAS DE LA CAMPAÑA AGRICOLA 2022-2023 (ha)</t>
  </si>
  <si>
    <t>CUADRO Nº 24: RESUMEN REGIONAL POR PROVINCIAS DE SUPERFICIES INTENCIONADAS DE SIEMBRAS DE LA CAMPAÑA AGRICOLA 2022-2023 (ha)</t>
  </si>
  <si>
    <t>CUADRO Nº 25: RESUMEN REGIONAL POR PROVINCIAS DE SUPERFICIES INTENCIONADAS DE SIEMBRAS DE LA CAMPAÑA AGRICOLA 2022-2023 (ha)</t>
  </si>
  <si>
    <t>CUADRO Nº 26: RESUMEN REGIONAL POR PROVINCIAS DE SUPERFICIES INTENCIONADAS DE SIEMBRAS DE LA CAMPAÑA AGRICOLA 2022-2023 (ha)</t>
  </si>
  <si>
    <t>CUADRO Nº 27: RESUMEN REGIONAL POR PROVINCIAS DE SUPERFICIES INTENCIONADAS DE SIEMBRAS DE LA CAMPAÑA AGRICOLA 2022-2023 (ha)</t>
  </si>
  <si>
    <t>CUADRO Nº 28: RESUMEN REGIONAL POR PROVINCIAS DE SUPERFICIES INTENCIONADAS DE SIEMBRAS DE LA CAMPAÑA AGRICOLA 2022-2023 (ha)</t>
  </si>
  <si>
    <t>CUADRO Nº 29: RESUMEN REGIONAL POR PROVINCIAS DE SUPERFICIES INTENCIONADAS DE SIEMBRAS DE LA CAMPAÑA AGRICOLA 2022-2023 (ha)</t>
  </si>
  <si>
    <t>CUADRO Nº 30: RESUMEN REGIONAL POR PROVINCIAS DE SUPERFICIES INTENCIONADAS DE SIEMBRAS DE LA CAMPAÑA AGRICOLA 2022-2023 (ha)</t>
  </si>
  <si>
    <t>GRAFICO Nº  10 : COMPARATIVO POR PROVINCIAS DE SUPERFICIES DE SIEMBRAS INTENCIONADAS DE CEBOLLA CABEZA ROJA DE LA CAMPAÑA AGRÍCOLA 2022-2023</t>
  </si>
  <si>
    <t>GRAFICO Nº  11 : COMPARATIVO POR PROVINCIAS DE SUPERFICIES DE SIEMBRAS INTENCIONADAS DE FRIJOL GRANO SECO DE LA CAMPAÑA AGRÍCOLA 2022-2023</t>
  </si>
  <si>
    <t>GRAFICO Nº  12 : COMPARATIVO POR PROVINCIAS DE SUPERFICIES DE SIEMBRAS INTENCIONADAS DE HABA GRANO SECO DE LA CAMPAÑA AGRÍCOLA 2022-2023</t>
  </si>
  <si>
    <t>GRAFICO Nº  13 : COMPARATIVO POR PROVINCIAS DE SUPERFICIES DE SIEMBRAS INTENCIONADAS DE HABA GRANO VERDE DE LA CAMPAÑA AGRÍCOLA 2022-2023</t>
  </si>
  <si>
    <t>GRAFICO Nº  14 : COMPARATIVO POR PROVINCIAS DE SUPERFICIES DE SIEMBRAS INTENCIONADAS DE MAÍZ AMARILLO DURO DE LA CAMPAÑA AGRÍCOLA 2022-2023</t>
  </si>
  <si>
    <t>GRAFICO Nº  16 : COMPARATIVO POR PROVINCIAS DE SUPERFICIES DE SIEMBRAS INTENCIONADAS DE MAÍZ CHOCLO DE LA CAMPAÑA AGRÍCOLA 2022-2023</t>
  </si>
  <si>
    <t>GRAFICO Nº  17 : COMPARATIVO POR PROVINCIAS DE SUPERFICIES DE SIEMBRAS INTENCIONADAS DE MAÍZ MORADO DE LA CAMPAÑA AGRÍCOLA 2022-2023</t>
  </si>
  <si>
    <t>GRAFICO Nº  18 : COMPARATIVO POR PROVINCIAS DE SUPERFICIES DE SIEMBRAS INTENCIONADAS DE MASHUA O IZANO DE LA CAMPAÑA AGRÍCOLA 2022-2023</t>
  </si>
  <si>
    <t>GRAFICO Nº  19: COMPARATIVO POR PROVINCIAS DE SUPERFICIES DE SIEMBRAS INTENCIONADAS DE OCA DE LA CAMPAÑA AGRÍCOLA 2022-2023</t>
  </si>
  <si>
    <t>GRAFICO Nº  20 : COMPARATIVO POR PROVINCIAS DE SUPERFICIES DE SIEMBRAS INTENCIONADAS DE OLLUCO DE LA CAMPAÑA AGRÍCOLA 2022-2023</t>
  </si>
  <si>
    <t>GRAFICO Nº  21 : COMPARATIVO POR PROVINCIAS DE SUPERFICIES DE SIEMBRAS INTENCIONADAS DE PAPA BLANCA DE LA CAMPAÑA AGRÍCOLA 2022-2023</t>
  </si>
  <si>
    <t>GRAFICO Nº  22 : COMPARATIVO POR PROVINCIAS DE SUPERFICIES DE SIEMBRAS INTENCIONADAS DE PAPA COLOR DE LA CAMPAÑA AGRÍCOLA 2022-2023</t>
  </si>
  <si>
    <t>GRAFICO Nº  23 : COMPARATIVO POR PROVINCIAS DE SUPERFICIES DE SIEMBRAS INTENCIONADAS DE PAPA NATIVA DE LA CAMPAÑA AGRÍCOLA 2022-2023</t>
  </si>
  <si>
    <t>GRAFICO Nº  24 : COMPARATIVO POR PROVINCIAS DE SUPERFICIES DE SIEMBRAS INTENCIONADAS DE QUINUA DE LA CAMPAÑA AGRÍCOLA 2022-2023</t>
  </si>
  <si>
    <t>GRAFICO Nº  25 : COMPARATIVO POR PROVINCIAS DE SUPERFICIES DE SIEMBRAS INTENCIONADAS DE TOMATE DE LA CAMPAÑA AGRÍCOLA 2022-2023</t>
  </si>
  <si>
    <t>GRAFICO Nº  26 : COMPARATIVO POR PROVINCIAS DE SUPERFICIES DE SIEMBRAS INTENCIONADAS DE TIRGO DE LA CAMPAÑA AGRÍCOLA 2022-2023</t>
  </si>
  <si>
    <t xml:space="preserve">GRAFICO Nº  27 : COMPARATIVO POR PROVINCIAS DE SUPERFICIES DE SIEMBRAS INTENCIONADAS DE YUCA DE LA CAMPAÑA AGRÍCOLA 2022-2023 </t>
  </si>
  <si>
    <t xml:space="preserve">GRAFICO Nº  28 : COMPARATIVO POR PROVINCIAS DE SUPERFICIES DE SIEMBRAS INTENCIONADAS DE ZANAHORIA DE LA CAMPAÑA AGRÍCOLA 2022-2023 </t>
  </si>
  <si>
    <t xml:space="preserve">GRAFICO Nº  29 : COMPARATIVO POR PROVINCIAS DE SUPERFICIES DE SIEMBRAS INTENCIONADAS DE  ZAPALLO DE LA CAMPAÑA AGRÍCOLA 2022-2023 </t>
  </si>
  <si>
    <t>GRAFICO Nº  15 : COMPARATIVO POR PROVINCIAS DE SUPERFICIES DE SIEMBRAS INTENCIONADAS DE MAÍZ AMILACEO DE LA CAMPAÑA AGRÍCOLA 2022-2023</t>
  </si>
  <si>
    <t>TOTA 2022-2023</t>
  </si>
  <si>
    <t>TOTAL 2021-2022</t>
  </si>
  <si>
    <t>VAR. %</t>
  </si>
  <si>
    <t>TOTAL 2022-2023</t>
  </si>
  <si>
    <t>ENIS 2022-2023</t>
  </si>
  <si>
    <t>ENIS 2021-2022</t>
  </si>
  <si>
    <t>DIFERENCIA ENIS</t>
  </si>
  <si>
    <t xml:space="preserve">VARIACIÓN % </t>
  </si>
  <si>
    <t>GRAFICO Nº 31:  DISTRIBUCION DE SUPERFICIES INTENCIONADAS DE SIEMBRAS DE PRINCIPALES CULTIVOS DE CAMPAÑA AGRICOLA 2021-2022, 2022-2023 Y EJECUCIÓN DE SIEMBRA 2021-2022.</t>
  </si>
  <si>
    <t>GRAFICO Nº 32:  DISTRIBUCION DE SUPERFICIES INTENCIONADAS DE SIEMBRAS DE PRINCIPALES CULTIVOS DE CAMPAÑA AGRICOLA 2021-2022, 2022-2023 Y EJECUCIÓN DE SIEMBRA 2021-2022.</t>
  </si>
  <si>
    <t>GRAFICO Nº 33 :  DISTRIBUCION DE SUPERFICIES INTENCIONADAS DE SIEMBRAS DE PRINCIPALES CULTIVOS DE CAMPAÑA AGRICOLA 2021-2022, 2022-2023 Y EJECUCIÓN DE SIEMBRA 2021-2022.</t>
  </si>
  <si>
    <t>GRAFICO Nº 34:  DISTRIBUCION DE SUPERFICIES INTENCIONADAS DE SIEMBRAS DE PRINCIPALES CULTIVOS DE CAMPAÑA AGRICOLA 2021-2022, 2022-2023 Y EJECUCIÓN DE SIEMBRA 2021-2022.</t>
  </si>
  <si>
    <t>GRAFICO Nº 35:  DISTRIBUCION DE SUPERFICIES INTENCIONADAS DE SIEMBRAS DE PRINCIPALES CULTIVOS DE CAMPAÑA AGRICOLA 2021-2022, 2022-2023 Y EJECUCIÓN DE SIEMBRA 2021-2022.</t>
  </si>
  <si>
    <t>GRAFICO Nº 36:  DISTRIBUCION DE SUPERFICIES INTENCIONADAS DE SIEMBRAS DE PRINCIPALES CULTIVOS DE CAMPAÑA AGRICOLA 2021-2022, 2022-2023 Y EJECUCIÓN DE SIEMBRA 2021-2022.</t>
  </si>
  <si>
    <t>GRAFICO Nº 37:  DISTRIBUCION DE SUPERFICIES INTENCIONADAS DE SIEMBRAS, TOTAL DE CULTIVOS DE LA CAMPAÑA AGRICOLA 2021-2022, 2022-2023 Y EJECUCIÓN DE SIEMBRA 2021-2022.</t>
  </si>
  <si>
    <t>GRAFICO Nº 38:  DISTRIBUCION DE SUPERFICIES INTENCIONADAS DE SIEMBRAS DE PRINCIPALES CULTIVOS DE CAMPAÑA AGRICOLA 2021-2022, 2022-2023 Y EJECUCIÓN DE SIEMBRA 2021-2022.</t>
  </si>
  <si>
    <t>GRAFICO Nº 39:  DISTRIBUCION DE SUPERFICIES INTENCIONADAS DE SIEMBRAS DE PRINCIPALES CULTIVOS DE CAMPAÑA AGRICOLA 2021-2022, 2022-2023 Y EJECUCIÓN DE SIEMBRA 2021-2022.</t>
  </si>
  <si>
    <t>GRAFICO Nº 40:  DISTRIBUCION DE SUPERFICIES INTENCIONADAS DE SIEMBRAS DE PRINCIPALES CULTIVOS DE CAMPAÑA AGRICOLA 2021-2022, 2022-2023 Y EJECUCIÓN DE SIEMBRA 2021-2022.</t>
  </si>
  <si>
    <t>GRAFICO Nº 42:  DISTRIBUCION DE SUPERFICIES INTENCIONADAS DE SIEMBRAS, TOTAL DE CULTIVOS DE LA CAMPAÑA AGRICOLA 2021-2022, 2022-2023 Y EJECUCIÓN DE SIEMBRA 2021-2022.</t>
  </si>
  <si>
    <t>GRAFICO Nº 43:  DISTRIBUCION DE SUPERFICIES INTENCIONADAS DE SIEMBRAS, TOTAL DE CULTIVOS DE LA CAMPAÑA AGRICOLA 2021-2022, 2022-2023 Y EJECUCIÓN DE SIEMBRA 2021-2022.</t>
  </si>
  <si>
    <t>GRAFICO Nº 44:  DISTRIBUCION DE SUPERFICIES INTENCIONADAS DE SIEMBRAS, TOTAL DE CULTIVOS DE LA CAMPAÑA AGRICOLA 2021-2022, 2022-2023 Y EJECUCIÓN DE SIEMBRA 2021-2022.</t>
  </si>
  <si>
    <t>GRAFICO Nº 45:  DISTRIBUCION DE SUPERFICIES INTENCIONADAS DE SIEMBRAS, TOTAL DE CULTIVOS DE LA CAMPAÑA AGRICOLA 2021-2022, 2022-2023 Y EJECUCIÓN DE SIEMBRA 2021-2022.</t>
  </si>
  <si>
    <t>GRAFICO Nº 46:  DISTRIBUCION DE SUPERFICIES INTENCIONADAS DE SIEMBRAS, TOTAL DE CULTIVOS DE LA CAMPAÑA AGRICOLA 2021-2022, 2022-2023 Y EJECUCIÓN DE SIEMBRA 2021-2022.</t>
  </si>
  <si>
    <t>GRAFICO Nº 47:  DISTRIBUCION DE SUPERFICIES INTENCIONADAS DE SIEMBRAS, TOTAL DE CULTIVOS DE LA CAMPAÑA AGRICOLA 2021-2022, 2022-2023 Y EJECUCIÓN DE SIEMBRA 2021-2022.</t>
  </si>
  <si>
    <t>GRAFICO Nº 49:  DISTRIBUCION DE SUPERFICIES INTENCIONADAS DE SIEMBRAS, TOTAL DE CULTIVOS DE LA CAMPAÑA AGRICOLA 2021-2022, 2022-2023 Y EJECUCIÓN DE SIEMBRA 2021-2022.</t>
  </si>
  <si>
    <t>GRAFICO Nº 50:  DISTRIBUCION DE SUPERFICIES INTENCIONADAS DE SIEMBRAS, TOTAL DE CULTIVOS DE LA CAMPAÑA AGRICOLA 2021-2022, 2022-2023 Y EJECUCIÓN DE SIEMBRA 2021-2022.</t>
  </si>
  <si>
    <t>GRAFICO Nº 51:  DISTRIBUCION DE SUPERFICIES INTENCIONADAS DE SIEMBRAS, TOTAL DE CULTIVOS DE LA CAMPAÑA AGRICOLA 2021-2022, 2022-2023 Y EJECUCIÓN DE SIEMBRA 2021-2022.</t>
  </si>
  <si>
    <t>GRAFICO Nº 48 :  DISTRIBUCION DE SUPERFICIES INTENCIONADAS DE SIEMBRAS, TOTAL DE CULTIVOS DE LA CAMPAÑA AGRICOLA 2021-2022, 2022-2023 Y EJECUCIÓN DE SIEMBRA 2021-2022.</t>
  </si>
  <si>
    <t>GRAFICO Nº 12: DISTRIBUCION PORCENTUAL DE SUPERFICIES INTENCIONADAS DE SIEMBRAS DE PRINCIPALES CULTIVOS DE CAMPAÑA AGRICOLA 2022-2023</t>
  </si>
  <si>
    <t>GRAFICO Nº 13: COMPORTAMIENTO DE SUPERFICIES SEMBRADAS DE CAMPAÑAS AGRICOLAS 2015-2016 A 2020-2021 VS. CAMPAÑA AGRICOLA 2022-2023</t>
  </si>
  <si>
    <t>GRÁFICO N° 1
COMPARATIVO DE INTENCIÓN DE SIEMBRA 2022-2023 VS SUPERFICIE SEMBRADA DE CAMPAÑA AGRÍCOLA 2021-2022</t>
  </si>
  <si>
    <t>CUADRO N° 2 
RESUMEN REGIONAL DE LAS SUPERFICIES DE SIEMBRA INTENCIONADAS DE LOS PRINCIPALES CULTIVOS</t>
  </si>
  <si>
    <t>SUSPERFICIE SEMBRADA 2021-2022</t>
  </si>
  <si>
    <t>GRÁFICO N° 40
HUAMANGA: SUPERFICIES INTENCIONADA DE SIEMBRA DE LOS CULTIVOS
(Hectárea)</t>
  </si>
  <si>
    <t>SUPERFICIE SEMBRADA 2021-2022</t>
  </si>
  <si>
    <t>CUADRO N° 3
SUPERFICIE DE SIEMBRA INTENCIONADA DE AJÍ, SEGÚN PROVINCIA
(Hectárea)</t>
  </si>
  <si>
    <t>GRÁFICO N° 13 
SUPERFICIE DE SIEMBRA INTENCIONADA DE AJÍ, SEGÚN PROVINCIA
(Hectárea)</t>
  </si>
  <si>
    <t>CUADRO N° 4
SUPERFICIE DE SIEMBRA INTENCIONADA DE AJO, SEGÚN PROVINCIA</t>
  </si>
  <si>
    <t>CUADRO N° 5 
SUPERFICIE DE SIEMBRA INTENCIONADA DE ARVEJA GRANO SECO, SEGÚN PROVINCIA</t>
  </si>
  <si>
    <t>GRÁFICO N° 14 
SUPERFICIE DE SIEMBRA INTENCIONADA DE AJO, SEGÚN PROVINCIA
(Hectárea)</t>
  </si>
  <si>
    <t>GRÁFICO N° 15
SUPERFICIE DE SIEMBRA INTENCIONADA DE ARVEJA GRANO SECO, SEGÚN PROVINCIA
(Hectárea)</t>
  </si>
  <si>
    <t>1. AJI</t>
  </si>
  <si>
    <t>2. AJO</t>
  </si>
  <si>
    <t>3. ARVEJA GRANO SECO</t>
  </si>
  <si>
    <t>4. AVENA FORRAJERA</t>
  </si>
  <si>
    <t>CUADRO N° 6
SUPERFICIE DE SIEMBRA INTENCIONADA DE AVENA FORRAJERA, SEGÚN PROVINCIA</t>
  </si>
  <si>
    <t>GRÁFICO N° 16
SUPERFICIE DE SIEMBRA INTENCIONADA DE AVENA FORRAJERA, SEGÚN PROVINCIA
(Hectárea)</t>
  </si>
  <si>
    <t>CUADRO N° 7
SUPERFICIE DE SIEMBRA INTENCIONADA DE CAMOTE, SEGÚN PROVINCIA</t>
  </si>
  <si>
    <t>GRÁFICO N° 17
SUPERFICIE DE SIEMBRA INTENCIONADA DE CAMOTE, SEGÚN PROVINCIA
(Hectárea)</t>
  </si>
  <si>
    <t>CUADRO N° 8 
SUPERFICIE DE SIEMBRA INTENCIONADA DE CEBADA GRANO, SEGÚN PROVINCIA</t>
  </si>
  <si>
    <t>GRÁFICO N° 18 
SUPERFICIE DE SIEMBRA INTENCIONADA DE CEBADA GRANO, SEGÚN PROVINCIA
(Hectárea)</t>
  </si>
  <si>
    <t>CUADRO N° 9
SUPERFICIE DE SIEMBRA INTENCIONADA DE CEBOLLA CABEZA BLANCA O AMARILLA, SEGÚN PROVINCIA</t>
  </si>
  <si>
    <t>GRÁFICO N° 19 
SUPERFICIE DE SIEMBRA INTENCIONADA DE CEBOLLA CABEZA BLANCA O AMARILLA, SEGÚN PROVINCIA
(Hectárea)</t>
  </si>
  <si>
    <t>2021-2022</t>
  </si>
  <si>
    <t>(*) Con información al mes de julio 2022.</t>
  </si>
  <si>
    <t>Total</t>
  </si>
  <si>
    <t>CUADRO N° 30 
HUAMANGA: RESUMEN DE SUPERFICIES DE SIEMBRAS INTENCIONADAS DE LOS PRINCIPALES CULTIVOS</t>
  </si>
  <si>
    <t>VAR %</t>
  </si>
  <si>
    <t>% ENIS</t>
  </si>
  <si>
    <t>%  SUP SEMB</t>
  </si>
  <si>
    <t>CUADRO N° 31 
CANGALLO: RESUMEN DE SUPERFICIES DE SIEMBRAS INTENCIONADAS DE LOS PRINCIPALES CULTIVOS</t>
  </si>
  <si>
    <t>CUADRO N° 32
 HUANCASANCOS: RESUMEN DE SUPERFICIES DE SIEMBRAS INTENCIONADAS DE LOS PRINCIPALES CULTIVOS</t>
  </si>
  <si>
    <t>CUADRO N° 33  
HUANTA: RESUMEN DE SUPERFICIES DE SIEMBRAS INTENCIONADAS DE LOS PRINCIPALES CULTIVOS</t>
  </si>
  <si>
    <t>CUADRO N° 34 
LA MAR: RESUMEN DE SUPERFICIES DE SIEMBRAS INTENCIONADAS DE LOS PRINCIPALES CULTIVOS</t>
  </si>
  <si>
    <t>CUADRO N° 35
LUCANAS: RESUMEN DE SUPERFICIES DE SIEMBRAS INTENCIONADAS DE LOS PRINCIPALES CULTIVOS</t>
  </si>
  <si>
    <t>CUADRO N° 36 
PARINACOCHAS: RESUMEN DE SUPERFICIES DE SIEMBRAS INTENCIONADAS DE LOS PRINCIPALES CULTIVOS</t>
  </si>
  <si>
    <t>CUADRO N° 37 
PAUCAR DE SARA SARA: RESUMEN DE SUPERFICIES DE SIEMBRAS INTENCIONADAS DE LOS PRINCIPALES CULTIVOS</t>
  </si>
  <si>
    <t>CUADRO N° 38 
SUCRE: RESUMEN DE SUPERFICIES DE SIEMBRAS INTENCIONADAS DE LOS PRINCIPALES CULTIVOS</t>
  </si>
  <si>
    <t>CUADRO N° 39 
VÍCTOR FAJARDO: RESUMEN DE SUPERFICIES DE SIEMBRAS INTENCIONADAS DE LOS PRINCIPALES CULTIVOS</t>
  </si>
  <si>
    <t>CUADRO N° 40
 VILCAS HUAMÁN: RESUMEN DE SUPERFICIES DE SIEMBRAS INTENCIONADAS DE LOS PRINCIPALES CULTIVOS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</si>
</sst>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thin">
        <color theme="9" tint="-0.24994659260841701"/>
      </bottom>
      <diagonal/>
    </border>
    <border>
      <left/>
      <right style="thin">
        <color theme="9"/>
      </right>
      <top style="thin">
        <color theme="9" tint="-0.24994659260841701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 tint="-0.24994659260841701"/>
      </top>
      <bottom/>
      <diagonal/>
    </border>
  </borders>
  <cellStyleXfs count="5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2" fillId="0" borderId="0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" fontId="3" fillId="0" borderId="0" xfId="0" applyNumberFormat="1" applyFont="1" applyAlignment="1">
      <alignment horizontal="center" vertical="center"/>
    </xf>
    <xf numFmtId="10" fontId="2" fillId="3" borderId="0" xfId="2" applyNumberFormat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2" fontId="6" fillId="0" borderId="0" xfId="0" applyNumberFormat="1" applyFont="1" applyAlignment="1">
      <alignment vertical="center" wrapText="1"/>
    </xf>
    <xf numFmtId="10" fontId="6" fillId="0" borderId="0" xfId="2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0" fontId="5" fillId="0" borderId="0" xfId="2" applyNumberFormat="1" applyFont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0" fontId="6" fillId="0" borderId="4" xfId="2" applyNumberFormat="1" applyFont="1" applyBorder="1" applyAlignment="1">
      <alignment horizontal="center" vertical="center" wrapText="1"/>
    </xf>
    <xf numFmtId="9" fontId="6" fillId="0" borderId="0" xfId="2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9" fontId="6" fillId="0" borderId="0" xfId="2" applyFont="1" applyBorder="1" applyAlignment="1">
      <alignment horizontal="center" vertical="center" wrapText="1"/>
    </xf>
    <xf numFmtId="1" fontId="6" fillId="0" borderId="0" xfId="0" applyNumberFormat="1" applyFont="1" applyAlignment="1">
      <alignment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1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3" fontId="5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1" fontId="12" fillId="5" borderId="0" xfId="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6" borderId="0" xfId="0" applyFont="1" applyFill="1" applyAlignment="1">
      <alignment horizontal="center" vertical="center" wrapText="1"/>
    </xf>
    <xf numFmtId="3" fontId="14" fillId="6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1" fontId="12" fillId="5" borderId="11" xfId="0" applyNumberFormat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3" fontId="6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0" fontId="13" fillId="6" borderId="12" xfId="0" applyFont="1" applyFill="1" applyBorder="1" applyAlignment="1">
      <alignment vertical="center" wrapText="1"/>
    </xf>
    <xf numFmtId="3" fontId="13" fillId="6" borderId="0" xfId="0" applyNumberFormat="1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3" fontId="6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3" fontId="5" fillId="6" borderId="0" xfId="0" applyNumberFormat="1" applyFont="1" applyFill="1" applyAlignment="1">
      <alignment horizontal="center" vertical="center" wrapText="1"/>
    </xf>
    <xf numFmtId="9" fontId="6" fillId="0" borderId="0" xfId="2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9" fontId="14" fillId="0" borderId="0" xfId="2" applyFont="1" applyFill="1" applyBorder="1" applyAlignment="1">
      <alignment horizontal="center" vertical="center" wrapText="1"/>
    </xf>
    <xf numFmtId="9" fontId="14" fillId="0" borderId="0" xfId="2" applyFont="1" applyFill="1" applyAlignment="1">
      <alignment horizontal="center" vertical="center" wrapText="1"/>
    </xf>
    <xf numFmtId="9" fontId="14" fillId="6" borderId="0" xfId="0" applyNumberFormat="1" applyFont="1" applyFill="1" applyAlignment="1">
      <alignment horizontal="center" vertical="center" wrapText="1"/>
    </xf>
    <xf numFmtId="10" fontId="14" fillId="0" borderId="0" xfId="2" applyNumberFormat="1" applyFont="1" applyFill="1" applyAlignment="1">
      <alignment horizontal="center" vertical="center" wrapText="1"/>
    </xf>
    <xf numFmtId="10" fontId="6" fillId="0" borderId="0" xfId="2" applyNumberFormat="1" applyFont="1" applyBorder="1" applyAlignment="1">
      <alignment horizontal="center" vertical="center" wrapText="1"/>
    </xf>
    <xf numFmtId="10" fontId="5" fillId="6" borderId="0" xfId="2" applyNumberFormat="1" applyFont="1" applyFill="1" applyAlignment="1">
      <alignment horizontal="center" vertical="center" wrapText="1"/>
    </xf>
    <xf numFmtId="10" fontId="6" fillId="0" borderId="0" xfId="2" applyNumberFormat="1" applyFont="1" applyFill="1" applyAlignment="1">
      <alignment horizontal="center" vertical="center" wrapText="1"/>
    </xf>
    <xf numFmtId="2" fontId="12" fillId="5" borderId="0" xfId="0" applyNumberFormat="1" applyFont="1" applyFill="1" applyAlignment="1">
      <alignment horizontal="center" vertical="center" wrapText="1"/>
    </xf>
    <xf numFmtId="10" fontId="6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10" fontId="6" fillId="6" borderId="0" xfId="2" applyNumberFormat="1" applyFont="1" applyFill="1" applyAlignment="1">
      <alignment horizontal="center" vertical="center" wrapText="1"/>
    </xf>
    <xf numFmtId="10" fontId="6" fillId="0" borderId="0" xfId="2" applyNumberFormat="1" applyFont="1" applyFill="1" applyBorder="1" applyAlignment="1">
      <alignment horizontal="center" vertical="center" wrapText="1"/>
    </xf>
    <xf numFmtId="10" fontId="6" fillId="0" borderId="0" xfId="2" applyNumberFormat="1" applyFont="1" applyAlignment="1">
      <alignment horizontal="center" vertical="center"/>
    </xf>
    <xf numFmtId="1" fontId="12" fillId="5" borderId="16" xfId="0" applyNumberFormat="1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3" fontId="14" fillId="6" borderId="16" xfId="0" applyNumberFormat="1" applyFont="1" applyFill="1" applyBorder="1" applyAlignment="1">
      <alignment horizontal="center" vertical="center" wrapText="1"/>
    </xf>
    <xf numFmtId="3" fontId="6" fillId="0" borderId="16" xfId="0" applyNumberFormat="1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3" fontId="5" fillId="6" borderId="16" xfId="0" applyNumberFormat="1" applyFont="1" applyFill="1" applyBorder="1" applyAlignment="1">
      <alignment horizontal="center" vertical="center" wrapText="1"/>
    </xf>
    <xf numFmtId="3" fontId="6" fillId="6" borderId="16" xfId="0" applyNumberFormat="1" applyFont="1" applyFill="1" applyBorder="1" applyAlignment="1">
      <alignment horizontal="center" vertical="center" wrapText="1"/>
    </xf>
    <xf numFmtId="3" fontId="6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3" fontId="5" fillId="0" borderId="16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3" fillId="0" borderId="9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3" xr:uid="{31132F2D-C452-40B0-AA6A-FA8E7AF7E9AA}"/>
    <cellStyle name="Porcentaje" xfId="2" builtinId="5"/>
    <cellStyle name="Porcentaje 2" xfId="4" xr:uid="{8FA1B3CB-1D88-476C-8A9B-D491A2C1402C}"/>
  </cellStyles>
  <dxfs count="9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theme="9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1092520945964"/>
          <c:y val="0.28000000000000003"/>
          <c:w val="0.73913097586776133"/>
          <c:h val="0.560000000000000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477-496D-A56B-9F7D68E9995C}"/>
              </c:ext>
            </c:extLst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7-496D-A56B-9F7D68E9995C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77-496D-A56B-9F7D68E9995C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7-496D-A56B-9F7D68E9995C}"/>
              </c:ext>
            </c:extLst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77-496D-A56B-9F7D68E99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7-496D-A56B-9F7D68E9995C}"/>
              </c:ext>
            </c:extLst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77-496D-A56B-9F7D68E9995C}"/>
              </c:ext>
            </c:extLst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7-496D-A56B-9F7D68E9995C}"/>
              </c:ext>
            </c:extLst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477-496D-A56B-9F7D68E9995C}"/>
              </c:ext>
            </c:extLst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7-496D-A56B-9F7D68E9995C}"/>
              </c:ext>
            </c:extLst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477-496D-A56B-9F7D68E9995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N 2'!$B$64:$B$74</c:f>
              <c:strCache>
                <c:ptCount val="11"/>
                <c:pt idx="0">
                  <c:v>MAIZ AMILACEO</c:v>
                </c:pt>
                <c:pt idx="1">
                  <c:v>QUINUA</c:v>
                </c:pt>
                <c:pt idx="2">
                  <c:v>PAPA BLANCA</c:v>
                </c:pt>
                <c:pt idx="3">
                  <c:v>CEBADA GRANO</c:v>
                </c:pt>
                <c:pt idx="4">
                  <c:v>PAPA COLOR</c:v>
                </c:pt>
                <c:pt idx="5">
                  <c:v>TRIGO</c:v>
                </c:pt>
                <c:pt idx="6">
                  <c:v>PAPA NATIVA</c:v>
                </c:pt>
                <c:pt idx="7">
                  <c:v>HABA GRANO SECO</c:v>
                </c:pt>
                <c:pt idx="8">
                  <c:v>ARVEJA GRANO SECO</c:v>
                </c:pt>
                <c:pt idx="9">
                  <c:v>OLLUCO</c:v>
                </c:pt>
                <c:pt idx="10">
                  <c:v>OTROS</c:v>
                </c:pt>
              </c:strCache>
            </c:strRef>
          </c:cat>
          <c:val>
            <c:numRef>
              <c:f>'CUADRO N 2'!$C$64:$C$74</c:f>
              <c:numCache>
                <c:formatCode>0%</c:formatCode>
                <c:ptCount val="11"/>
                <c:pt idx="0">
                  <c:v>0.15872036661672689</c:v>
                </c:pt>
                <c:pt idx="1">
                  <c:v>0.12589631220106234</c:v>
                </c:pt>
                <c:pt idx="2">
                  <c:v>0.11698726936234648</c:v>
                </c:pt>
                <c:pt idx="3">
                  <c:v>0.11060993294182683</c:v>
                </c:pt>
                <c:pt idx="4">
                  <c:v>8.5781584239326372E-2</c:v>
                </c:pt>
                <c:pt idx="5">
                  <c:v>7.5061890607849888E-2</c:v>
                </c:pt>
                <c:pt idx="6">
                  <c:v>6.8308002916269414E-2</c:v>
                </c:pt>
                <c:pt idx="7">
                  <c:v>6.0905165161796872E-2</c:v>
                </c:pt>
                <c:pt idx="8">
                  <c:v>3.7999631460458108E-2</c:v>
                </c:pt>
                <c:pt idx="9">
                  <c:v>2.5821803119767339E-2</c:v>
                </c:pt>
                <c:pt idx="10">
                  <c:v>0.13390804137256945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77-496D-A56B-9F7D68E999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CULTIVOS!$A$301:$A$311</c:f>
              <c:strCache>
                <c:ptCount val="11"/>
                <c:pt idx="0">
                  <c:v>LA MAR</c:v>
                </c:pt>
                <c:pt idx="1">
                  <c:v>HUAMANGA</c:v>
                </c:pt>
                <c:pt idx="2">
                  <c:v>VILCAS HUAMAN</c:v>
                </c:pt>
                <c:pt idx="3">
                  <c:v>HUANTA</c:v>
                </c:pt>
                <c:pt idx="4">
                  <c:v>VICTOR FAJARDO</c:v>
                </c:pt>
                <c:pt idx="5">
                  <c:v>PAUCAR DEL SARA SARA</c:v>
                </c:pt>
                <c:pt idx="6">
                  <c:v>LUCANAS</c:v>
                </c:pt>
                <c:pt idx="7">
                  <c:v>CANGALLO</c:v>
                </c:pt>
                <c:pt idx="8">
                  <c:v>HUANCA SANCOS</c:v>
                </c:pt>
                <c:pt idx="9">
                  <c:v>PARINACOCHAS</c:v>
                </c:pt>
                <c:pt idx="10">
                  <c:v>SUCRE</c:v>
                </c:pt>
              </c:strCache>
            </c:strRef>
          </c:cat>
          <c:val>
            <c:numRef>
              <c:f>CULTIVOS!$B$301:$B$311</c:f>
              <c:numCache>
                <c:formatCode>#,##0</c:formatCode>
                <c:ptCount val="11"/>
                <c:pt idx="0">
                  <c:v>84</c:v>
                </c:pt>
                <c:pt idx="1">
                  <c:v>77</c:v>
                </c:pt>
                <c:pt idx="2">
                  <c:v>45</c:v>
                </c:pt>
                <c:pt idx="3">
                  <c:v>20</c:v>
                </c:pt>
                <c:pt idx="4">
                  <c:v>16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5-4E49-860D-FB940F861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4315728"/>
        <c:axId val="1654316976"/>
      </c:barChart>
      <c:catAx>
        <c:axId val="165431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16976"/>
        <c:crosses val="autoZero"/>
        <c:auto val="1"/>
        <c:lblAlgn val="ctr"/>
        <c:lblOffset val="100"/>
        <c:noMultiLvlLbl val="0"/>
      </c:catAx>
      <c:valAx>
        <c:axId val="165431697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6543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CULTIVOS!$A$341:$A$351</c:f>
              <c:strCache>
                <c:ptCount val="11"/>
                <c:pt idx="0">
                  <c:v>LA MAR</c:v>
                </c:pt>
                <c:pt idx="1">
                  <c:v>HUANTA</c:v>
                </c:pt>
                <c:pt idx="2">
                  <c:v>HUAMANGA</c:v>
                </c:pt>
                <c:pt idx="3">
                  <c:v>VICTOR FAJARDO</c:v>
                </c:pt>
                <c:pt idx="4">
                  <c:v>VILCAS HUAMAN</c:v>
                </c:pt>
                <c:pt idx="5">
                  <c:v>LUCANAS</c:v>
                </c:pt>
                <c:pt idx="6">
                  <c:v>PAUCAR DEL SARA SARA</c:v>
                </c:pt>
                <c:pt idx="7">
                  <c:v>SUCRE</c:v>
                </c:pt>
                <c:pt idx="8">
                  <c:v>PARINACOCHAS</c:v>
                </c:pt>
                <c:pt idx="9">
                  <c:v>CANGALLO</c:v>
                </c:pt>
                <c:pt idx="10">
                  <c:v>HUANCA SANCOS</c:v>
                </c:pt>
              </c:strCache>
            </c:strRef>
          </c:cat>
          <c:val>
            <c:numRef>
              <c:f>CULTIVOS!$B$341:$B$351</c:f>
              <c:numCache>
                <c:formatCode>#,##0</c:formatCode>
                <c:ptCount val="11"/>
                <c:pt idx="0">
                  <c:v>667</c:v>
                </c:pt>
                <c:pt idx="1">
                  <c:v>281</c:v>
                </c:pt>
                <c:pt idx="2">
                  <c:v>224</c:v>
                </c:pt>
                <c:pt idx="3">
                  <c:v>131</c:v>
                </c:pt>
                <c:pt idx="4">
                  <c:v>89</c:v>
                </c:pt>
                <c:pt idx="5">
                  <c:v>82</c:v>
                </c:pt>
                <c:pt idx="6">
                  <c:v>36</c:v>
                </c:pt>
                <c:pt idx="7">
                  <c:v>28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EEC-A286-7FEAA9766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4670224"/>
        <c:axId val="1444667312"/>
      </c:barChart>
      <c:catAx>
        <c:axId val="14446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7312"/>
        <c:crosses val="autoZero"/>
        <c:auto val="1"/>
        <c:lblAlgn val="ctr"/>
        <c:lblOffset val="100"/>
        <c:noMultiLvlLbl val="0"/>
      </c:catAx>
      <c:valAx>
        <c:axId val="144466731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4446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CULTIVOS!$A$382:$A$392</c:f>
              <c:strCache>
                <c:ptCount val="11"/>
                <c:pt idx="0">
                  <c:v>HUAMANGA</c:v>
                </c:pt>
                <c:pt idx="1">
                  <c:v>VICTOR FAJARDO</c:v>
                </c:pt>
                <c:pt idx="2">
                  <c:v>LUCANAS</c:v>
                </c:pt>
                <c:pt idx="3">
                  <c:v>HUANTA</c:v>
                </c:pt>
                <c:pt idx="4">
                  <c:v>LA MAR</c:v>
                </c:pt>
                <c:pt idx="5">
                  <c:v>CANGALLO</c:v>
                </c:pt>
                <c:pt idx="6">
                  <c:v>VILCAS HUAMAN</c:v>
                </c:pt>
                <c:pt idx="7">
                  <c:v>PARINACOCHAS</c:v>
                </c:pt>
                <c:pt idx="8">
                  <c:v>SUCRE</c:v>
                </c:pt>
                <c:pt idx="9">
                  <c:v>HUANCA SANCOS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CULTIVOS!$B$382:$B$392</c:f>
              <c:numCache>
                <c:formatCode>#,##0</c:formatCode>
                <c:ptCount val="11"/>
                <c:pt idx="0">
                  <c:v>2625</c:v>
                </c:pt>
                <c:pt idx="1">
                  <c:v>911</c:v>
                </c:pt>
                <c:pt idx="2">
                  <c:v>743</c:v>
                </c:pt>
                <c:pt idx="3">
                  <c:v>732</c:v>
                </c:pt>
                <c:pt idx="4">
                  <c:v>625</c:v>
                </c:pt>
                <c:pt idx="5">
                  <c:v>621</c:v>
                </c:pt>
                <c:pt idx="6">
                  <c:v>431</c:v>
                </c:pt>
                <c:pt idx="7">
                  <c:v>281</c:v>
                </c:pt>
                <c:pt idx="8">
                  <c:v>249</c:v>
                </c:pt>
                <c:pt idx="9">
                  <c:v>219</c:v>
                </c:pt>
                <c:pt idx="1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2C1-A286-FE59EA789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0725248"/>
        <c:axId val="1220727744"/>
      </c:barChart>
      <c:catAx>
        <c:axId val="122072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27744"/>
        <c:crosses val="autoZero"/>
        <c:auto val="1"/>
        <c:lblAlgn val="ctr"/>
        <c:lblOffset val="100"/>
        <c:noMultiLvlLbl val="0"/>
      </c:catAx>
      <c:valAx>
        <c:axId val="122072774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2207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CULTIVOS!$A$422:$A$432</c:f>
              <c:strCache>
                <c:ptCount val="11"/>
                <c:pt idx="0">
                  <c:v>HUAMANGA</c:v>
                </c:pt>
                <c:pt idx="1">
                  <c:v>LUCANAS</c:v>
                </c:pt>
                <c:pt idx="2">
                  <c:v>VICTOR FAJARDO</c:v>
                </c:pt>
                <c:pt idx="3">
                  <c:v>HUANTA</c:v>
                </c:pt>
                <c:pt idx="4">
                  <c:v>LA MAR</c:v>
                </c:pt>
                <c:pt idx="5">
                  <c:v>CANGALLO</c:v>
                </c:pt>
                <c:pt idx="6">
                  <c:v>PAUCAR DEL SARA SARA</c:v>
                </c:pt>
                <c:pt idx="7">
                  <c:v>PARINACOCHAS</c:v>
                </c:pt>
                <c:pt idx="8">
                  <c:v>VILCAS HUAMAN</c:v>
                </c:pt>
                <c:pt idx="9">
                  <c:v>SUCRE</c:v>
                </c:pt>
                <c:pt idx="10">
                  <c:v>HUANCA SANCOS</c:v>
                </c:pt>
              </c:strCache>
            </c:strRef>
          </c:cat>
          <c:val>
            <c:numRef>
              <c:f>CULTIVOS!$B$422:$B$432</c:f>
              <c:numCache>
                <c:formatCode>#,##0</c:formatCode>
                <c:ptCount val="11"/>
                <c:pt idx="0">
                  <c:v>788</c:v>
                </c:pt>
                <c:pt idx="1">
                  <c:v>428</c:v>
                </c:pt>
                <c:pt idx="2">
                  <c:v>152</c:v>
                </c:pt>
                <c:pt idx="3">
                  <c:v>145</c:v>
                </c:pt>
                <c:pt idx="4">
                  <c:v>134</c:v>
                </c:pt>
                <c:pt idx="5">
                  <c:v>125</c:v>
                </c:pt>
                <c:pt idx="6">
                  <c:v>118</c:v>
                </c:pt>
                <c:pt idx="7">
                  <c:v>40</c:v>
                </c:pt>
                <c:pt idx="8">
                  <c:v>36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F-45A6-98DE-EEC5C42CE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189680"/>
        <c:axId val="2145198000"/>
      </c:barChart>
      <c:catAx>
        <c:axId val="214518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98000"/>
        <c:crosses val="autoZero"/>
        <c:auto val="1"/>
        <c:lblAlgn val="ctr"/>
        <c:lblOffset val="100"/>
        <c:noMultiLvlLbl val="0"/>
      </c:catAx>
      <c:valAx>
        <c:axId val="214519800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1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CULTIVOS!$A$462:$A$472</c:f>
              <c:strCache>
                <c:ptCount val="11"/>
                <c:pt idx="0">
                  <c:v>LA MAR</c:v>
                </c:pt>
                <c:pt idx="1">
                  <c:v>HUANTA</c:v>
                </c:pt>
                <c:pt idx="2">
                  <c:v>LUCANAS</c:v>
                </c:pt>
                <c:pt idx="3">
                  <c:v>PARINACOCHAS</c:v>
                </c:pt>
                <c:pt idx="4">
                  <c:v>HUAMANGA</c:v>
                </c:pt>
                <c:pt idx="5">
                  <c:v>VILCAS HUAMAN</c:v>
                </c:pt>
                <c:pt idx="6">
                  <c:v>CANGALLO</c:v>
                </c:pt>
                <c:pt idx="7">
                  <c:v>HUANCA SANCOS</c:v>
                </c:pt>
                <c:pt idx="8">
                  <c:v>PAUCAR DEL SARA SARA</c:v>
                </c:pt>
                <c:pt idx="9">
                  <c:v>SUCRE</c:v>
                </c:pt>
                <c:pt idx="10">
                  <c:v>VICTOR FAJARDO</c:v>
                </c:pt>
              </c:strCache>
            </c:strRef>
          </c:cat>
          <c:val>
            <c:numRef>
              <c:f>CULTIVOS!$B$462:$B$472</c:f>
              <c:numCache>
                <c:formatCode>#,##0</c:formatCode>
                <c:ptCount val="11"/>
                <c:pt idx="0">
                  <c:v>564</c:v>
                </c:pt>
                <c:pt idx="1">
                  <c:v>343</c:v>
                </c:pt>
                <c:pt idx="2">
                  <c:v>80</c:v>
                </c:pt>
                <c:pt idx="3">
                  <c:v>58</c:v>
                </c:pt>
                <c:pt idx="4">
                  <c:v>53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0-496B-A419-663DB12F9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8967839"/>
        <c:axId val="258968255"/>
      </c:barChart>
      <c:catAx>
        <c:axId val="25896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68255"/>
        <c:crosses val="autoZero"/>
        <c:auto val="1"/>
        <c:lblAlgn val="ctr"/>
        <c:lblOffset val="100"/>
        <c:noMultiLvlLbl val="0"/>
      </c:catAx>
      <c:valAx>
        <c:axId val="258968255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589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CULTIVOS!$A$503:$A$513</c:f>
              <c:strCache>
                <c:ptCount val="11"/>
                <c:pt idx="0">
                  <c:v>HUAMANGA</c:v>
                </c:pt>
                <c:pt idx="1">
                  <c:v>VICTOR FAJARDO</c:v>
                </c:pt>
                <c:pt idx="2">
                  <c:v>HUANTA</c:v>
                </c:pt>
                <c:pt idx="3">
                  <c:v>LA MAR</c:v>
                </c:pt>
                <c:pt idx="4">
                  <c:v>VILCAS HUAMAN</c:v>
                </c:pt>
                <c:pt idx="5">
                  <c:v>LUCANAS</c:v>
                </c:pt>
                <c:pt idx="6">
                  <c:v>CANGALLO</c:v>
                </c:pt>
                <c:pt idx="7">
                  <c:v>SUCRE</c:v>
                </c:pt>
                <c:pt idx="8">
                  <c:v>PARINACOCHAS</c:v>
                </c:pt>
                <c:pt idx="9">
                  <c:v>HUANCA SANCOS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CULTIVOS!$B$503:$B$513</c:f>
              <c:numCache>
                <c:formatCode>#,##0</c:formatCode>
                <c:ptCount val="11"/>
                <c:pt idx="0">
                  <c:v>4873</c:v>
                </c:pt>
                <c:pt idx="1">
                  <c:v>2690</c:v>
                </c:pt>
                <c:pt idx="2">
                  <c:v>2324</c:v>
                </c:pt>
                <c:pt idx="3">
                  <c:v>2084</c:v>
                </c:pt>
                <c:pt idx="4">
                  <c:v>2027</c:v>
                </c:pt>
                <c:pt idx="5">
                  <c:v>1925</c:v>
                </c:pt>
                <c:pt idx="6">
                  <c:v>1369</c:v>
                </c:pt>
                <c:pt idx="7">
                  <c:v>1266</c:v>
                </c:pt>
                <c:pt idx="8">
                  <c:v>582</c:v>
                </c:pt>
                <c:pt idx="9">
                  <c:v>339</c:v>
                </c:pt>
                <c:pt idx="1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E-458E-A47E-1F963A7D0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190928"/>
        <c:axId val="2145190512"/>
      </c:barChart>
      <c:catAx>
        <c:axId val="214519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90512"/>
        <c:crosses val="autoZero"/>
        <c:auto val="1"/>
        <c:lblAlgn val="ctr"/>
        <c:lblOffset val="100"/>
        <c:noMultiLvlLbl val="0"/>
      </c:catAx>
      <c:valAx>
        <c:axId val="214519051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19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CULTIVOS!$A$544:$A$554</c:f>
              <c:strCache>
                <c:ptCount val="11"/>
                <c:pt idx="0">
                  <c:v>HUAMANGA</c:v>
                </c:pt>
                <c:pt idx="1">
                  <c:v>LUCANAS</c:v>
                </c:pt>
                <c:pt idx="2">
                  <c:v>HUANTA</c:v>
                </c:pt>
                <c:pt idx="3">
                  <c:v>VICTOR FAJARDO</c:v>
                </c:pt>
                <c:pt idx="4">
                  <c:v>LA MAR</c:v>
                </c:pt>
                <c:pt idx="5">
                  <c:v>CANGALLO</c:v>
                </c:pt>
                <c:pt idx="6">
                  <c:v>PAUCAR DEL SARA SARA</c:v>
                </c:pt>
                <c:pt idx="7">
                  <c:v>VILCAS HUAMAN</c:v>
                </c:pt>
                <c:pt idx="8">
                  <c:v>HUANCA SANCOS</c:v>
                </c:pt>
                <c:pt idx="9">
                  <c:v>PARINACOCHAS</c:v>
                </c:pt>
                <c:pt idx="10">
                  <c:v>SUCRE</c:v>
                </c:pt>
              </c:strCache>
            </c:strRef>
          </c:cat>
          <c:val>
            <c:numRef>
              <c:f>CULTIVOS!$B$544:$B$554</c:f>
              <c:numCache>
                <c:formatCode>#,##0</c:formatCode>
                <c:ptCount val="11"/>
                <c:pt idx="0">
                  <c:v>1007</c:v>
                </c:pt>
                <c:pt idx="1">
                  <c:v>339</c:v>
                </c:pt>
                <c:pt idx="2">
                  <c:v>331</c:v>
                </c:pt>
                <c:pt idx="3">
                  <c:v>209</c:v>
                </c:pt>
                <c:pt idx="4">
                  <c:v>206</c:v>
                </c:pt>
                <c:pt idx="5">
                  <c:v>153</c:v>
                </c:pt>
                <c:pt idx="6">
                  <c:v>94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D-47E0-B8C1-5B01DE5B9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234192"/>
        <c:axId val="2145231696"/>
      </c:barChart>
      <c:catAx>
        <c:axId val="21452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31696"/>
        <c:crosses val="autoZero"/>
        <c:auto val="1"/>
        <c:lblAlgn val="ctr"/>
        <c:lblOffset val="100"/>
        <c:noMultiLvlLbl val="0"/>
      </c:catAx>
      <c:valAx>
        <c:axId val="214523169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2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CULTIVOS!$A$585:$A$595</c:f>
              <c:strCache>
                <c:ptCount val="11"/>
                <c:pt idx="0">
                  <c:v>HUANTA</c:v>
                </c:pt>
                <c:pt idx="1">
                  <c:v>LUCANAS</c:v>
                </c:pt>
                <c:pt idx="2">
                  <c:v>PARINACOCHAS</c:v>
                </c:pt>
                <c:pt idx="3">
                  <c:v>HUAMANGA</c:v>
                </c:pt>
                <c:pt idx="4">
                  <c:v>VILCAS HUAMAN</c:v>
                </c:pt>
                <c:pt idx="5">
                  <c:v>LA MAR</c:v>
                </c:pt>
                <c:pt idx="6">
                  <c:v>VICTOR FAJARDO</c:v>
                </c:pt>
                <c:pt idx="7">
                  <c:v>SUCRE</c:v>
                </c:pt>
                <c:pt idx="8">
                  <c:v>PAUCAR DEL SARA SARA</c:v>
                </c:pt>
                <c:pt idx="9">
                  <c:v>CANGALLO</c:v>
                </c:pt>
                <c:pt idx="10">
                  <c:v>HUANCA SANCOS</c:v>
                </c:pt>
              </c:strCache>
            </c:strRef>
          </c:cat>
          <c:val>
            <c:numRef>
              <c:f>CULTIVOS!$B$585:$B$595</c:f>
              <c:numCache>
                <c:formatCode>#,##0</c:formatCode>
                <c:ptCount val="11"/>
                <c:pt idx="0">
                  <c:v>614</c:v>
                </c:pt>
                <c:pt idx="1">
                  <c:v>218</c:v>
                </c:pt>
                <c:pt idx="2">
                  <c:v>103</c:v>
                </c:pt>
                <c:pt idx="3">
                  <c:v>83</c:v>
                </c:pt>
                <c:pt idx="4">
                  <c:v>58</c:v>
                </c:pt>
                <c:pt idx="5">
                  <c:v>56</c:v>
                </c:pt>
                <c:pt idx="6">
                  <c:v>32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9-4C26-8692-2D5797B9D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6459680"/>
        <c:axId val="1316463840"/>
      </c:barChart>
      <c:catAx>
        <c:axId val="131645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63840"/>
        <c:crosses val="autoZero"/>
        <c:auto val="1"/>
        <c:lblAlgn val="ctr"/>
        <c:lblOffset val="100"/>
        <c:noMultiLvlLbl val="0"/>
      </c:catAx>
      <c:valAx>
        <c:axId val="13164638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316459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CULTIVOS!$A$625:$A$635</c:f>
              <c:strCache>
                <c:ptCount val="11"/>
                <c:pt idx="0">
                  <c:v>HUAMANGA</c:v>
                </c:pt>
                <c:pt idx="1">
                  <c:v>LUCANAS</c:v>
                </c:pt>
                <c:pt idx="2">
                  <c:v>VICTOR FAJARDO</c:v>
                </c:pt>
                <c:pt idx="3">
                  <c:v>CANGALLO</c:v>
                </c:pt>
                <c:pt idx="4">
                  <c:v>HUANTA</c:v>
                </c:pt>
                <c:pt idx="5">
                  <c:v>LA MAR</c:v>
                </c:pt>
                <c:pt idx="6">
                  <c:v>VILCAS HUAMAN</c:v>
                </c:pt>
                <c:pt idx="7">
                  <c:v>PARINACOCHAS</c:v>
                </c:pt>
                <c:pt idx="8">
                  <c:v>HUANCA SANCOS</c:v>
                </c:pt>
                <c:pt idx="9">
                  <c:v>SUCRE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CULTIVOS!$B$625:$B$635</c:f>
              <c:numCache>
                <c:formatCode>#,##0</c:formatCode>
                <c:ptCount val="11"/>
                <c:pt idx="0">
                  <c:v>692</c:v>
                </c:pt>
                <c:pt idx="1">
                  <c:v>240</c:v>
                </c:pt>
                <c:pt idx="2">
                  <c:v>186</c:v>
                </c:pt>
                <c:pt idx="3">
                  <c:v>185</c:v>
                </c:pt>
                <c:pt idx="4">
                  <c:v>150</c:v>
                </c:pt>
                <c:pt idx="5">
                  <c:v>145</c:v>
                </c:pt>
                <c:pt idx="6">
                  <c:v>138</c:v>
                </c:pt>
                <c:pt idx="7">
                  <c:v>71</c:v>
                </c:pt>
                <c:pt idx="8">
                  <c:v>67</c:v>
                </c:pt>
                <c:pt idx="9">
                  <c:v>50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7-476B-85BE-CD43AA2DC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177616"/>
        <c:axId val="2145184272"/>
      </c:barChart>
      <c:catAx>
        <c:axId val="214517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84272"/>
        <c:crosses val="autoZero"/>
        <c:auto val="1"/>
        <c:lblAlgn val="ctr"/>
        <c:lblOffset val="100"/>
        <c:noMultiLvlLbl val="0"/>
      </c:catAx>
      <c:valAx>
        <c:axId val="214518427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1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CULTIVOS!$A$665:$A$675</c:f>
              <c:strCache>
                <c:ptCount val="11"/>
                <c:pt idx="0">
                  <c:v>HUAMANGA</c:v>
                </c:pt>
                <c:pt idx="1">
                  <c:v>LUCANAS</c:v>
                </c:pt>
                <c:pt idx="2">
                  <c:v>HUANTA</c:v>
                </c:pt>
                <c:pt idx="3">
                  <c:v>CANGALLO</c:v>
                </c:pt>
                <c:pt idx="4">
                  <c:v>LA MAR</c:v>
                </c:pt>
                <c:pt idx="5">
                  <c:v>VICTOR FAJARDO</c:v>
                </c:pt>
                <c:pt idx="6">
                  <c:v>VILCAS HUAMAN</c:v>
                </c:pt>
                <c:pt idx="7">
                  <c:v>PARINACOCHAS</c:v>
                </c:pt>
                <c:pt idx="8">
                  <c:v>SUCRE</c:v>
                </c:pt>
                <c:pt idx="9">
                  <c:v>HUANCA SANCOS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CULTIVOS!$B$665:$B$675</c:f>
              <c:numCache>
                <c:formatCode>#,##0</c:formatCode>
                <c:ptCount val="11"/>
                <c:pt idx="0">
                  <c:v>658</c:v>
                </c:pt>
                <c:pt idx="1">
                  <c:v>361</c:v>
                </c:pt>
                <c:pt idx="2">
                  <c:v>246</c:v>
                </c:pt>
                <c:pt idx="3">
                  <c:v>235</c:v>
                </c:pt>
                <c:pt idx="4">
                  <c:v>224</c:v>
                </c:pt>
                <c:pt idx="5">
                  <c:v>165</c:v>
                </c:pt>
                <c:pt idx="6">
                  <c:v>138</c:v>
                </c:pt>
                <c:pt idx="7">
                  <c:v>98</c:v>
                </c:pt>
                <c:pt idx="8">
                  <c:v>58</c:v>
                </c:pt>
                <c:pt idx="9">
                  <c:v>48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E-4576-9CFD-0A550C8F6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2361248"/>
        <c:axId val="1982360832"/>
      </c:barChart>
      <c:catAx>
        <c:axId val="198236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0832"/>
        <c:crosses val="autoZero"/>
        <c:auto val="1"/>
        <c:lblAlgn val="ctr"/>
        <c:lblOffset val="100"/>
        <c:noMultiLvlLbl val="0"/>
      </c:catAx>
      <c:valAx>
        <c:axId val="198236083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9823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 N 3'!$B$61</c:f>
              <c:strCache>
                <c:ptCount val="1"/>
                <c:pt idx="0">
                  <c:v>Seperficie sembrada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512-4FE7-872F-3C9EC46D70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N 3'!$A$62:$A$69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'CUADRO N 3'!$B$62:$B$69</c:f>
              <c:numCache>
                <c:formatCode>0</c:formatCode>
                <c:ptCount val="8"/>
                <c:pt idx="0">
                  <c:v>102947</c:v>
                </c:pt>
                <c:pt idx="1">
                  <c:v>106616</c:v>
                </c:pt>
                <c:pt idx="2">
                  <c:v>109423</c:v>
                </c:pt>
                <c:pt idx="3">
                  <c:v>114018</c:v>
                </c:pt>
                <c:pt idx="4">
                  <c:v>110048</c:v>
                </c:pt>
                <c:pt idx="5">
                  <c:v>110717</c:v>
                </c:pt>
                <c:pt idx="6">
                  <c:v>121175</c:v>
                </c:pt>
                <c:pt idx="7">
                  <c:v>124817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2-4FE7-872F-3C9EC46D7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4317392"/>
        <c:axId val="1394317808"/>
      </c:barChart>
      <c:catAx>
        <c:axId val="13943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17808"/>
        <c:crosses val="autoZero"/>
        <c:auto val="1"/>
        <c:lblAlgn val="ctr"/>
        <c:lblOffset val="100"/>
        <c:noMultiLvlLbl val="0"/>
      </c:catAx>
      <c:valAx>
        <c:axId val="1394317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943173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CULTIVOS!$A$705:$A$715</c:f>
              <c:strCache>
                <c:ptCount val="11"/>
                <c:pt idx="0">
                  <c:v>HUAMANGA</c:v>
                </c:pt>
                <c:pt idx="1">
                  <c:v>LA MAR</c:v>
                </c:pt>
                <c:pt idx="2">
                  <c:v>LUCANAS</c:v>
                </c:pt>
                <c:pt idx="3">
                  <c:v>CANGALLO</c:v>
                </c:pt>
                <c:pt idx="4">
                  <c:v>HUANTA</c:v>
                </c:pt>
                <c:pt idx="5">
                  <c:v>VICTOR FAJARDO</c:v>
                </c:pt>
                <c:pt idx="6">
                  <c:v>VILCAS HUAMAN</c:v>
                </c:pt>
                <c:pt idx="7">
                  <c:v>PARINACOCHAS</c:v>
                </c:pt>
                <c:pt idx="8">
                  <c:v>SUCRE</c:v>
                </c:pt>
                <c:pt idx="9">
                  <c:v>HUANCA SANCOS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CULTIVOS!$B$705:$B$715</c:f>
              <c:numCache>
                <c:formatCode>#,##0</c:formatCode>
                <c:ptCount val="11"/>
                <c:pt idx="0">
                  <c:v>1108</c:v>
                </c:pt>
                <c:pt idx="1">
                  <c:v>388</c:v>
                </c:pt>
                <c:pt idx="2">
                  <c:v>370</c:v>
                </c:pt>
                <c:pt idx="3">
                  <c:v>331</c:v>
                </c:pt>
                <c:pt idx="4">
                  <c:v>273</c:v>
                </c:pt>
                <c:pt idx="5">
                  <c:v>242</c:v>
                </c:pt>
                <c:pt idx="6">
                  <c:v>210</c:v>
                </c:pt>
                <c:pt idx="7">
                  <c:v>123</c:v>
                </c:pt>
                <c:pt idx="8">
                  <c:v>84</c:v>
                </c:pt>
                <c:pt idx="9">
                  <c:v>71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E-4540-84C2-D88A56758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0656352"/>
        <c:axId val="240656768"/>
      </c:barChart>
      <c:catAx>
        <c:axId val="24065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56768"/>
        <c:crosses val="autoZero"/>
        <c:auto val="1"/>
        <c:lblAlgn val="ctr"/>
        <c:lblOffset val="100"/>
        <c:noMultiLvlLbl val="0"/>
      </c:catAx>
      <c:valAx>
        <c:axId val="2406567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06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CULTIVOS!$A$746:$A$756</c:f>
              <c:strCache>
                <c:ptCount val="11"/>
                <c:pt idx="0">
                  <c:v>HUAMANGA</c:v>
                </c:pt>
                <c:pt idx="1">
                  <c:v>CANGALLO</c:v>
                </c:pt>
                <c:pt idx="2">
                  <c:v>VILCAS HUAMAN</c:v>
                </c:pt>
                <c:pt idx="3">
                  <c:v>LUCANAS</c:v>
                </c:pt>
                <c:pt idx="4">
                  <c:v>LA MAR</c:v>
                </c:pt>
                <c:pt idx="5">
                  <c:v>VICTOR FAJARDO</c:v>
                </c:pt>
                <c:pt idx="6">
                  <c:v>HUANTA</c:v>
                </c:pt>
                <c:pt idx="7">
                  <c:v>SUCRE</c:v>
                </c:pt>
                <c:pt idx="8">
                  <c:v>PARINACOCHAS</c:v>
                </c:pt>
                <c:pt idx="9">
                  <c:v>HUANCA SANCOS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CULTIVOS!$B$746:$B$756</c:f>
              <c:numCache>
                <c:formatCode>#,##0</c:formatCode>
                <c:ptCount val="11"/>
                <c:pt idx="0">
                  <c:v>7959</c:v>
                </c:pt>
                <c:pt idx="1">
                  <c:v>1431</c:v>
                </c:pt>
                <c:pt idx="2">
                  <c:v>1245</c:v>
                </c:pt>
                <c:pt idx="3">
                  <c:v>1001</c:v>
                </c:pt>
                <c:pt idx="4">
                  <c:v>846</c:v>
                </c:pt>
                <c:pt idx="5">
                  <c:v>585</c:v>
                </c:pt>
                <c:pt idx="6">
                  <c:v>498</c:v>
                </c:pt>
                <c:pt idx="7">
                  <c:v>413</c:v>
                </c:pt>
                <c:pt idx="8">
                  <c:v>289</c:v>
                </c:pt>
                <c:pt idx="9">
                  <c:v>236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82A-BE01-1A2F715FEA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191760"/>
        <c:axId val="2145184688"/>
      </c:barChart>
      <c:catAx>
        <c:axId val="214519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84688"/>
        <c:crosses val="autoZero"/>
        <c:auto val="1"/>
        <c:lblAlgn val="ctr"/>
        <c:lblOffset val="100"/>
        <c:noMultiLvlLbl val="0"/>
      </c:catAx>
      <c:valAx>
        <c:axId val="214518468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1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CULTIVOS!$A$787:$A$797</c:f>
              <c:strCache>
                <c:ptCount val="11"/>
                <c:pt idx="0">
                  <c:v>HUAMANGA</c:v>
                </c:pt>
                <c:pt idx="1">
                  <c:v>CANGALLO</c:v>
                </c:pt>
                <c:pt idx="2">
                  <c:v>LUCANAS</c:v>
                </c:pt>
                <c:pt idx="3">
                  <c:v>VILCAS HUAMAN</c:v>
                </c:pt>
                <c:pt idx="4">
                  <c:v>VICTOR FAJARDO</c:v>
                </c:pt>
                <c:pt idx="5">
                  <c:v>PARINACOCHAS</c:v>
                </c:pt>
                <c:pt idx="6">
                  <c:v>LA MAR</c:v>
                </c:pt>
                <c:pt idx="7">
                  <c:v>HUANTA</c:v>
                </c:pt>
                <c:pt idx="8">
                  <c:v>PAUCAR DEL SARA SARA</c:v>
                </c:pt>
                <c:pt idx="9">
                  <c:v>HUANCA SANCOS</c:v>
                </c:pt>
                <c:pt idx="10">
                  <c:v>SUCRE</c:v>
                </c:pt>
              </c:strCache>
            </c:strRef>
          </c:cat>
          <c:val>
            <c:numRef>
              <c:f>CULTIVOS!$B$787:$B$797</c:f>
              <c:numCache>
                <c:formatCode>#,##0</c:formatCode>
                <c:ptCount val="11"/>
                <c:pt idx="0">
                  <c:v>6335</c:v>
                </c:pt>
                <c:pt idx="1">
                  <c:v>1722</c:v>
                </c:pt>
                <c:pt idx="2">
                  <c:v>815</c:v>
                </c:pt>
                <c:pt idx="3">
                  <c:v>544</c:v>
                </c:pt>
                <c:pt idx="4">
                  <c:v>403</c:v>
                </c:pt>
                <c:pt idx="5">
                  <c:v>218</c:v>
                </c:pt>
                <c:pt idx="6">
                  <c:v>177</c:v>
                </c:pt>
                <c:pt idx="7">
                  <c:v>175</c:v>
                </c:pt>
                <c:pt idx="8">
                  <c:v>170</c:v>
                </c:pt>
                <c:pt idx="9">
                  <c:v>103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E-487F-A5B0-E594A5EC2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3642480"/>
        <c:axId val="1223641648"/>
      </c:barChart>
      <c:catAx>
        <c:axId val="122364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41648"/>
        <c:crosses val="autoZero"/>
        <c:auto val="1"/>
        <c:lblAlgn val="ctr"/>
        <c:lblOffset val="100"/>
        <c:noMultiLvlLbl val="0"/>
      </c:catAx>
      <c:valAx>
        <c:axId val="122364164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2236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CULTIVOS!$A$829:$A$839</c:f>
              <c:strCache>
                <c:ptCount val="11"/>
                <c:pt idx="0">
                  <c:v>HUAMANGA</c:v>
                </c:pt>
                <c:pt idx="1">
                  <c:v>LA MAR</c:v>
                </c:pt>
                <c:pt idx="2">
                  <c:v>CANGALLO</c:v>
                </c:pt>
                <c:pt idx="3">
                  <c:v>HUANTA</c:v>
                </c:pt>
                <c:pt idx="4">
                  <c:v>VICTOR FAJARDO</c:v>
                </c:pt>
                <c:pt idx="5">
                  <c:v>VILCAS HUAMAN</c:v>
                </c:pt>
                <c:pt idx="6">
                  <c:v>LUCANAS</c:v>
                </c:pt>
                <c:pt idx="7">
                  <c:v>PARINACOCHAS</c:v>
                </c:pt>
                <c:pt idx="8">
                  <c:v>HUANCA SANCOS</c:v>
                </c:pt>
                <c:pt idx="9">
                  <c:v>SUCRE</c:v>
                </c:pt>
                <c:pt idx="10">
                  <c:v>PAUCAR DEL SARA SARA</c:v>
                </c:pt>
              </c:strCache>
            </c:strRef>
          </c:cat>
          <c:val>
            <c:numRef>
              <c:f>CULTIVOS!$B$829:$B$839</c:f>
              <c:numCache>
                <c:formatCode>#,##0</c:formatCode>
                <c:ptCount val="11"/>
                <c:pt idx="0">
                  <c:v>3417</c:v>
                </c:pt>
                <c:pt idx="1">
                  <c:v>1567</c:v>
                </c:pt>
                <c:pt idx="2">
                  <c:v>1107</c:v>
                </c:pt>
                <c:pt idx="3">
                  <c:v>881</c:v>
                </c:pt>
                <c:pt idx="4">
                  <c:v>439</c:v>
                </c:pt>
                <c:pt idx="5">
                  <c:v>381</c:v>
                </c:pt>
                <c:pt idx="6">
                  <c:v>352</c:v>
                </c:pt>
                <c:pt idx="7">
                  <c:v>181</c:v>
                </c:pt>
                <c:pt idx="8">
                  <c:v>91</c:v>
                </c:pt>
                <c:pt idx="9">
                  <c:v>66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4-4AD0-932E-57D04FAAA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9845199"/>
        <c:axId val="429846031"/>
      </c:barChart>
      <c:catAx>
        <c:axId val="42984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46031"/>
        <c:crosses val="autoZero"/>
        <c:auto val="1"/>
        <c:lblAlgn val="ctr"/>
        <c:lblOffset val="100"/>
        <c:noMultiLvlLbl val="0"/>
      </c:catAx>
      <c:valAx>
        <c:axId val="42984603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29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CULTIVOS!$A$870:$A$880</c:f>
              <c:strCache>
                <c:ptCount val="11"/>
                <c:pt idx="0">
                  <c:v>HUAMANGA</c:v>
                </c:pt>
                <c:pt idx="1">
                  <c:v>VILCAS HUAMAN</c:v>
                </c:pt>
                <c:pt idx="2">
                  <c:v>CANGALLO</c:v>
                </c:pt>
                <c:pt idx="3">
                  <c:v>LA MAR</c:v>
                </c:pt>
                <c:pt idx="4">
                  <c:v>LUCANAS</c:v>
                </c:pt>
                <c:pt idx="5">
                  <c:v>HUANTA</c:v>
                </c:pt>
                <c:pt idx="6">
                  <c:v>VICTOR FAJARDO</c:v>
                </c:pt>
                <c:pt idx="7">
                  <c:v>PAUCAR DEL SARA SARA</c:v>
                </c:pt>
                <c:pt idx="8">
                  <c:v>SUCRE</c:v>
                </c:pt>
                <c:pt idx="9">
                  <c:v>PARINACOCHAS</c:v>
                </c:pt>
                <c:pt idx="10">
                  <c:v>HUANCA SANCOS</c:v>
                </c:pt>
              </c:strCache>
            </c:strRef>
          </c:cat>
          <c:val>
            <c:numRef>
              <c:f>CULTIVOS!$B$870:$B$880</c:f>
              <c:numCache>
                <c:formatCode>#,##0</c:formatCode>
                <c:ptCount val="11"/>
                <c:pt idx="0">
                  <c:v>10705</c:v>
                </c:pt>
                <c:pt idx="1">
                  <c:v>2057</c:v>
                </c:pt>
                <c:pt idx="2">
                  <c:v>1423</c:v>
                </c:pt>
                <c:pt idx="3">
                  <c:v>531</c:v>
                </c:pt>
                <c:pt idx="4">
                  <c:v>263</c:v>
                </c:pt>
                <c:pt idx="5">
                  <c:v>176</c:v>
                </c:pt>
                <c:pt idx="6">
                  <c:v>174</c:v>
                </c:pt>
                <c:pt idx="7">
                  <c:v>124</c:v>
                </c:pt>
                <c:pt idx="8">
                  <c:v>114</c:v>
                </c:pt>
                <c:pt idx="9">
                  <c:v>106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D-4F3E-97FE-D63ABCD2D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181776"/>
        <c:axId val="2145173040"/>
      </c:barChart>
      <c:catAx>
        <c:axId val="214518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73040"/>
        <c:crosses val="autoZero"/>
        <c:auto val="1"/>
        <c:lblAlgn val="ctr"/>
        <c:lblOffset val="100"/>
        <c:noMultiLvlLbl val="0"/>
      </c:catAx>
      <c:valAx>
        <c:axId val="21451730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1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CULTIVOS!$A$912:$A$922</c:f>
              <c:strCache>
                <c:ptCount val="11"/>
                <c:pt idx="0">
                  <c:v>HUAMANGA</c:v>
                </c:pt>
                <c:pt idx="1">
                  <c:v>HUANTA</c:v>
                </c:pt>
                <c:pt idx="2">
                  <c:v>LUCANAS</c:v>
                </c:pt>
                <c:pt idx="3">
                  <c:v>CANGALLO</c:v>
                </c:pt>
                <c:pt idx="4">
                  <c:v>HUANCA SANCOS</c:v>
                </c:pt>
                <c:pt idx="5">
                  <c:v>LA MAR</c:v>
                </c:pt>
                <c:pt idx="6">
                  <c:v>PARINACOCHAS</c:v>
                </c:pt>
                <c:pt idx="7">
                  <c:v>PAUCAR DEL SARA SARA</c:v>
                </c:pt>
                <c:pt idx="8">
                  <c:v>SUCRE</c:v>
                </c:pt>
                <c:pt idx="9">
                  <c:v>VICTOR FAJARDO</c:v>
                </c:pt>
                <c:pt idx="10">
                  <c:v>VILCAS HUAMAN</c:v>
                </c:pt>
              </c:strCache>
            </c:strRef>
          </c:cat>
          <c:val>
            <c:numRef>
              <c:f>CULTIVOS!$B$912:$B$922</c:f>
              <c:numCache>
                <c:formatCode>#,##0</c:formatCode>
                <c:ptCount val="11"/>
                <c:pt idx="0">
                  <c:v>64</c:v>
                </c:pt>
                <c:pt idx="1">
                  <c:v>48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B-4CEB-AB51-FF0BC6107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929279"/>
        <c:axId val="134932191"/>
      </c:barChart>
      <c:catAx>
        <c:axId val="13492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2191"/>
        <c:crosses val="autoZero"/>
        <c:auto val="1"/>
        <c:lblAlgn val="ctr"/>
        <c:lblOffset val="100"/>
        <c:noMultiLvlLbl val="0"/>
      </c:catAx>
      <c:valAx>
        <c:axId val="13493219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349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CULTIVOS!$A$953:$A$963</c:f>
              <c:strCache>
                <c:ptCount val="11"/>
                <c:pt idx="0">
                  <c:v>HUAMANGA</c:v>
                </c:pt>
                <c:pt idx="1">
                  <c:v>VICTOR FAJARDO</c:v>
                </c:pt>
                <c:pt idx="2">
                  <c:v>LUCANAS</c:v>
                </c:pt>
                <c:pt idx="3">
                  <c:v>LA MAR</c:v>
                </c:pt>
                <c:pt idx="4">
                  <c:v>VILCAS HUAMAN</c:v>
                </c:pt>
                <c:pt idx="5">
                  <c:v>CANGALLO</c:v>
                </c:pt>
                <c:pt idx="6">
                  <c:v>HUANTA</c:v>
                </c:pt>
                <c:pt idx="7">
                  <c:v>PAUCAR DEL SARA SARA</c:v>
                </c:pt>
                <c:pt idx="8">
                  <c:v>SUCRE</c:v>
                </c:pt>
                <c:pt idx="9">
                  <c:v>PARINACOCHAS</c:v>
                </c:pt>
                <c:pt idx="10">
                  <c:v>HUANCA SANCOS</c:v>
                </c:pt>
              </c:strCache>
            </c:strRef>
          </c:cat>
          <c:val>
            <c:numRef>
              <c:f>CULTIVOS!$B$953:$B$963</c:f>
              <c:numCache>
                <c:formatCode>#,##0</c:formatCode>
                <c:ptCount val="11"/>
                <c:pt idx="0">
                  <c:v>4061</c:v>
                </c:pt>
                <c:pt idx="1">
                  <c:v>1082</c:v>
                </c:pt>
                <c:pt idx="2">
                  <c:v>981</c:v>
                </c:pt>
                <c:pt idx="3">
                  <c:v>862</c:v>
                </c:pt>
                <c:pt idx="4">
                  <c:v>740</c:v>
                </c:pt>
                <c:pt idx="5">
                  <c:v>523</c:v>
                </c:pt>
                <c:pt idx="6">
                  <c:v>399</c:v>
                </c:pt>
                <c:pt idx="7">
                  <c:v>247</c:v>
                </c:pt>
                <c:pt idx="8">
                  <c:v>209</c:v>
                </c:pt>
                <c:pt idx="9">
                  <c:v>206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9-4E70-A1D5-87BC413F3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4589248"/>
        <c:axId val="1974593824"/>
      </c:barChart>
      <c:catAx>
        <c:axId val="197458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93824"/>
        <c:crosses val="autoZero"/>
        <c:auto val="1"/>
        <c:lblAlgn val="ctr"/>
        <c:lblOffset val="100"/>
        <c:noMultiLvlLbl val="0"/>
      </c:catAx>
      <c:valAx>
        <c:axId val="197459382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9745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CULTIVOS!$A$992:$A$1002</c:f>
              <c:strCache>
                <c:ptCount val="11"/>
                <c:pt idx="0">
                  <c:v>LA MAR</c:v>
                </c:pt>
                <c:pt idx="1">
                  <c:v>HUANTA</c:v>
                </c:pt>
                <c:pt idx="2">
                  <c:v>HUAMANGA</c:v>
                </c:pt>
                <c:pt idx="3">
                  <c:v>CANGALLO</c:v>
                </c:pt>
                <c:pt idx="4">
                  <c:v>HUANCA SANCOS</c:v>
                </c:pt>
                <c:pt idx="5">
                  <c:v>LUCANAS</c:v>
                </c:pt>
                <c:pt idx="6">
                  <c:v>PARINACOCHAS</c:v>
                </c:pt>
                <c:pt idx="7">
                  <c:v>PAUCAR DEL SARA SARA</c:v>
                </c:pt>
                <c:pt idx="8">
                  <c:v>SUCRE</c:v>
                </c:pt>
                <c:pt idx="9">
                  <c:v>VICTOR FAJARDO</c:v>
                </c:pt>
                <c:pt idx="10">
                  <c:v>VILCAS HUAMAN</c:v>
                </c:pt>
              </c:strCache>
            </c:strRef>
          </c:cat>
          <c:val>
            <c:numRef>
              <c:f>CULTIVOS!$B$992:$B$1002</c:f>
              <c:numCache>
                <c:formatCode>#,##0</c:formatCode>
                <c:ptCount val="11"/>
                <c:pt idx="0">
                  <c:v>523</c:v>
                </c:pt>
                <c:pt idx="1">
                  <c:v>284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7-41A7-AD84-E3705870C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9503055"/>
        <c:axId val="1629502223"/>
      </c:barChart>
      <c:catAx>
        <c:axId val="162950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2223"/>
        <c:crosses val="autoZero"/>
        <c:auto val="1"/>
        <c:lblAlgn val="ctr"/>
        <c:lblOffset val="100"/>
        <c:noMultiLvlLbl val="0"/>
      </c:catAx>
      <c:valAx>
        <c:axId val="1629502223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6295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CULTIVOS!$A$1034:$A$1044</c:f>
              <c:strCache>
                <c:ptCount val="11"/>
                <c:pt idx="0">
                  <c:v>HUAMANGA</c:v>
                </c:pt>
                <c:pt idx="1">
                  <c:v>LA MAR</c:v>
                </c:pt>
                <c:pt idx="2">
                  <c:v>HUANTA</c:v>
                </c:pt>
                <c:pt idx="3">
                  <c:v>LUCANAS</c:v>
                </c:pt>
                <c:pt idx="4">
                  <c:v>PARINACOCHAS</c:v>
                </c:pt>
                <c:pt idx="5">
                  <c:v>VICTOR FAJARDO</c:v>
                </c:pt>
                <c:pt idx="6">
                  <c:v>PAUCAR DEL SARA SARA</c:v>
                </c:pt>
                <c:pt idx="7">
                  <c:v>CANGALLO</c:v>
                </c:pt>
                <c:pt idx="8">
                  <c:v>HUANCA SANCOS</c:v>
                </c:pt>
                <c:pt idx="9">
                  <c:v>SUCRE</c:v>
                </c:pt>
                <c:pt idx="10">
                  <c:v>VILCAS HUAMAN</c:v>
                </c:pt>
              </c:strCache>
            </c:strRef>
          </c:cat>
          <c:val>
            <c:numRef>
              <c:f>CULTIVOS!$B$1034:$B$1044</c:f>
              <c:numCache>
                <c:formatCode>#,##0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47</c:v>
                </c:pt>
                <c:pt idx="3">
                  <c:v>43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C-4FE4-A275-AABF74576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5639551"/>
        <c:axId val="465637887"/>
      </c:barChart>
      <c:catAx>
        <c:axId val="46563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7887"/>
        <c:crosses val="autoZero"/>
        <c:auto val="1"/>
        <c:lblAlgn val="ctr"/>
        <c:lblOffset val="100"/>
        <c:noMultiLvlLbl val="0"/>
      </c:catAx>
      <c:valAx>
        <c:axId val="46563788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6563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CULTIVOS!$A$1074:$A$1084</c:f>
              <c:strCache>
                <c:ptCount val="11"/>
                <c:pt idx="0">
                  <c:v>LUCANAS</c:v>
                </c:pt>
                <c:pt idx="1">
                  <c:v>VICTOR FAJARDO</c:v>
                </c:pt>
                <c:pt idx="2">
                  <c:v>LA MAR</c:v>
                </c:pt>
                <c:pt idx="3">
                  <c:v>HUAMANGA</c:v>
                </c:pt>
                <c:pt idx="4">
                  <c:v>CANGALLO</c:v>
                </c:pt>
                <c:pt idx="5">
                  <c:v>HUANCA SANCOS</c:v>
                </c:pt>
                <c:pt idx="6">
                  <c:v>HUANTA</c:v>
                </c:pt>
                <c:pt idx="7">
                  <c:v>PARINACOCHAS</c:v>
                </c:pt>
                <c:pt idx="8">
                  <c:v>PAUCAR DEL SARA SARA</c:v>
                </c:pt>
                <c:pt idx="9">
                  <c:v>SUCRE</c:v>
                </c:pt>
                <c:pt idx="10">
                  <c:v>VILCAS HUAMAN</c:v>
                </c:pt>
              </c:strCache>
            </c:strRef>
          </c:cat>
          <c:val>
            <c:numRef>
              <c:f>CULTIVOS!$B$1074:$B$1084</c:f>
              <c:numCache>
                <c:formatCode>#,##0</c:formatCode>
                <c:ptCount val="11"/>
                <c:pt idx="0">
                  <c:v>48</c:v>
                </c:pt>
                <c:pt idx="1">
                  <c:v>31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F8D-AAE0-56FAF8E3C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7856159"/>
        <c:axId val="1627861151"/>
      </c:barChart>
      <c:catAx>
        <c:axId val="162785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61151"/>
        <c:crosses val="autoZero"/>
        <c:auto val="1"/>
        <c:lblAlgn val="ctr"/>
        <c:lblOffset val="100"/>
        <c:noMultiLvlLbl val="0"/>
      </c:catAx>
      <c:valAx>
        <c:axId val="162786115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6278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CULTIVOS!$A$10:$A$20</c:f>
              <c:strCache>
                <c:ptCount val="11"/>
                <c:pt idx="0">
                  <c:v>HUAMANGA</c:v>
                </c:pt>
                <c:pt idx="1">
                  <c:v>LA MAR</c:v>
                </c:pt>
                <c:pt idx="2">
                  <c:v>CANGALLO</c:v>
                </c:pt>
                <c:pt idx="3">
                  <c:v>HUANCASANCOS</c:v>
                </c:pt>
                <c:pt idx="4">
                  <c:v>HUANTA</c:v>
                </c:pt>
                <c:pt idx="5">
                  <c:v>LUCANAS</c:v>
                </c:pt>
                <c:pt idx="6">
                  <c:v>PARINACOCHAS</c:v>
                </c:pt>
                <c:pt idx="7">
                  <c:v>PAUCAR DEL SARA SARA</c:v>
                </c:pt>
                <c:pt idx="8">
                  <c:v>SUCRE</c:v>
                </c:pt>
                <c:pt idx="9">
                  <c:v>VICTOR FAJARDO</c:v>
                </c:pt>
                <c:pt idx="10">
                  <c:v>VILCAS HUAMAN</c:v>
                </c:pt>
              </c:strCache>
            </c:strRef>
          </c:cat>
          <c:val>
            <c:numRef>
              <c:f>CULTIVOS!$B$10:$B$20</c:f>
              <c:numCache>
                <c:formatCode>#,##0</c:formatCode>
                <c:ptCount val="11"/>
                <c:pt idx="0">
                  <c:v>17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4BD-89A1-62E8087E7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8361936"/>
        <c:axId val="1558363600"/>
      </c:barChart>
      <c:catAx>
        <c:axId val="155836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63600"/>
        <c:crosses val="autoZero"/>
        <c:auto val="1"/>
        <c:lblAlgn val="ctr"/>
        <c:lblOffset val="100"/>
        <c:noMultiLvlLbl val="0"/>
      </c:catAx>
      <c:valAx>
        <c:axId val="155836360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5583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HGA!$C$69</c:f>
              <c:strCache>
                <c:ptCount val="1"/>
                <c:pt idx="0">
                  <c:v>ENIS 2022-2023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HGA!$B$70:$B$75</c:f>
              <c:strCache>
                <c:ptCount val="6"/>
                <c:pt idx="0">
                  <c:v>QUINUA</c:v>
                </c:pt>
                <c:pt idx="1">
                  <c:v>PAPA BLANCA</c:v>
                </c:pt>
                <c:pt idx="2">
                  <c:v>PAPA COLOR</c:v>
                </c:pt>
                <c:pt idx="3">
                  <c:v>CEBADA GRANO</c:v>
                </c:pt>
                <c:pt idx="4">
                  <c:v>MAIZ AMILACEO</c:v>
                </c:pt>
                <c:pt idx="5">
                  <c:v>OTROS</c:v>
                </c:pt>
              </c:strCache>
            </c:strRef>
          </c:cat>
          <c:val>
            <c:numRef>
              <c:f>HGA!$C$70:$C$75</c:f>
              <c:numCache>
                <c:formatCode>#,##0</c:formatCode>
                <c:ptCount val="6"/>
                <c:pt idx="0">
                  <c:v>10705</c:v>
                </c:pt>
                <c:pt idx="1">
                  <c:v>7959</c:v>
                </c:pt>
                <c:pt idx="2">
                  <c:v>6335</c:v>
                </c:pt>
                <c:pt idx="3">
                  <c:v>5763</c:v>
                </c:pt>
                <c:pt idx="4">
                  <c:v>4873</c:v>
                </c:pt>
                <c:pt idx="5">
                  <c:v>18778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4F22-A766-C8C2AD49A864}"/>
            </c:ext>
          </c:extLst>
        </c:ser>
        <c:ser>
          <c:idx val="1"/>
          <c:order val="1"/>
          <c:tx>
            <c:strRef>
              <c:f>HGA!$P$69</c:f>
              <c:strCache>
                <c:ptCount val="1"/>
                <c:pt idx="0">
                  <c:v>SUPERFICIE SEMBRADA 2021-2022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HGA!$B$70:$B$75</c:f>
              <c:strCache>
                <c:ptCount val="6"/>
                <c:pt idx="0">
                  <c:v>QUINUA</c:v>
                </c:pt>
                <c:pt idx="1">
                  <c:v>PAPA BLANCA</c:v>
                </c:pt>
                <c:pt idx="2">
                  <c:v>PAPA COLOR</c:v>
                </c:pt>
                <c:pt idx="3">
                  <c:v>CEBADA GRANO</c:v>
                </c:pt>
                <c:pt idx="4">
                  <c:v>MAIZ AMILACEO</c:v>
                </c:pt>
                <c:pt idx="5">
                  <c:v>OTROS</c:v>
                </c:pt>
              </c:strCache>
            </c:strRef>
          </c:cat>
          <c:val>
            <c:numRef>
              <c:f>HGA!$P$70:$P$75</c:f>
              <c:numCache>
                <c:formatCode>#,##0</c:formatCode>
                <c:ptCount val="6"/>
                <c:pt idx="0">
                  <c:v>10824</c:v>
                </c:pt>
                <c:pt idx="1">
                  <c:v>8038</c:v>
                </c:pt>
                <c:pt idx="2">
                  <c:v>6660</c:v>
                </c:pt>
                <c:pt idx="3">
                  <c:v>5913</c:v>
                </c:pt>
                <c:pt idx="4">
                  <c:v>4901</c:v>
                </c:pt>
                <c:pt idx="5">
                  <c:v>18393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F-4F22-A766-C8C2AD49A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Hectárea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HGA!$C$4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HGA!$B$7:$B$32</c:f>
              <c:strCache>
                <c:ptCount val="26"/>
                <c:pt idx="0">
                  <c:v>QUINUA</c:v>
                </c:pt>
                <c:pt idx="1">
                  <c:v>PAPA BLANCA</c:v>
                </c:pt>
                <c:pt idx="2">
                  <c:v>PAPA COLOR</c:v>
                </c:pt>
                <c:pt idx="3">
                  <c:v>CEBADA GRANO</c:v>
                </c:pt>
                <c:pt idx="4">
                  <c:v>MAIZ AMILACEO</c:v>
                </c:pt>
                <c:pt idx="5">
                  <c:v>TRIGO</c:v>
                </c:pt>
                <c:pt idx="6">
                  <c:v>PAPA NATIVA</c:v>
                </c:pt>
                <c:pt idx="7">
                  <c:v>HABA GRANO SECO</c:v>
                </c:pt>
                <c:pt idx="8">
                  <c:v>ARVEJA GRANO SECO</c:v>
                </c:pt>
                <c:pt idx="9">
                  <c:v>ARVEJA GRANO VERDE</c:v>
                </c:pt>
                <c:pt idx="10">
                  <c:v>OLLUCO</c:v>
                </c:pt>
                <c:pt idx="11">
                  <c:v>MAIZ CHOCLO</c:v>
                </c:pt>
                <c:pt idx="12">
                  <c:v>HABA GRANO VERDE</c:v>
                </c:pt>
                <c:pt idx="13">
                  <c:v>MASHUA O IZANO</c:v>
                </c:pt>
                <c:pt idx="14">
                  <c:v>OCA</c:v>
                </c:pt>
                <c:pt idx="15">
                  <c:v>FRIJOL GRANO SECO</c:v>
                </c:pt>
                <c:pt idx="16">
                  <c:v>ZANAHORIA</c:v>
                </c:pt>
                <c:pt idx="17">
                  <c:v>MAIZ MORADO</c:v>
                </c:pt>
                <c:pt idx="18">
                  <c:v>CEBOLLA CABEZA ROJA</c:v>
                </c:pt>
                <c:pt idx="19">
                  <c:v>TOMATE</c:v>
                </c:pt>
                <c:pt idx="20">
                  <c:v>MAIZ AMARILLO DURO</c:v>
                </c:pt>
                <c:pt idx="21">
                  <c:v>YUCA</c:v>
                </c:pt>
                <c:pt idx="22">
                  <c:v>AJO</c:v>
                </c:pt>
                <c:pt idx="23">
                  <c:v>ZAPALLO</c:v>
                </c:pt>
                <c:pt idx="24">
                  <c:v>CAMOTE</c:v>
                </c:pt>
                <c:pt idx="25">
                  <c:v>AJI</c:v>
                </c:pt>
              </c:strCache>
            </c:strRef>
          </c:cat>
          <c:val>
            <c:numRef>
              <c:f>HGA!$C$7:$C$32</c:f>
              <c:numCache>
                <c:formatCode>#,##0</c:formatCode>
                <c:ptCount val="26"/>
                <c:pt idx="0">
                  <c:v>10705</c:v>
                </c:pt>
                <c:pt idx="1">
                  <c:v>7959</c:v>
                </c:pt>
                <c:pt idx="2">
                  <c:v>6335</c:v>
                </c:pt>
                <c:pt idx="3">
                  <c:v>5763</c:v>
                </c:pt>
                <c:pt idx="4">
                  <c:v>4873</c:v>
                </c:pt>
                <c:pt idx="5">
                  <c:v>4061</c:v>
                </c:pt>
                <c:pt idx="6">
                  <c:v>3417</c:v>
                </c:pt>
                <c:pt idx="7">
                  <c:v>2625</c:v>
                </c:pt>
                <c:pt idx="8">
                  <c:v>2573</c:v>
                </c:pt>
                <c:pt idx="9">
                  <c:v>1117</c:v>
                </c:pt>
                <c:pt idx="10">
                  <c:v>1108</c:v>
                </c:pt>
                <c:pt idx="11">
                  <c:v>1007</c:v>
                </c:pt>
                <c:pt idx="12">
                  <c:v>788</c:v>
                </c:pt>
                <c:pt idx="13">
                  <c:v>692</c:v>
                </c:pt>
                <c:pt idx="14">
                  <c:v>658</c:v>
                </c:pt>
                <c:pt idx="15">
                  <c:v>224</c:v>
                </c:pt>
                <c:pt idx="16">
                  <c:v>85</c:v>
                </c:pt>
                <c:pt idx="17">
                  <c:v>83</c:v>
                </c:pt>
                <c:pt idx="18">
                  <c:v>77</c:v>
                </c:pt>
                <c:pt idx="19">
                  <c:v>64</c:v>
                </c:pt>
                <c:pt idx="20">
                  <c:v>53</c:v>
                </c:pt>
                <c:pt idx="21">
                  <c:v>49</c:v>
                </c:pt>
                <c:pt idx="22">
                  <c:v>37</c:v>
                </c:pt>
                <c:pt idx="23">
                  <c:v>23</c:v>
                </c:pt>
                <c:pt idx="24">
                  <c:v>20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4298-BFF6-9D7FF3282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249431504"/>
        <c:axId val="249480592"/>
      </c:barChart>
      <c:catAx>
        <c:axId val="2494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80592"/>
        <c:crosses val="autoZero"/>
        <c:auto val="1"/>
        <c:lblAlgn val="ctr"/>
        <c:lblOffset val="100"/>
        <c:noMultiLvlLbl val="0"/>
      </c:catAx>
      <c:valAx>
        <c:axId val="24948059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94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5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CGO!$C$5</c:f>
              <c:strCache>
                <c:ptCount val="1"/>
                <c:pt idx="0">
                  <c:v>ENIS 2022-2023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CGO!$B$7:$B$23</c:f>
              <c:strCache>
                <c:ptCount val="17"/>
                <c:pt idx="0">
                  <c:v>PAPA COLOR</c:v>
                </c:pt>
                <c:pt idx="1">
                  <c:v>PAPA BLANCA</c:v>
                </c:pt>
                <c:pt idx="2">
                  <c:v>QUINUA</c:v>
                </c:pt>
                <c:pt idx="3">
                  <c:v>MAIZ AMILACEO</c:v>
                </c:pt>
                <c:pt idx="4">
                  <c:v>CEBADA GRANO</c:v>
                </c:pt>
                <c:pt idx="5">
                  <c:v>PAPA NATIVA</c:v>
                </c:pt>
                <c:pt idx="6">
                  <c:v>HABA GRANO SECO</c:v>
                </c:pt>
                <c:pt idx="7">
                  <c:v>TRIGO</c:v>
                </c:pt>
                <c:pt idx="8">
                  <c:v>OLLUCO</c:v>
                </c:pt>
                <c:pt idx="9">
                  <c:v>ARVEJA GRANO SECO</c:v>
                </c:pt>
                <c:pt idx="10">
                  <c:v>OCA</c:v>
                </c:pt>
                <c:pt idx="11">
                  <c:v>MASHUA O IZANO</c:v>
                </c:pt>
                <c:pt idx="12">
                  <c:v>MAIZ CHOCLO</c:v>
                </c:pt>
                <c:pt idx="13">
                  <c:v>HABA GRANO VERDE</c:v>
                </c:pt>
                <c:pt idx="14">
                  <c:v>AJO</c:v>
                </c:pt>
                <c:pt idx="15">
                  <c:v>ARVEJA GRANO VERDE</c:v>
                </c:pt>
                <c:pt idx="16">
                  <c:v>FRIJOL GRANO SECO</c:v>
                </c:pt>
              </c:strCache>
            </c:strRef>
          </c:cat>
          <c:val>
            <c:numRef>
              <c:f>CGO!$C$7:$C$23</c:f>
              <c:numCache>
                <c:formatCode>#,##0</c:formatCode>
                <c:ptCount val="17"/>
                <c:pt idx="0">
                  <c:v>1722</c:v>
                </c:pt>
                <c:pt idx="1">
                  <c:v>1431</c:v>
                </c:pt>
                <c:pt idx="2">
                  <c:v>1423</c:v>
                </c:pt>
                <c:pt idx="3">
                  <c:v>1369</c:v>
                </c:pt>
                <c:pt idx="4">
                  <c:v>1217</c:v>
                </c:pt>
                <c:pt idx="5">
                  <c:v>1107</c:v>
                </c:pt>
                <c:pt idx="6">
                  <c:v>621</c:v>
                </c:pt>
                <c:pt idx="7">
                  <c:v>523</c:v>
                </c:pt>
                <c:pt idx="8">
                  <c:v>331</c:v>
                </c:pt>
                <c:pt idx="9">
                  <c:v>327</c:v>
                </c:pt>
                <c:pt idx="10">
                  <c:v>235</c:v>
                </c:pt>
                <c:pt idx="11">
                  <c:v>185</c:v>
                </c:pt>
                <c:pt idx="12">
                  <c:v>153</c:v>
                </c:pt>
                <c:pt idx="13">
                  <c:v>125</c:v>
                </c:pt>
                <c:pt idx="14">
                  <c:v>92</c:v>
                </c:pt>
                <c:pt idx="15">
                  <c:v>86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C-435E-B2A3-3D91A3EEE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984172496"/>
        <c:axId val="1984173328"/>
      </c:barChart>
      <c:catAx>
        <c:axId val="198417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3328"/>
        <c:crosses val="autoZero"/>
        <c:auto val="1"/>
        <c:lblAlgn val="ctr"/>
        <c:lblOffset val="100"/>
        <c:noMultiLvlLbl val="0"/>
      </c:catAx>
      <c:valAx>
        <c:axId val="19841733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9841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CGO!$C$68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CGO!$B$70:$B$75</c:f>
              <c:strCache>
                <c:ptCount val="6"/>
                <c:pt idx="0">
                  <c:v>PAPA COLOR</c:v>
                </c:pt>
                <c:pt idx="1">
                  <c:v>PAPA BLANCA</c:v>
                </c:pt>
                <c:pt idx="2">
                  <c:v>QUINUA</c:v>
                </c:pt>
                <c:pt idx="3">
                  <c:v>MAIZ AMILACEO</c:v>
                </c:pt>
                <c:pt idx="4">
                  <c:v>CEBADA GRANO</c:v>
                </c:pt>
                <c:pt idx="5">
                  <c:v>OTROS</c:v>
                </c:pt>
              </c:strCache>
            </c:strRef>
          </c:cat>
          <c:val>
            <c:numRef>
              <c:f>CGO!$C$70:$C$75</c:f>
              <c:numCache>
                <c:formatCode>#,##0</c:formatCode>
                <c:ptCount val="6"/>
                <c:pt idx="0">
                  <c:v>1722</c:v>
                </c:pt>
                <c:pt idx="1">
                  <c:v>1431</c:v>
                </c:pt>
                <c:pt idx="2">
                  <c:v>1423</c:v>
                </c:pt>
                <c:pt idx="3">
                  <c:v>1369</c:v>
                </c:pt>
                <c:pt idx="4">
                  <c:v>1217</c:v>
                </c:pt>
                <c:pt idx="5">
                  <c:v>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A-4E00-9136-0628C6AB50DE}"/>
            </c:ext>
          </c:extLst>
        </c:ser>
        <c:ser>
          <c:idx val="1"/>
          <c:order val="1"/>
          <c:tx>
            <c:strRef>
              <c:f>CGO!$P$68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CGO!$B$70:$B$75</c:f>
              <c:strCache>
                <c:ptCount val="6"/>
                <c:pt idx="0">
                  <c:v>PAPA COLOR</c:v>
                </c:pt>
                <c:pt idx="1">
                  <c:v>PAPA BLANCA</c:v>
                </c:pt>
                <c:pt idx="2">
                  <c:v>QUINUA</c:v>
                </c:pt>
                <c:pt idx="3">
                  <c:v>MAIZ AMILACEO</c:v>
                </c:pt>
                <c:pt idx="4">
                  <c:v>CEBADA GRANO</c:v>
                </c:pt>
                <c:pt idx="5">
                  <c:v>OTROS</c:v>
                </c:pt>
              </c:strCache>
            </c:strRef>
          </c:cat>
          <c:val>
            <c:numRef>
              <c:f>CGO!$P$70:$P$75</c:f>
              <c:numCache>
                <c:formatCode>#,##0</c:formatCode>
                <c:ptCount val="6"/>
                <c:pt idx="0">
                  <c:v>1737</c:v>
                </c:pt>
                <c:pt idx="1">
                  <c:v>1576</c:v>
                </c:pt>
                <c:pt idx="2">
                  <c:v>1502</c:v>
                </c:pt>
                <c:pt idx="3">
                  <c:v>1433</c:v>
                </c:pt>
                <c:pt idx="4">
                  <c:v>1200</c:v>
                </c:pt>
                <c:pt idx="5">
                  <c:v>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A-4E00-9136-0628C6AB5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378425552"/>
        <c:axId val="1378426384"/>
      </c:barChart>
      <c:catAx>
        <c:axId val="13784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6384"/>
        <c:crosses val="autoZero"/>
        <c:auto val="1"/>
        <c:lblAlgn val="ctr"/>
        <c:lblOffset val="100"/>
        <c:noMultiLvlLbl val="0"/>
      </c:catAx>
      <c:valAx>
        <c:axId val="1378426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3784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HCOS!$C$4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HCOS!$B$7:$B$18</c:f>
              <c:strCache>
                <c:ptCount val="12"/>
                <c:pt idx="0">
                  <c:v>CEBADA GRANO</c:v>
                </c:pt>
                <c:pt idx="1">
                  <c:v>MAIZ AMILACEO</c:v>
                </c:pt>
                <c:pt idx="2">
                  <c:v>PAPA BLANCA</c:v>
                </c:pt>
                <c:pt idx="3">
                  <c:v>HABA GRANO SECO</c:v>
                </c:pt>
                <c:pt idx="4">
                  <c:v>PAPA COLOR</c:v>
                </c:pt>
                <c:pt idx="5">
                  <c:v>PAPA NATIVA</c:v>
                </c:pt>
                <c:pt idx="6">
                  <c:v>OLLUCO</c:v>
                </c:pt>
                <c:pt idx="7">
                  <c:v>MASHUA O IZANO</c:v>
                </c:pt>
                <c:pt idx="8">
                  <c:v>TRIGO</c:v>
                </c:pt>
                <c:pt idx="9">
                  <c:v>ARVEJA GRANO SECO</c:v>
                </c:pt>
                <c:pt idx="10">
                  <c:v>OCA</c:v>
                </c:pt>
                <c:pt idx="11">
                  <c:v>QUINUA</c:v>
                </c:pt>
              </c:strCache>
            </c:strRef>
          </c:cat>
          <c:val>
            <c:numRef>
              <c:f>HCOS!$C$7:$C$18</c:f>
              <c:numCache>
                <c:formatCode>#,##0</c:formatCode>
                <c:ptCount val="12"/>
                <c:pt idx="0">
                  <c:v>428</c:v>
                </c:pt>
                <c:pt idx="1">
                  <c:v>339</c:v>
                </c:pt>
                <c:pt idx="2">
                  <c:v>236</c:v>
                </c:pt>
                <c:pt idx="3">
                  <c:v>219</c:v>
                </c:pt>
                <c:pt idx="4">
                  <c:v>103</c:v>
                </c:pt>
                <c:pt idx="5">
                  <c:v>91</c:v>
                </c:pt>
                <c:pt idx="6">
                  <c:v>71</c:v>
                </c:pt>
                <c:pt idx="7">
                  <c:v>67</c:v>
                </c:pt>
                <c:pt idx="8">
                  <c:v>59</c:v>
                </c:pt>
                <c:pt idx="9">
                  <c:v>53</c:v>
                </c:pt>
                <c:pt idx="10">
                  <c:v>48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C-46F4-A039-D446CB671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507902848"/>
        <c:axId val="1507899936"/>
      </c:barChart>
      <c:catAx>
        <c:axId val="15079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99936"/>
        <c:crosses val="autoZero"/>
        <c:auto val="1"/>
        <c:lblAlgn val="ctr"/>
        <c:lblOffset val="100"/>
        <c:noMultiLvlLbl val="0"/>
      </c:catAx>
      <c:valAx>
        <c:axId val="150789993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5079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HCOS!$C$69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HCOS!$B$71:$B$76</c:f>
              <c:strCache>
                <c:ptCount val="6"/>
                <c:pt idx="0">
                  <c:v>CEBADA GRANO</c:v>
                </c:pt>
                <c:pt idx="1">
                  <c:v>MAIZ AMILACEO</c:v>
                </c:pt>
                <c:pt idx="2">
                  <c:v>PAPA BLANCA</c:v>
                </c:pt>
                <c:pt idx="3">
                  <c:v>HABA GRANO SECO</c:v>
                </c:pt>
                <c:pt idx="4">
                  <c:v>PAPA COLOR</c:v>
                </c:pt>
                <c:pt idx="5">
                  <c:v>OTROS</c:v>
                </c:pt>
              </c:strCache>
            </c:strRef>
          </c:cat>
          <c:val>
            <c:numRef>
              <c:f>HCOS!$C$71:$C$76</c:f>
              <c:numCache>
                <c:formatCode>#,##0</c:formatCode>
                <c:ptCount val="6"/>
                <c:pt idx="0">
                  <c:v>428</c:v>
                </c:pt>
                <c:pt idx="1">
                  <c:v>339</c:v>
                </c:pt>
                <c:pt idx="2">
                  <c:v>236</c:v>
                </c:pt>
                <c:pt idx="3">
                  <c:v>219</c:v>
                </c:pt>
                <c:pt idx="4">
                  <c:v>103</c:v>
                </c:pt>
                <c:pt idx="5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4940-B096-E34F29E7C765}"/>
            </c:ext>
          </c:extLst>
        </c:ser>
        <c:ser>
          <c:idx val="1"/>
          <c:order val="1"/>
          <c:tx>
            <c:strRef>
              <c:f>HCOS!$P$69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HCOS!$B$71:$B$76</c:f>
              <c:strCache>
                <c:ptCount val="6"/>
                <c:pt idx="0">
                  <c:v>CEBADA GRANO</c:v>
                </c:pt>
                <c:pt idx="1">
                  <c:v>MAIZ AMILACEO</c:v>
                </c:pt>
                <c:pt idx="2">
                  <c:v>PAPA BLANCA</c:v>
                </c:pt>
                <c:pt idx="3">
                  <c:v>HABA GRANO SECO</c:v>
                </c:pt>
                <c:pt idx="4">
                  <c:v>PAPA COLOR</c:v>
                </c:pt>
                <c:pt idx="5">
                  <c:v>OTROS</c:v>
                </c:pt>
              </c:strCache>
            </c:strRef>
          </c:cat>
          <c:val>
            <c:numRef>
              <c:f>HCOS!$P$71:$P$76</c:f>
              <c:numCache>
                <c:formatCode>#,##0</c:formatCode>
                <c:ptCount val="6"/>
                <c:pt idx="0">
                  <c:v>404</c:v>
                </c:pt>
                <c:pt idx="1">
                  <c:v>267</c:v>
                </c:pt>
                <c:pt idx="2">
                  <c:v>193</c:v>
                </c:pt>
                <c:pt idx="3">
                  <c:v>196</c:v>
                </c:pt>
                <c:pt idx="4">
                  <c:v>98</c:v>
                </c:pt>
                <c:pt idx="5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A-4940-B096-E34F29E7C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HTA!$C$4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HTA!$B$7:$B$29</c:f>
              <c:strCache>
                <c:ptCount val="23"/>
                <c:pt idx="0">
                  <c:v>MAIZ AMILACEO</c:v>
                </c:pt>
                <c:pt idx="1">
                  <c:v>PAPA NATIVA</c:v>
                </c:pt>
                <c:pt idx="2">
                  <c:v>HABA GRANO SECO</c:v>
                </c:pt>
                <c:pt idx="3">
                  <c:v>CEBADA GRANO</c:v>
                </c:pt>
                <c:pt idx="4">
                  <c:v>MAIZ MORADO</c:v>
                </c:pt>
                <c:pt idx="5">
                  <c:v>PAPA BLANCA</c:v>
                </c:pt>
                <c:pt idx="6">
                  <c:v>ARVEJA GRANO SECO</c:v>
                </c:pt>
                <c:pt idx="7">
                  <c:v>TRIGO</c:v>
                </c:pt>
                <c:pt idx="8">
                  <c:v>MAIZ AMARILLO DURO</c:v>
                </c:pt>
                <c:pt idx="9">
                  <c:v>MAIZ CHOCLO</c:v>
                </c:pt>
                <c:pt idx="10">
                  <c:v>YUCA</c:v>
                </c:pt>
                <c:pt idx="11">
                  <c:v>ARVEJA GRANO VERDE</c:v>
                </c:pt>
                <c:pt idx="12">
                  <c:v>FRIJOL GRANO SECO</c:v>
                </c:pt>
                <c:pt idx="13">
                  <c:v>OLLUCO</c:v>
                </c:pt>
                <c:pt idx="14">
                  <c:v>OCA</c:v>
                </c:pt>
                <c:pt idx="15">
                  <c:v>QUINUA</c:v>
                </c:pt>
                <c:pt idx="16">
                  <c:v>PAPA COLOR</c:v>
                </c:pt>
                <c:pt idx="17">
                  <c:v>MASHUA O IZANO</c:v>
                </c:pt>
                <c:pt idx="18">
                  <c:v>HABA GRANO VERDE</c:v>
                </c:pt>
                <c:pt idx="19">
                  <c:v>TOMATE</c:v>
                </c:pt>
                <c:pt idx="20">
                  <c:v>ZANAHORIA</c:v>
                </c:pt>
                <c:pt idx="21">
                  <c:v>CEBOLLA CABEZA ROJA</c:v>
                </c:pt>
                <c:pt idx="22">
                  <c:v>AJO</c:v>
                </c:pt>
              </c:strCache>
            </c:strRef>
          </c:cat>
          <c:val>
            <c:numRef>
              <c:f>HTA!$C$7:$C$29</c:f>
              <c:numCache>
                <c:formatCode>#,##0</c:formatCode>
                <c:ptCount val="23"/>
                <c:pt idx="0">
                  <c:v>2324</c:v>
                </c:pt>
                <c:pt idx="1">
                  <c:v>881</c:v>
                </c:pt>
                <c:pt idx="2">
                  <c:v>732</c:v>
                </c:pt>
                <c:pt idx="3">
                  <c:v>626</c:v>
                </c:pt>
                <c:pt idx="4">
                  <c:v>614</c:v>
                </c:pt>
                <c:pt idx="5">
                  <c:v>498</c:v>
                </c:pt>
                <c:pt idx="6">
                  <c:v>482</c:v>
                </c:pt>
                <c:pt idx="7">
                  <c:v>399</c:v>
                </c:pt>
                <c:pt idx="8">
                  <c:v>343</c:v>
                </c:pt>
                <c:pt idx="9">
                  <c:v>331</c:v>
                </c:pt>
                <c:pt idx="10">
                  <c:v>284</c:v>
                </c:pt>
                <c:pt idx="11">
                  <c:v>283</c:v>
                </c:pt>
                <c:pt idx="12">
                  <c:v>281</c:v>
                </c:pt>
                <c:pt idx="13">
                  <c:v>273</c:v>
                </c:pt>
                <c:pt idx="14">
                  <c:v>246</c:v>
                </c:pt>
                <c:pt idx="15">
                  <c:v>176</c:v>
                </c:pt>
                <c:pt idx="16">
                  <c:v>175</c:v>
                </c:pt>
                <c:pt idx="17">
                  <c:v>150</c:v>
                </c:pt>
                <c:pt idx="18">
                  <c:v>145</c:v>
                </c:pt>
                <c:pt idx="19">
                  <c:v>48</c:v>
                </c:pt>
                <c:pt idx="20">
                  <c:v>47</c:v>
                </c:pt>
                <c:pt idx="21">
                  <c:v>20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B-42F9-8D8D-D086B4BA4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261406704"/>
        <c:axId val="261407952"/>
      </c:barChart>
      <c:catAx>
        <c:axId val="26140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07952"/>
        <c:crosses val="autoZero"/>
        <c:auto val="1"/>
        <c:lblAlgn val="ctr"/>
        <c:lblOffset val="100"/>
        <c:noMultiLvlLbl val="0"/>
      </c:catAx>
      <c:valAx>
        <c:axId val="2614079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614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HTA!$C$68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HTA!$B$70:$B$75</c:f>
              <c:strCache>
                <c:ptCount val="6"/>
                <c:pt idx="0">
                  <c:v>MAIZ AMILACEO</c:v>
                </c:pt>
                <c:pt idx="1">
                  <c:v>PAPA NATIVA</c:v>
                </c:pt>
                <c:pt idx="2">
                  <c:v>HABA GRANO SECO</c:v>
                </c:pt>
                <c:pt idx="3">
                  <c:v>CEBADA GRANO</c:v>
                </c:pt>
                <c:pt idx="4">
                  <c:v>MAIZ MORADO</c:v>
                </c:pt>
                <c:pt idx="5">
                  <c:v>OTROS</c:v>
                </c:pt>
              </c:strCache>
            </c:strRef>
          </c:cat>
          <c:val>
            <c:numRef>
              <c:f>HTA!$C$70:$C$75</c:f>
              <c:numCache>
                <c:formatCode>#,##0</c:formatCode>
                <c:ptCount val="6"/>
                <c:pt idx="0">
                  <c:v>2324</c:v>
                </c:pt>
                <c:pt idx="1">
                  <c:v>881</c:v>
                </c:pt>
                <c:pt idx="2">
                  <c:v>732</c:v>
                </c:pt>
                <c:pt idx="3">
                  <c:v>626</c:v>
                </c:pt>
                <c:pt idx="4">
                  <c:v>614</c:v>
                </c:pt>
                <c:pt idx="5">
                  <c:v>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B-454D-9198-8FC1029FADB8}"/>
            </c:ext>
          </c:extLst>
        </c:ser>
        <c:ser>
          <c:idx val="1"/>
          <c:order val="1"/>
          <c:tx>
            <c:strRef>
              <c:f>HTA!$P$68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HTA!$B$70:$B$75</c:f>
              <c:strCache>
                <c:ptCount val="6"/>
                <c:pt idx="0">
                  <c:v>MAIZ AMILACEO</c:v>
                </c:pt>
                <c:pt idx="1">
                  <c:v>PAPA NATIVA</c:v>
                </c:pt>
                <c:pt idx="2">
                  <c:v>HABA GRANO SECO</c:v>
                </c:pt>
                <c:pt idx="3">
                  <c:v>CEBADA GRANO</c:v>
                </c:pt>
                <c:pt idx="4">
                  <c:v>MAIZ MORADO</c:v>
                </c:pt>
                <c:pt idx="5">
                  <c:v>OTROS</c:v>
                </c:pt>
              </c:strCache>
            </c:strRef>
          </c:cat>
          <c:val>
            <c:numRef>
              <c:f>HTA!$P$70:$P$75</c:f>
              <c:numCache>
                <c:formatCode>#,##0</c:formatCode>
                <c:ptCount val="6"/>
                <c:pt idx="0">
                  <c:v>2434</c:v>
                </c:pt>
                <c:pt idx="1">
                  <c:v>999</c:v>
                </c:pt>
                <c:pt idx="2">
                  <c:v>636</c:v>
                </c:pt>
                <c:pt idx="3">
                  <c:v>597</c:v>
                </c:pt>
                <c:pt idx="4">
                  <c:v>553</c:v>
                </c:pt>
                <c:pt idx="5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B-454D-9198-8FC1029FAD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LMAR!$C$4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LMAR!$B$7:$B$31</c:f>
              <c:strCache>
                <c:ptCount val="25"/>
                <c:pt idx="0">
                  <c:v>MAIZ AMILACEO</c:v>
                </c:pt>
                <c:pt idx="1">
                  <c:v>PAPA NATIVA</c:v>
                </c:pt>
                <c:pt idx="2">
                  <c:v>TRIGO</c:v>
                </c:pt>
                <c:pt idx="3">
                  <c:v>PAPA BLANCA</c:v>
                </c:pt>
                <c:pt idx="4">
                  <c:v>FRIJOL GRANO SECO</c:v>
                </c:pt>
                <c:pt idx="5">
                  <c:v>HABA GRANO SECO</c:v>
                </c:pt>
                <c:pt idx="6">
                  <c:v>MAIZ AMARILLO DURO</c:v>
                </c:pt>
                <c:pt idx="7">
                  <c:v>QUINUA</c:v>
                </c:pt>
                <c:pt idx="8">
                  <c:v>YUCA</c:v>
                </c:pt>
                <c:pt idx="9">
                  <c:v>ARVEJA GRANO SECO</c:v>
                </c:pt>
                <c:pt idx="10">
                  <c:v>CEBADA GRANO</c:v>
                </c:pt>
                <c:pt idx="11">
                  <c:v>OLLUCO</c:v>
                </c:pt>
                <c:pt idx="12">
                  <c:v>OCA</c:v>
                </c:pt>
                <c:pt idx="13">
                  <c:v>ARVEJA GRANO VERDE</c:v>
                </c:pt>
                <c:pt idx="14">
                  <c:v>MAIZ CHOCLO</c:v>
                </c:pt>
                <c:pt idx="15">
                  <c:v>PAPA COLOR</c:v>
                </c:pt>
                <c:pt idx="16">
                  <c:v>MASHUA O IZANO</c:v>
                </c:pt>
                <c:pt idx="17">
                  <c:v>HABA GRANO VERDE</c:v>
                </c:pt>
                <c:pt idx="18">
                  <c:v>CEBOLLA CABEZA ROJA</c:v>
                </c:pt>
                <c:pt idx="19">
                  <c:v>ZANAHORIA</c:v>
                </c:pt>
                <c:pt idx="20">
                  <c:v>MAIZ MORADO</c:v>
                </c:pt>
                <c:pt idx="21">
                  <c:v>ZAPALLO</c:v>
                </c:pt>
                <c:pt idx="22">
                  <c:v>AJO</c:v>
                </c:pt>
                <c:pt idx="23">
                  <c:v>AJI</c:v>
                </c:pt>
                <c:pt idx="24">
                  <c:v>CAMOTE</c:v>
                </c:pt>
              </c:strCache>
            </c:strRef>
          </c:cat>
          <c:val>
            <c:numRef>
              <c:f>LMAR!$C$7:$C$31</c:f>
              <c:numCache>
                <c:formatCode>#,##0</c:formatCode>
                <c:ptCount val="25"/>
                <c:pt idx="0">
                  <c:v>2084</c:v>
                </c:pt>
                <c:pt idx="1">
                  <c:v>1567</c:v>
                </c:pt>
                <c:pt idx="2">
                  <c:v>862</c:v>
                </c:pt>
                <c:pt idx="3">
                  <c:v>846</c:v>
                </c:pt>
                <c:pt idx="4">
                  <c:v>667</c:v>
                </c:pt>
                <c:pt idx="5">
                  <c:v>625</c:v>
                </c:pt>
                <c:pt idx="6">
                  <c:v>564</c:v>
                </c:pt>
                <c:pt idx="7">
                  <c:v>531</c:v>
                </c:pt>
                <c:pt idx="8">
                  <c:v>523</c:v>
                </c:pt>
                <c:pt idx="9">
                  <c:v>453</c:v>
                </c:pt>
                <c:pt idx="10">
                  <c:v>422</c:v>
                </c:pt>
                <c:pt idx="11">
                  <c:v>388</c:v>
                </c:pt>
                <c:pt idx="12">
                  <c:v>224</c:v>
                </c:pt>
                <c:pt idx="13">
                  <c:v>221</c:v>
                </c:pt>
                <c:pt idx="14">
                  <c:v>206</c:v>
                </c:pt>
                <c:pt idx="15">
                  <c:v>177</c:v>
                </c:pt>
                <c:pt idx="16">
                  <c:v>145</c:v>
                </c:pt>
                <c:pt idx="17">
                  <c:v>134</c:v>
                </c:pt>
                <c:pt idx="18">
                  <c:v>84</c:v>
                </c:pt>
                <c:pt idx="19">
                  <c:v>65</c:v>
                </c:pt>
                <c:pt idx="20">
                  <c:v>56</c:v>
                </c:pt>
                <c:pt idx="21">
                  <c:v>24</c:v>
                </c:pt>
                <c:pt idx="22">
                  <c:v>23</c:v>
                </c:pt>
                <c:pt idx="23">
                  <c:v>8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6-435C-8FFC-29E15DFAE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261483232"/>
        <c:axId val="261481152"/>
      </c:barChart>
      <c:catAx>
        <c:axId val="2614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1152"/>
        <c:crosses val="autoZero"/>
        <c:auto val="1"/>
        <c:lblAlgn val="ctr"/>
        <c:lblOffset val="100"/>
        <c:noMultiLvlLbl val="0"/>
      </c:catAx>
      <c:valAx>
        <c:axId val="2614811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614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5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LMAR!$C$68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LMAR!$B$70:$B$75</c:f>
              <c:strCache>
                <c:ptCount val="6"/>
                <c:pt idx="0">
                  <c:v>MAIZ AMILACEO</c:v>
                </c:pt>
                <c:pt idx="1">
                  <c:v>PAPA NATIVA</c:v>
                </c:pt>
                <c:pt idx="2">
                  <c:v>TRIGO</c:v>
                </c:pt>
                <c:pt idx="3">
                  <c:v>PAPA BLANCA</c:v>
                </c:pt>
                <c:pt idx="4">
                  <c:v>FRIJOL GRANO SECO</c:v>
                </c:pt>
                <c:pt idx="5">
                  <c:v>OTROS</c:v>
                </c:pt>
              </c:strCache>
            </c:strRef>
          </c:cat>
          <c:val>
            <c:numRef>
              <c:f>LMAR!$C$70:$C$75</c:f>
              <c:numCache>
                <c:formatCode>#,##0</c:formatCode>
                <c:ptCount val="6"/>
                <c:pt idx="0">
                  <c:v>2084</c:v>
                </c:pt>
                <c:pt idx="1">
                  <c:v>1567</c:v>
                </c:pt>
                <c:pt idx="2">
                  <c:v>862</c:v>
                </c:pt>
                <c:pt idx="3">
                  <c:v>846</c:v>
                </c:pt>
                <c:pt idx="4">
                  <c:v>667</c:v>
                </c:pt>
                <c:pt idx="5">
                  <c:v>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2AD-8D5C-69A5DE32A798}"/>
            </c:ext>
          </c:extLst>
        </c:ser>
        <c:ser>
          <c:idx val="1"/>
          <c:order val="1"/>
          <c:tx>
            <c:strRef>
              <c:f>LMAR!$P$68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LMAR!$B$70:$B$75</c:f>
              <c:strCache>
                <c:ptCount val="6"/>
                <c:pt idx="0">
                  <c:v>MAIZ AMILACEO</c:v>
                </c:pt>
                <c:pt idx="1">
                  <c:v>PAPA NATIVA</c:v>
                </c:pt>
                <c:pt idx="2">
                  <c:v>TRIGO</c:v>
                </c:pt>
                <c:pt idx="3">
                  <c:v>PAPA BLANCA</c:v>
                </c:pt>
                <c:pt idx="4">
                  <c:v>FRIJOL GRANO SECO</c:v>
                </c:pt>
                <c:pt idx="5">
                  <c:v>OTROS</c:v>
                </c:pt>
              </c:strCache>
            </c:strRef>
          </c:cat>
          <c:val>
            <c:numRef>
              <c:f>LMAR!$P$70:$P$75</c:f>
              <c:numCache>
                <c:formatCode>#,##0</c:formatCode>
                <c:ptCount val="6"/>
                <c:pt idx="0">
                  <c:v>2164</c:v>
                </c:pt>
                <c:pt idx="1">
                  <c:v>1794</c:v>
                </c:pt>
                <c:pt idx="2">
                  <c:v>883</c:v>
                </c:pt>
                <c:pt idx="3">
                  <c:v>973</c:v>
                </c:pt>
                <c:pt idx="4">
                  <c:v>707</c:v>
                </c:pt>
                <c:pt idx="5">
                  <c:v>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0-42AD-8D5C-69A5DE32A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CULTIVOS!$A$51:$A$61</c:f>
              <c:strCache>
                <c:ptCount val="11"/>
                <c:pt idx="0">
                  <c:v>LUCANAS</c:v>
                </c:pt>
                <c:pt idx="1">
                  <c:v>VICTOR FAJARDO</c:v>
                </c:pt>
                <c:pt idx="2">
                  <c:v>CANGALLO</c:v>
                </c:pt>
                <c:pt idx="3">
                  <c:v>HUAMANGA</c:v>
                </c:pt>
                <c:pt idx="4">
                  <c:v>LA MAR</c:v>
                </c:pt>
                <c:pt idx="5">
                  <c:v>PARINACOCHAS</c:v>
                </c:pt>
                <c:pt idx="6">
                  <c:v>HUANTA</c:v>
                </c:pt>
                <c:pt idx="7">
                  <c:v>SUCRE</c:v>
                </c:pt>
                <c:pt idx="8">
                  <c:v>HUANCASANCOS</c:v>
                </c:pt>
                <c:pt idx="9">
                  <c:v>PAUCAR DEL SARA SARA</c:v>
                </c:pt>
                <c:pt idx="10">
                  <c:v>VILCAS HUAMAN</c:v>
                </c:pt>
              </c:strCache>
            </c:strRef>
          </c:cat>
          <c:val>
            <c:numRef>
              <c:f>CULTIVOS!$B$51:$B$61</c:f>
              <c:numCache>
                <c:formatCode>#,##0</c:formatCode>
                <c:ptCount val="11"/>
                <c:pt idx="0">
                  <c:v>211</c:v>
                </c:pt>
                <c:pt idx="1">
                  <c:v>208</c:v>
                </c:pt>
                <c:pt idx="2">
                  <c:v>92</c:v>
                </c:pt>
                <c:pt idx="3">
                  <c:v>37</c:v>
                </c:pt>
                <c:pt idx="4">
                  <c:v>23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9-4B96-BFA7-3C3B5B0858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213392"/>
        <c:axId val="2145215472"/>
      </c:barChart>
      <c:catAx>
        <c:axId val="21452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15472"/>
        <c:crosses val="autoZero"/>
        <c:auto val="1"/>
        <c:lblAlgn val="ctr"/>
        <c:lblOffset val="100"/>
        <c:noMultiLvlLbl val="0"/>
      </c:catAx>
      <c:valAx>
        <c:axId val="21452154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43555555555556E-2"/>
          <c:y val="2.9429939749729645E-2"/>
          <c:w val="0.96537211111111088"/>
          <c:h val="0.85071792929292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LUC!$C$4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LUC!$B$7:$B$29</c:f>
              <c:strCache>
                <c:ptCount val="23"/>
                <c:pt idx="0">
                  <c:v>MAIZ AMILACEO</c:v>
                </c:pt>
                <c:pt idx="1">
                  <c:v>CEBADA GRANO</c:v>
                </c:pt>
                <c:pt idx="2">
                  <c:v>PAPA BLANCA</c:v>
                </c:pt>
                <c:pt idx="3">
                  <c:v>TRIGO</c:v>
                </c:pt>
                <c:pt idx="4">
                  <c:v>PAPA COLOR</c:v>
                </c:pt>
                <c:pt idx="5">
                  <c:v>HABA GRANO SECO</c:v>
                </c:pt>
                <c:pt idx="6">
                  <c:v>HABA GRANO VERDE</c:v>
                </c:pt>
                <c:pt idx="7">
                  <c:v>OLLUCO</c:v>
                </c:pt>
                <c:pt idx="8">
                  <c:v>OCA</c:v>
                </c:pt>
                <c:pt idx="9">
                  <c:v>PAPA NATIVA</c:v>
                </c:pt>
                <c:pt idx="10">
                  <c:v>MAIZ CHOCLO</c:v>
                </c:pt>
                <c:pt idx="11">
                  <c:v>QUINUA</c:v>
                </c:pt>
                <c:pt idx="12">
                  <c:v>MASHUA O IZANO</c:v>
                </c:pt>
                <c:pt idx="13">
                  <c:v>MAIZ MORADO</c:v>
                </c:pt>
                <c:pt idx="14">
                  <c:v>AJO</c:v>
                </c:pt>
                <c:pt idx="15">
                  <c:v>ARVEJA GRANO SECO</c:v>
                </c:pt>
                <c:pt idx="16">
                  <c:v>ARVEJA GRANO VERDE</c:v>
                </c:pt>
                <c:pt idx="17">
                  <c:v>FRIJOL GRANO SECO</c:v>
                </c:pt>
                <c:pt idx="18">
                  <c:v>MAIZ AMARILLO DURO</c:v>
                </c:pt>
                <c:pt idx="19">
                  <c:v>ZAPALLO</c:v>
                </c:pt>
                <c:pt idx="20">
                  <c:v>ZANAHORIA</c:v>
                </c:pt>
                <c:pt idx="21">
                  <c:v>TOMATE</c:v>
                </c:pt>
                <c:pt idx="22">
                  <c:v>CEBOLLA CABEZA ROJA</c:v>
                </c:pt>
              </c:strCache>
            </c:strRef>
          </c:cat>
          <c:val>
            <c:numRef>
              <c:f>LUC!$C$7:$C$29</c:f>
              <c:numCache>
                <c:formatCode>#,##0</c:formatCode>
                <c:ptCount val="23"/>
                <c:pt idx="0">
                  <c:v>1925</c:v>
                </c:pt>
                <c:pt idx="1">
                  <c:v>1607</c:v>
                </c:pt>
                <c:pt idx="2">
                  <c:v>1001</c:v>
                </c:pt>
                <c:pt idx="3">
                  <c:v>981</c:v>
                </c:pt>
                <c:pt idx="4">
                  <c:v>815</c:v>
                </c:pt>
                <c:pt idx="5">
                  <c:v>743</c:v>
                </c:pt>
                <c:pt idx="6">
                  <c:v>428</c:v>
                </c:pt>
                <c:pt idx="7">
                  <c:v>370</c:v>
                </c:pt>
                <c:pt idx="8">
                  <c:v>361</c:v>
                </c:pt>
                <c:pt idx="9">
                  <c:v>352</c:v>
                </c:pt>
                <c:pt idx="10">
                  <c:v>339</c:v>
                </c:pt>
                <c:pt idx="11">
                  <c:v>263</c:v>
                </c:pt>
                <c:pt idx="12">
                  <c:v>240</c:v>
                </c:pt>
                <c:pt idx="13">
                  <c:v>218</c:v>
                </c:pt>
                <c:pt idx="14">
                  <c:v>211</c:v>
                </c:pt>
                <c:pt idx="15">
                  <c:v>153</c:v>
                </c:pt>
                <c:pt idx="16">
                  <c:v>148</c:v>
                </c:pt>
                <c:pt idx="17">
                  <c:v>82</c:v>
                </c:pt>
                <c:pt idx="18">
                  <c:v>80</c:v>
                </c:pt>
                <c:pt idx="19">
                  <c:v>48</c:v>
                </c:pt>
                <c:pt idx="20">
                  <c:v>43</c:v>
                </c:pt>
                <c:pt idx="21">
                  <c:v>12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2-4487-983E-3D6E652CE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261484480"/>
        <c:axId val="1987858352"/>
      </c:barChart>
      <c:catAx>
        <c:axId val="2614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58352"/>
        <c:crosses val="autoZero"/>
        <c:auto val="1"/>
        <c:lblAlgn val="ctr"/>
        <c:lblOffset val="100"/>
        <c:noMultiLvlLbl val="0"/>
      </c:catAx>
      <c:valAx>
        <c:axId val="19878583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6148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5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LUC!$C$68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LUC!$B$70:$B$75</c:f>
              <c:strCache>
                <c:ptCount val="6"/>
                <c:pt idx="0">
                  <c:v>MAIZ AMILACEO</c:v>
                </c:pt>
                <c:pt idx="1">
                  <c:v>CEBADA GRANO</c:v>
                </c:pt>
                <c:pt idx="2">
                  <c:v>PAPA BLANCA</c:v>
                </c:pt>
                <c:pt idx="3">
                  <c:v>TRIGO</c:v>
                </c:pt>
                <c:pt idx="4">
                  <c:v>PAPA COLOR</c:v>
                </c:pt>
                <c:pt idx="5">
                  <c:v>OTROS</c:v>
                </c:pt>
              </c:strCache>
            </c:strRef>
          </c:cat>
          <c:val>
            <c:numRef>
              <c:f>LUC!$C$70:$C$75</c:f>
              <c:numCache>
                <c:formatCode>#,##0</c:formatCode>
                <c:ptCount val="6"/>
                <c:pt idx="0">
                  <c:v>1925</c:v>
                </c:pt>
                <c:pt idx="1">
                  <c:v>1607</c:v>
                </c:pt>
                <c:pt idx="2">
                  <c:v>1001</c:v>
                </c:pt>
                <c:pt idx="3">
                  <c:v>981</c:v>
                </c:pt>
                <c:pt idx="4">
                  <c:v>815</c:v>
                </c:pt>
                <c:pt idx="5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6-4154-8E1A-D13B57781410}"/>
            </c:ext>
          </c:extLst>
        </c:ser>
        <c:ser>
          <c:idx val="1"/>
          <c:order val="1"/>
          <c:tx>
            <c:strRef>
              <c:f>LUC!$P$68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LUC!$B$70:$B$75</c:f>
              <c:strCache>
                <c:ptCount val="6"/>
                <c:pt idx="0">
                  <c:v>MAIZ AMILACEO</c:v>
                </c:pt>
                <c:pt idx="1">
                  <c:v>CEBADA GRANO</c:v>
                </c:pt>
                <c:pt idx="2">
                  <c:v>PAPA BLANCA</c:v>
                </c:pt>
                <c:pt idx="3">
                  <c:v>TRIGO</c:v>
                </c:pt>
                <c:pt idx="4">
                  <c:v>PAPA COLOR</c:v>
                </c:pt>
                <c:pt idx="5">
                  <c:v>OTROS</c:v>
                </c:pt>
              </c:strCache>
            </c:strRef>
          </c:cat>
          <c:val>
            <c:numRef>
              <c:f>LUC!$P$70:$P$75</c:f>
              <c:numCache>
                <c:formatCode>#,##0</c:formatCode>
                <c:ptCount val="6"/>
                <c:pt idx="0">
                  <c:v>2031</c:v>
                </c:pt>
                <c:pt idx="1">
                  <c:v>784</c:v>
                </c:pt>
                <c:pt idx="2">
                  <c:v>691</c:v>
                </c:pt>
                <c:pt idx="3">
                  <c:v>619</c:v>
                </c:pt>
                <c:pt idx="4">
                  <c:v>695</c:v>
                </c:pt>
                <c:pt idx="5">
                  <c:v>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6-4154-8E1A-D13B57781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PAR!$B$7:$B$23</c:f>
              <c:strCache>
                <c:ptCount val="17"/>
                <c:pt idx="0">
                  <c:v>CEBADA GRANO</c:v>
                </c:pt>
                <c:pt idx="1">
                  <c:v>MAIZ AMILACEO</c:v>
                </c:pt>
                <c:pt idx="2">
                  <c:v>PAPA BLANCA</c:v>
                </c:pt>
                <c:pt idx="3">
                  <c:v>HABA GRANO SECO</c:v>
                </c:pt>
                <c:pt idx="4">
                  <c:v>PAPA COLOR</c:v>
                </c:pt>
                <c:pt idx="5">
                  <c:v>TRIGO</c:v>
                </c:pt>
                <c:pt idx="6">
                  <c:v>PAPA NATIVA</c:v>
                </c:pt>
                <c:pt idx="7">
                  <c:v>OLLUCO</c:v>
                </c:pt>
                <c:pt idx="8">
                  <c:v>QUINUA</c:v>
                </c:pt>
                <c:pt idx="9">
                  <c:v>MAIZ MORADO</c:v>
                </c:pt>
                <c:pt idx="10">
                  <c:v>OCA</c:v>
                </c:pt>
                <c:pt idx="11">
                  <c:v>MASHUA O IZANO</c:v>
                </c:pt>
                <c:pt idx="12">
                  <c:v>MAIZ AMARILLO DURO</c:v>
                </c:pt>
                <c:pt idx="13">
                  <c:v>HABA GRANO VERDE</c:v>
                </c:pt>
                <c:pt idx="14">
                  <c:v>FRIJOL GRANO SECO</c:v>
                </c:pt>
                <c:pt idx="15">
                  <c:v>ZANAHORIA</c:v>
                </c:pt>
                <c:pt idx="16">
                  <c:v>AJO</c:v>
                </c:pt>
              </c:strCache>
            </c:strRef>
          </c:cat>
          <c:val>
            <c:numRef>
              <c:f>PAR!$C$7:$C$23</c:f>
              <c:numCache>
                <c:formatCode>#,##0</c:formatCode>
                <c:ptCount val="17"/>
                <c:pt idx="0">
                  <c:v>753</c:v>
                </c:pt>
                <c:pt idx="1">
                  <c:v>582</c:v>
                </c:pt>
                <c:pt idx="2">
                  <c:v>289</c:v>
                </c:pt>
                <c:pt idx="3">
                  <c:v>281</c:v>
                </c:pt>
                <c:pt idx="4">
                  <c:v>218</c:v>
                </c:pt>
                <c:pt idx="5">
                  <c:v>206</c:v>
                </c:pt>
                <c:pt idx="6">
                  <c:v>181</c:v>
                </c:pt>
                <c:pt idx="7">
                  <c:v>123</c:v>
                </c:pt>
                <c:pt idx="8">
                  <c:v>106</c:v>
                </c:pt>
                <c:pt idx="9">
                  <c:v>103</c:v>
                </c:pt>
                <c:pt idx="10">
                  <c:v>98</c:v>
                </c:pt>
                <c:pt idx="11">
                  <c:v>71</c:v>
                </c:pt>
                <c:pt idx="12">
                  <c:v>58</c:v>
                </c:pt>
                <c:pt idx="13">
                  <c:v>40</c:v>
                </c:pt>
                <c:pt idx="14">
                  <c:v>14</c:v>
                </c:pt>
                <c:pt idx="15">
                  <c:v>11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3-4278-B16D-73FE733EA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506907424"/>
        <c:axId val="1506906592"/>
      </c:barChart>
      <c:catAx>
        <c:axId val="15069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06592"/>
        <c:crosses val="autoZero"/>
        <c:auto val="1"/>
        <c:lblAlgn val="ctr"/>
        <c:lblOffset val="100"/>
        <c:noMultiLvlLbl val="0"/>
      </c:catAx>
      <c:valAx>
        <c:axId val="15069065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5069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PAR!$C$67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PAR!$B$69:$B$74</c:f>
              <c:strCache>
                <c:ptCount val="6"/>
                <c:pt idx="0">
                  <c:v>CEBADA GRANO</c:v>
                </c:pt>
                <c:pt idx="1">
                  <c:v>MAIZ AMILACEO</c:v>
                </c:pt>
                <c:pt idx="2">
                  <c:v>PAPA BLANCA</c:v>
                </c:pt>
                <c:pt idx="3">
                  <c:v>HABA GRANO SECO</c:v>
                </c:pt>
                <c:pt idx="4">
                  <c:v>PAPA COLOR</c:v>
                </c:pt>
                <c:pt idx="5">
                  <c:v>OTROS</c:v>
                </c:pt>
              </c:strCache>
            </c:strRef>
          </c:cat>
          <c:val>
            <c:numRef>
              <c:f>PAR!$C$69:$C$74</c:f>
              <c:numCache>
                <c:formatCode>#,##0</c:formatCode>
                <c:ptCount val="6"/>
                <c:pt idx="0">
                  <c:v>753</c:v>
                </c:pt>
                <c:pt idx="1">
                  <c:v>582</c:v>
                </c:pt>
                <c:pt idx="2">
                  <c:v>289</c:v>
                </c:pt>
                <c:pt idx="3">
                  <c:v>281</c:v>
                </c:pt>
                <c:pt idx="4">
                  <c:v>218</c:v>
                </c:pt>
                <c:pt idx="5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EBD-8BD6-38151260B0EB}"/>
            </c:ext>
          </c:extLst>
        </c:ser>
        <c:ser>
          <c:idx val="1"/>
          <c:order val="1"/>
          <c:tx>
            <c:strRef>
              <c:f>PAR!$P$67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PAR!$B$69:$B$74</c:f>
              <c:strCache>
                <c:ptCount val="6"/>
                <c:pt idx="0">
                  <c:v>CEBADA GRANO</c:v>
                </c:pt>
                <c:pt idx="1">
                  <c:v>MAIZ AMILACEO</c:v>
                </c:pt>
                <c:pt idx="2">
                  <c:v>PAPA BLANCA</c:v>
                </c:pt>
                <c:pt idx="3">
                  <c:v>HABA GRANO SECO</c:v>
                </c:pt>
                <c:pt idx="4">
                  <c:v>PAPA COLOR</c:v>
                </c:pt>
                <c:pt idx="5">
                  <c:v>OTROS</c:v>
                </c:pt>
              </c:strCache>
            </c:strRef>
          </c:cat>
          <c:val>
            <c:numRef>
              <c:f>PAR!$P$69:$P$74</c:f>
              <c:numCache>
                <c:formatCode>#,##0</c:formatCode>
                <c:ptCount val="6"/>
                <c:pt idx="0">
                  <c:v>722</c:v>
                </c:pt>
                <c:pt idx="1">
                  <c:v>598</c:v>
                </c:pt>
                <c:pt idx="2">
                  <c:v>328</c:v>
                </c:pt>
                <c:pt idx="3">
                  <c:v>324</c:v>
                </c:pt>
                <c:pt idx="4">
                  <c:v>237</c:v>
                </c:pt>
                <c:pt idx="5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F-4EBD-8BD6-38151260B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PSSR!$C$4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PSSR!$B$7:$B$25</c:f>
              <c:strCache>
                <c:ptCount val="19"/>
                <c:pt idx="0">
                  <c:v>MAIZ AMILACEO</c:v>
                </c:pt>
                <c:pt idx="1">
                  <c:v>CEBADA GRANO</c:v>
                </c:pt>
                <c:pt idx="2">
                  <c:v>TRIGO</c:v>
                </c:pt>
                <c:pt idx="3">
                  <c:v>PAPA COLOR</c:v>
                </c:pt>
                <c:pt idx="4">
                  <c:v>HABA GRANO SECO</c:v>
                </c:pt>
                <c:pt idx="5">
                  <c:v>QUINUA</c:v>
                </c:pt>
                <c:pt idx="6">
                  <c:v>HABA GRANO VERDE</c:v>
                </c:pt>
                <c:pt idx="7">
                  <c:v>PAPA BLANCA</c:v>
                </c:pt>
                <c:pt idx="8">
                  <c:v>MAIZ CHOCLO</c:v>
                </c:pt>
                <c:pt idx="9">
                  <c:v>ARVEJA GRANO SECO</c:v>
                </c:pt>
                <c:pt idx="10">
                  <c:v>PAPA NATIVA</c:v>
                </c:pt>
                <c:pt idx="11">
                  <c:v>ARVEJA GRANO VERDE</c:v>
                </c:pt>
                <c:pt idx="12">
                  <c:v>FRIJOL GRANO SECO</c:v>
                </c:pt>
                <c:pt idx="13">
                  <c:v>OLLUCO</c:v>
                </c:pt>
                <c:pt idx="14">
                  <c:v>OCA</c:v>
                </c:pt>
                <c:pt idx="15">
                  <c:v>MASHUA O IZANO</c:v>
                </c:pt>
                <c:pt idx="16">
                  <c:v>CEBOLLA CABEZA ROJA</c:v>
                </c:pt>
                <c:pt idx="17">
                  <c:v>ZANAHORIA</c:v>
                </c:pt>
                <c:pt idx="18">
                  <c:v>MAIZ MORADO</c:v>
                </c:pt>
              </c:strCache>
            </c:strRef>
          </c:cat>
          <c:val>
            <c:numRef>
              <c:f>PSSR!$C$7:$C$25</c:f>
              <c:numCache>
                <c:formatCode>#,##0</c:formatCode>
                <c:ptCount val="19"/>
                <c:pt idx="0">
                  <c:v>332</c:v>
                </c:pt>
                <c:pt idx="1">
                  <c:v>274</c:v>
                </c:pt>
                <c:pt idx="2">
                  <c:v>247</c:v>
                </c:pt>
                <c:pt idx="3">
                  <c:v>170</c:v>
                </c:pt>
                <c:pt idx="4">
                  <c:v>165</c:v>
                </c:pt>
                <c:pt idx="5">
                  <c:v>124</c:v>
                </c:pt>
                <c:pt idx="6">
                  <c:v>118</c:v>
                </c:pt>
                <c:pt idx="7">
                  <c:v>99</c:v>
                </c:pt>
                <c:pt idx="8">
                  <c:v>94</c:v>
                </c:pt>
                <c:pt idx="9">
                  <c:v>45</c:v>
                </c:pt>
                <c:pt idx="10">
                  <c:v>44</c:v>
                </c:pt>
                <c:pt idx="11">
                  <c:v>41</c:v>
                </c:pt>
                <c:pt idx="12">
                  <c:v>36</c:v>
                </c:pt>
                <c:pt idx="13">
                  <c:v>23</c:v>
                </c:pt>
                <c:pt idx="14">
                  <c:v>23</c:v>
                </c:pt>
                <c:pt idx="15">
                  <c:v>13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8-4D11-915F-A450E0F74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859029952"/>
        <c:axId val="859031200"/>
      </c:barChart>
      <c:catAx>
        <c:axId val="8590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1200"/>
        <c:crosses val="autoZero"/>
        <c:auto val="1"/>
        <c:lblAlgn val="ctr"/>
        <c:lblOffset val="100"/>
        <c:noMultiLvlLbl val="0"/>
      </c:catAx>
      <c:valAx>
        <c:axId val="8590312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8590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PSSR!$C$68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PSSR!$B$70:$B$75</c:f>
              <c:strCache>
                <c:ptCount val="6"/>
                <c:pt idx="0">
                  <c:v>MAIZ AMILACEO</c:v>
                </c:pt>
                <c:pt idx="1">
                  <c:v>CEBADA GRANO</c:v>
                </c:pt>
                <c:pt idx="2">
                  <c:v>TRIGO</c:v>
                </c:pt>
                <c:pt idx="3">
                  <c:v>PAPA COLOR</c:v>
                </c:pt>
                <c:pt idx="4">
                  <c:v>HABA GRANO SECO</c:v>
                </c:pt>
                <c:pt idx="5">
                  <c:v>OTROS</c:v>
                </c:pt>
              </c:strCache>
            </c:strRef>
          </c:cat>
          <c:val>
            <c:numRef>
              <c:f>PSSR!$C$70:$C$75</c:f>
              <c:numCache>
                <c:formatCode>#,##0</c:formatCode>
                <c:ptCount val="6"/>
                <c:pt idx="0">
                  <c:v>332</c:v>
                </c:pt>
                <c:pt idx="1">
                  <c:v>274</c:v>
                </c:pt>
                <c:pt idx="2">
                  <c:v>247</c:v>
                </c:pt>
                <c:pt idx="3">
                  <c:v>170</c:v>
                </c:pt>
                <c:pt idx="4">
                  <c:v>165</c:v>
                </c:pt>
                <c:pt idx="5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B-40B6-8866-1EF1E8D8B2DF}"/>
            </c:ext>
          </c:extLst>
        </c:ser>
        <c:ser>
          <c:idx val="1"/>
          <c:order val="1"/>
          <c:tx>
            <c:strRef>
              <c:f>PSSR!$P$68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PSSR!$B$70:$B$75</c:f>
              <c:strCache>
                <c:ptCount val="6"/>
                <c:pt idx="0">
                  <c:v>MAIZ AMILACEO</c:v>
                </c:pt>
                <c:pt idx="1">
                  <c:v>CEBADA GRANO</c:v>
                </c:pt>
                <c:pt idx="2">
                  <c:v>TRIGO</c:v>
                </c:pt>
                <c:pt idx="3">
                  <c:v>PAPA COLOR</c:v>
                </c:pt>
                <c:pt idx="4">
                  <c:v>HABA GRANO SECO</c:v>
                </c:pt>
                <c:pt idx="5">
                  <c:v>OTROS</c:v>
                </c:pt>
              </c:strCache>
            </c:strRef>
          </c:cat>
          <c:val>
            <c:numRef>
              <c:f>PSSR!$P$70:$P$75</c:f>
              <c:numCache>
                <c:formatCode>#,##0</c:formatCode>
                <c:ptCount val="6"/>
                <c:pt idx="0">
                  <c:v>310</c:v>
                </c:pt>
                <c:pt idx="1">
                  <c:v>234</c:v>
                </c:pt>
                <c:pt idx="2">
                  <c:v>204</c:v>
                </c:pt>
                <c:pt idx="3">
                  <c:v>142</c:v>
                </c:pt>
                <c:pt idx="4">
                  <c:v>131</c:v>
                </c:pt>
                <c:pt idx="5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B-40B6-8866-1EF1E8D8B2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SCR!$B$7:$B$22</c:f>
              <c:strCache>
                <c:ptCount val="16"/>
                <c:pt idx="0">
                  <c:v>MAIZ AMILACEO</c:v>
                </c:pt>
                <c:pt idx="1">
                  <c:v>PAPA BLANCA</c:v>
                </c:pt>
                <c:pt idx="2">
                  <c:v>CEBADA GRANO</c:v>
                </c:pt>
                <c:pt idx="3">
                  <c:v>HABA GRANO SECO</c:v>
                </c:pt>
                <c:pt idx="4">
                  <c:v>TRIGO</c:v>
                </c:pt>
                <c:pt idx="5">
                  <c:v>QUINUA</c:v>
                </c:pt>
                <c:pt idx="6">
                  <c:v>OLLUCO</c:v>
                </c:pt>
                <c:pt idx="7">
                  <c:v>PAPA NATIVA</c:v>
                </c:pt>
                <c:pt idx="8">
                  <c:v>OCA</c:v>
                </c:pt>
                <c:pt idx="9">
                  <c:v>MASHUA O IZANO</c:v>
                </c:pt>
                <c:pt idx="10">
                  <c:v>ARVEJA GRANO SECO</c:v>
                </c:pt>
                <c:pt idx="11">
                  <c:v>PAPA COLOR</c:v>
                </c:pt>
                <c:pt idx="12">
                  <c:v>FRIJOL GRANO SECO</c:v>
                </c:pt>
                <c:pt idx="13">
                  <c:v>MAIZ MORADO</c:v>
                </c:pt>
                <c:pt idx="14">
                  <c:v>HABA GRANO VERDE</c:v>
                </c:pt>
                <c:pt idx="15">
                  <c:v>AJO</c:v>
                </c:pt>
              </c:strCache>
            </c:strRef>
          </c:cat>
          <c:val>
            <c:numRef>
              <c:f>SCR!$C$7:$C$22</c:f>
              <c:numCache>
                <c:formatCode>#,##0</c:formatCode>
                <c:ptCount val="16"/>
                <c:pt idx="0">
                  <c:v>1266</c:v>
                </c:pt>
                <c:pt idx="1">
                  <c:v>413</c:v>
                </c:pt>
                <c:pt idx="2">
                  <c:v>270</c:v>
                </c:pt>
                <c:pt idx="3">
                  <c:v>249</c:v>
                </c:pt>
                <c:pt idx="4">
                  <c:v>209</c:v>
                </c:pt>
                <c:pt idx="5">
                  <c:v>114</c:v>
                </c:pt>
                <c:pt idx="6">
                  <c:v>84</c:v>
                </c:pt>
                <c:pt idx="7">
                  <c:v>66</c:v>
                </c:pt>
                <c:pt idx="8">
                  <c:v>58</c:v>
                </c:pt>
                <c:pt idx="9">
                  <c:v>50</c:v>
                </c:pt>
                <c:pt idx="10">
                  <c:v>45</c:v>
                </c:pt>
                <c:pt idx="11">
                  <c:v>45</c:v>
                </c:pt>
                <c:pt idx="12">
                  <c:v>28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C-44A5-B329-EF0FF0397E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859032032"/>
        <c:axId val="859032864"/>
      </c:barChart>
      <c:catAx>
        <c:axId val="8590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2864"/>
        <c:crosses val="autoZero"/>
        <c:auto val="1"/>
        <c:lblAlgn val="ctr"/>
        <c:lblOffset val="100"/>
        <c:noMultiLvlLbl val="0"/>
      </c:catAx>
      <c:valAx>
        <c:axId val="85903286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8590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SCR!$C$69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SCR!$B$71:$B$76</c:f>
              <c:strCache>
                <c:ptCount val="6"/>
                <c:pt idx="0">
                  <c:v>MAIZ AMILACEO</c:v>
                </c:pt>
                <c:pt idx="1">
                  <c:v>PAPA BLANCA</c:v>
                </c:pt>
                <c:pt idx="2">
                  <c:v>CEBADA GRANO</c:v>
                </c:pt>
                <c:pt idx="3">
                  <c:v>HABA GRANO SECO</c:v>
                </c:pt>
                <c:pt idx="4">
                  <c:v>TRIGO</c:v>
                </c:pt>
                <c:pt idx="5">
                  <c:v>OTROS</c:v>
                </c:pt>
              </c:strCache>
            </c:strRef>
          </c:cat>
          <c:val>
            <c:numRef>
              <c:f>SCR!$C$71:$C$76</c:f>
              <c:numCache>
                <c:formatCode>#,##0</c:formatCode>
                <c:ptCount val="6"/>
                <c:pt idx="0">
                  <c:v>1266</c:v>
                </c:pt>
                <c:pt idx="1">
                  <c:v>413</c:v>
                </c:pt>
                <c:pt idx="2">
                  <c:v>270</c:v>
                </c:pt>
                <c:pt idx="3">
                  <c:v>249</c:v>
                </c:pt>
                <c:pt idx="4">
                  <c:v>209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469-AB26-46E3EAF0E373}"/>
            </c:ext>
          </c:extLst>
        </c:ser>
        <c:ser>
          <c:idx val="1"/>
          <c:order val="1"/>
          <c:tx>
            <c:strRef>
              <c:f>SCR!$P$69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SCR!$B$71:$B$76</c:f>
              <c:strCache>
                <c:ptCount val="6"/>
                <c:pt idx="0">
                  <c:v>MAIZ AMILACEO</c:v>
                </c:pt>
                <c:pt idx="1">
                  <c:v>PAPA BLANCA</c:v>
                </c:pt>
                <c:pt idx="2">
                  <c:v>CEBADA GRANO</c:v>
                </c:pt>
                <c:pt idx="3">
                  <c:v>HABA GRANO SECO</c:v>
                </c:pt>
                <c:pt idx="4">
                  <c:v>TRIGO</c:v>
                </c:pt>
                <c:pt idx="5">
                  <c:v>OTROS</c:v>
                </c:pt>
              </c:strCache>
            </c:strRef>
          </c:cat>
          <c:val>
            <c:numRef>
              <c:f>SCR!$P$71:$P$76</c:f>
              <c:numCache>
                <c:formatCode>#,##0</c:formatCode>
                <c:ptCount val="6"/>
                <c:pt idx="0">
                  <c:v>1204</c:v>
                </c:pt>
                <c:pt idx="1">
                  <c:v>375</c:v>
                </c:pt>
                <c:pt idx="2">
                  <c:v>257</c:v>
                </c:pt>
                <c:pt idx="3">
                  <c:v>226</c:v>
                </c:pt>
                <c:pt idx="4">
                  <c:v>181</c:v>
                </c:pt>
                <c:pt idx="5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4-4469-AB26-46E3EAF0E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VFJ!$C$4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VFJ!$B$7:$B$28</c:f>
              <c:strCache>
                <c:ptCount val="22"/>
                <c:pt idx="0">
                  <c:v>MAIZ AMILACEO</c:v>
                </c:pt>
                <c:pt idx="1">
                  <c:v>CEBADA GRANO</c:v>
                </c:pt>
                <c:pt idx="2">
                  <c:v>TRIGO</c:v>
                </c:pt>
                <c:pt idx="3">
                  <c:v>HABA GRANO SECO</c:v>
                </c:pt>
                <c:pt idx="4">
                  <c:v>PAPA BLANCA</c:v>
                </c:pt>
                <c:pt idx="5">
                  <c:v>ARVEJA GRANO SECO</c:v>
                </c:pt>
                <c:pt idx="6">
                  <c:v>PAPA NATIVA</c:v>
                </c:pt>
                <c:pt idx="7">
                  <c:v>PAPA COLOR</c:v>
                </c:pt>
                <c:pt idx="8">
                  <c:v>OLLUCO</c:v>
                </c:pt>
                <c:pt idx="9">
                  <c:v>MAIZ CHOCLO</c:v>
                </c:pt>
                <c:pt idx="10">
                  <c:v>AJO</c:v>
                </c:pt>
                <c:pt idx="11">
                  <c:v>MASHUA O IZANO</c:v>
                </c:pt>
                <c:pt idx="12">
                  <c:v>QUINUA</c:v>
                </c:pt>
                <c:pt idx="13">
                  <c:v>OCA</c:v>
                </c:pt>
                <c:pt idx="14">
                  <c:v>HABA GRANO VERDE</c:v>
                </c:pt>
                <c:pt idx="15">
                  <c:v>FRIJOL GRANO SECO</c:v>
                </c:pt>
                <c:pt idx="16">
                  <c:v>ARVEJA GRANO VERDE</c:v>
                </c:pt>
                <c:pt idx="17">
                  <c:v>CEBOLLA CABEZA AMARILLA</c:v>
                </c:pt>
                <c:pt idx="18">
                  <c:v>MAIZ MORADO</c:v>
                </c:pt>
                <c:pt idx="19">
                  <c:v>ZAPALLO</c:v>
                </c:pt>
                <c:pt idx="20">
                  <c:v>CEBOLLA CABEZA ROJA</c:v>
                </c:pt>
                <c:pt idx="21">
                  <c:v>ZANAHORIA</c:v>
                </c:pt>
              </c:strCache>
            </c:strRef>
          </c:cat>
          <c:val>
            <c:numRef>
              <c:f>VFJ!$C$7:$C$28</c:f>
              <c:numCache>
                <c:formatCode>#,##0</c:formatCode>
                <c:ptCount val="22"/>
                <c:pt idx="0">
                  <c:v>2690</c:v>
                </c:pt>
                <c:pt idx="1">
                  <c:v>1274</c:v>
                </c:pt>
                <c:pt idx="2">
                  <c:v>1082</c:v>
                </c:pt>
                <c:pt idx="3">
                  <c:v>911</c:v>
                </c:pt>
                <c:pt idx="4">
                  <c:v>585</c:v>
                </c:pt>
                <c:pt idx="5">
                  <c:v>442</c:v>
                </c:pt>
                <c:pt idx="6">
                  <c:v>439</c:v>
                </c:pt>
                <c:pt idx="7">
                  <c:v>403</c:v>
                </c:pt>
                <c:pt idx="8">
                  <c:v>242</c:v>
                </c:pt>
                <c:pt idx="9">
                  <c:v>209</c:v>
                </c:pt>
                <c:pt idx="10">
                  <c:v>208</c:v>
                </c:pt>
                <c:pt idx="11">
                  <c:v>186</c:v>
                </c:pt>
                <c:pt idx="12">
                  <c:v>174</c:v>
                </c:pt>
                <c:pt idx="13">
                  <c:v>165</c:v>
                </c:pt>
                <c:pt idx="14">
                  <c:v>152</c:v>
                </c:pt>
                <c:pt idx="15">
                  <c:v>131</c:v>
                </c:pt>
                <c:pt idx="16">
                  <c:v>129</c:v>
                </c:pt>
                <c:pt idx="17">
                  <c:v>39</c:v>
                </c:pt>
                <c:pt idx="18">
                  <c:v>32</c:v>
                </c:pt>
                <c:pt idx="19">
                  <c:v>31</c:v>
                </c:pt>
                <c:pt idx="20">
                  <c:v>16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B96-A607-2B795CA8CA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2132094320"/>
        <c:axId val="2132097648"/>
      </c:barChart>
      <c:catAx>
        <c:axId val="21320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7648"/>
        <c:crosses val="autoZero"/>
        <c:auto val="1"/>
        <c:lblAlgn val="ctr"/>
        <c:lblOffset val="100"/>
        <c:noMultiLvlLbl val="0"/>
      </c:catAx>
      <c:valAx>
        <c:axId val="21320976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320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VFJ!$C$69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VFJ!$B$71:$B$76</c:f>
              <c:strCache>
                <c:ptCount val="6"/>
                <c:pt idx="0">
                  <c:v>MAIZ AMILACEO</c:v>
                </c:pt>
                <c:pt idx="1">
                  <c:v>CEBADA GRANO</c:v>
                </c:pt>
                <c:pt idx="2">
                  <c:v>TRIGO</c:v>
                </c:pt>
                <c:pt idx="3">
                  <c:v>HABA GRANO SECO</c:v>
                </c:pt>
                <c:pt idx="4">
                  <c:v>PAPA BLANCA</c:v>
                </c:pt>
                <c:pt idx="5">
                  <c:v>OTROS</c:v>
                </c:pt>
              </c:strCache>
            </c:strRef>
          </c:cat>
          <c:val>
            <c:numRef>
              <c:f>VFJ!$C$71:$C$76</c:f>
              <c:numCache>
                <c:formatCode>#,##0</c:formatCode>
                <c:ptCount val="6"/>
                <c:pt idx="0">
                  <c:v>2690</c:v>
                </c:pt>
                <c:pt idx="1">
                  <c:v>1274</c:v>
                </c:pt>
                <c:pt idx="2">
                  <c:v>1082</c:v>
                </c:pt>
                <c:pt idx="3">
                  <c:v>911</c:v>
                </c:pt>
                <c:pt idx="4">
                  <c:v>585</c:v>
                </c:pt>
                <c:pt idx="5">
                  <c:v>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981-A93F-7F9E59781DE3}"/>
            </c:ext>
          </c:extLst>
        </c:ser>
        <c:ser>
          <c:idx val="1"/>
          <c:order val="1"/>
          <c:tx>
            <c:strRef>
              <c:f>VFJ!$P$69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VFJ!$B$71:$B$76</c:f>
              <c:strCache>
                <c:ptCount val="6"/>
                <c:pt idx="0">
                  <c:v>MAIZ AMILACEO</c:v>
                </c:pt>
                <c:pt idx="1">
                  <c:v>CEBADA GRANO</c:v>
                </c:pt>
                <c:pt idx="2">
                  <c:v>TRIGO</c:v>
                </c:pt>
                <c:pt idx="3">
                  <c:v>HABA GRANO SECO</c:v>
                </c:pt>
                <c:pt idx="4">
                  <c:v>PAPA BLANCA</c:v>
                </c:pt>
                <c:pt idx="5">
                  <c:v>OTROS</c:v>
                </c:pt>
              </c:strCache>
            </c:strRef>
          </c:cat>
          <c:val>
            <c:numRef>
              <c:f>VFJ!$P$71:$P$76</c:f>
              <c:numCache>
                <c:formatCode>#,##0</c:formatCode>
                <c:ptCount val="6"/>
                <c:pt idx="0">
                  <c:v>2975</c:v>
                </c:pt>
                <c:pt idx="1">
                  <c:v>1109</c:v>
                </c:pt>
                <c:pt idx="2">
                  <c:v>924</c:v>
                </c:pt>
                <c:pt idx="3">
                  <c:v>791</c:v>
                </c:pt>
                <c:pt idx="4">
                  <c:v>483</c:v>
                </c:pt>
                <c:pt idx="5">
                  <c:v>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3-4981-A93F-7F9E59781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CULTIVOS!$A$93:$A$103</c:f>
              <c:strCache>
                <c:ptCount val="11"/>
                <c:pt idx="0">
                  <c:v>HUAMANGA</c:v>
                </c:pt>
                <c:pt idx="1">
                  <c:v>HUANTA</c:v>
                </c:pt>
                <c:pt idx="2">
                  <c:v>LA MAR</c:v>
                </c:pt>
                <c:pt idx="3">
                  <c:v>VICTOR FAJARDO</c:v>
                </c:pt>
                <c:pt idx="4">
                  <c:v>CANGALLO</c:v>
                </c:pt>
                <c:pt idx="5">
                  <c:v>VILCAS HUAMAN</c:v>
                </c:pt>
                <c:pt idx="6">
                  <c:v>LUCANAS</c:v>
                </c:pt>
                <c:pt idx="7">
                  <c:v>HUANCA SANCOS</c:v>
                </c:pt>
                <c:pt idx="8">
                  <c:v>PAUCAR DEL SARA SARA</c:v>
                </c:pt>
                <c:pt idx="9">
                  <c:v>SUCRE</c:v>
                </c:pt>
                <c:pt idx="10">
                  <c:v>PARINACOCHAS</c:v>
                </c:pt>
              </c:strCache>
            </c:strRef>
          </c:cat>
          <c:val>
            <c:numRef>
              <c:f>CULTIVOS!$B$93:$B$103</c:f>
              <c:numCache>
                <c:formatCode>#,##0</c:formatCode>
                <c:ptCount val="11"/>
                <c:pt idx="0">
                  <c:v>2573</c:v>
                </c:pt>
                <c:pt idx="1">
                  <c:v>482</c:v>
                </c:pt>
                <c:pt idx="2">
                  <c:v>453</c:v>
                </c:pt>
                <c:pt idx="3">
                  <c:v>442</c:v>
                </c:pt>
                <c:pt idx="4">
                  <c:v>327</c:v>
                </c:pt>
                <c:pt idx="5">
                  <c:v>170</c:v>
                </c:pt>
                <c:pt idx="6">
                  <c:v>153</c:v>
                </c:pt>
                <c:pt idx="7">
                  <c:v>53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1-4777-A945-65AEF471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0073456"/>
        <c:axId val="1450073872"/>
      </c:barChart>
      <c:catAx>
        <c:axId val="14500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73872"/>
        <c:crosses val="autoZero"/>
        <c:auto val="1"/>
        <c:lblAlgn val="ctr"/>
        <c:lblOffset val="100"/>
        <c:noMultiLvlLbl val="0"/>
      </c:catAx>
      <c:valAx>
        <c:axId val="14500738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VHM!$C$4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VHM!$B$7:$B$25</c:f>
              <c:strCache>
                <c:ptCount val="19"/>
                <c:pt idx="0">
                  <c:v>QUINUA</c:v>
                </c:pt>
                <c:pt idx="1">
                  <c:v>MAIZ AMILACEO</c:v>
                </c:pt>
                <c:pt idx="2">
                  <c:v>PAPA BLANCA</c:v>
                </c:pt>
                <c:pt idx="3">
                  <c:v>CEBADA GRANO</c:v>
                </c:pt>
                <c:pt idx="4">
                  <c:v>TRIGO</c:v>
                </c:pt>
                <c:pt idx="5">
                  <c:v>PAPA COLOR</c:v>
                </c:pt>
                <c:pt idx="6">
                  <c:v>HABA GRANO SECO</c:v>
                </c:pt>
                <c:pt idx="7">
                  <c:v>PAPA NATIVA</c:v>
                </c:pt>
                <c:pt idx="8">
                  <c:v>OLLUCO</c:v>
                </c:pt>
                <c:pt idx="9">
                  <c:v>ARVEJA GRANO SECO</c:v>
                </c:pt>
                <c:pt idx="10">
                  <c:v>MASHUA O IZANO</c:v>
                </c:pt>
                <c:pt idx="11">
                  <c:v>OCA</c:v>
                </c:pt>
                <c:pt idx="12">
                  <c:v>FRIJOL GRANO SECO</c:v>
                </c:pt>
                <c:pt idx="13">
                  <c:v>MAIZ MORADO</c:v>
                </c:pt>
                <c:pt idx="14">
                  <c:v>CEBOLLA CABEZA ROJA</c:v>
                </c:pt>
                <c:pt idx="15">
                  <c:v>ARVEJA GRANO VERDE</c:v>
                </c:pt>
                <c:pt idx="16">
                  <c:v>HABA GRANO VERDE</c:v>
                </c:pt>
                <c:pt idx="17">
                  <c:v>MAIZ AMARILLO DURO</c:v>
                </c:pt>
                <c:pt idx="18">
                  <c:v>MAIZ CHOCLO</c:v>
                </c:pt>
              </c:strCache>
            </c:strRef>
          </c:cat>
          <c:val>
            <c:numRef>
              <c:f>VHM!$C$7:$C$25</c:f>
              <c:numCache>
                <c:formatCode>#,##0</c:formatCode>
                <c:ptCount val="19"/>
                <c:pt idx="0">
                  <c:v>2057</c:v>
                </c:pt>
                <c:pt idx="1">
                  <c:v>2027</c:v>
                </c:pt>
                <c:pt idx="2">
                  <c:v>1245</c:v>
                </c:pt>
                <c:pt idx="3">
                  <c:v>1172</c:v>
                </c:pt>
                <c:pt idx="4">
                  <c:v>740</c:v>
                </c:pt>
                <c:pt idx="5">
                  <c:v>544</c:v>
                </c:pt>
                <c:pt idx="6">
                  <c:v>431</c:v>
                </c:pt>
                <c:pt idx="7">
                  <c:v>381</c:v>
                </c:pt>
                <c:pt idx="8">
                  <c:v>210</c:v>
                </c:pt>
                <c:pt idx="9">
                  <c:v>170</c:v>
                </c:pt>
                <c:pt idx="10">
                  <c:v>138</c:v>
                </c:pt>
                <c:pt idx="11">
                  <c:v>138</c:v>
                </c:pt>
                <c:pt idx="12">
                  <c:v>89</c:v>
                </c:pt>
                <c:pt idx="13">
                  <c:v>58</c:v>
                </c:pt>
                <c:pt idx="14">
                  <c:v>45</c:v>
                </c:pt>
                <c:pt idx="15">
                  <c:v>40</c:v>
                </c:pt>
                <c:pt idx="16">
                  <c:v>36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0-4138-879F-71D5C83D95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852161808"/>
        <c:axId val="852163472"/>
      </c:barChart>
      <c:catAx>
        <c:axId val="85216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63472"/>
        <c:crosses val="autoZero"/>
        <c:auto val="1"/>
        <c:lblAlgn val="ctr"/>
        <c:lblOffset val="100"/>
        <c:noMultiLvlLbl val="0"/>
      </c:catAx>
      <c:valAx>
        <c:axId val="8521634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8521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VHM!$C$68</c:f>
              <c:strCache>
                <c:ptCount val="1"/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VHM!$B$70:$B$75</c:f>
              <c:strCache>
                <c:ptCount val="6"/>
                <c:pt idx="0">
                  <c:v>QUINUA</c:v>
                </c:pt>
                <c:pt idx="1">
                  <c:v>MAIZ AMILACEO</c:v>
                </c:pt>
                <c:pt idx="2">
                  <c:v>PAPA BLANCA</c:v>
                </c:pt>
                <c:pt idx="3">
                  <c:v>CEBADA GRANO</c:v>
                </c:pt>
                <c:pt idx="4">
                  <c:v>TRIGO</c:v>
                </c:pt>
                <c:pt idx="5">
                  <c:v>OTROS</c:v>
                </c:pt>
              </c:strCache>
            </c:strRef>
          </c:cat>
          <c:val>
            <c:numRef>
              <c:f>VHM!$C$70:$C$75</c:f>
              <c:numCache>
                <c:formatCode>#,##0</c:formatCode>
                <c:ptCount val="6"/>
                <c:pt idx="0">
                  <c:v>2057</c:v>
                </c:pt>
                <c:pt idx="1">
                  <c:v>2027</c:v>
                </c:pt>
                <c:pt idx="2">
                  <c:v>1245</c:v>
                </c:pt>
                <c:pt idx="3">
                  <c:v>1172</c:v>
                </c:pt>
                <c:pt idx="4">
                  <c:v>740</c:v>
                </c:pt>
                <c:pt idx="5">
                  <c:v>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B-4002-B09E-39B52D1BCC6B}"/>
            </c:ext>
          </c:extLst>
        </c:ser>
        <c:ser>
          <c:idx val="1"/>
          <c:order val="1"/>
          <c:tx>
            <c:strRef>
              <c:f>VHM!$P$68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VHM!$B$70:$B$75</c:f>
              <c:strCache>
                <c:ptCount val="6"/>
                <c:pt idx="0">
                  <c:v>QUINUA</c:v>
                </c:pt>
                <c:pt idx="1">
                  <c:v>MAIZ AMILACEO</c:v>
                </c:pt>
                <c:pt idx="2">
                  <c:v>PAPA BLANCA</c:v>
                </c:pt>
                <c:pt idx="3">
                  <c:v>CEBADA GRANO</c:v>
                </c:pt>
                <c:pt idx="4">
                  <c:v>TRIGO</c:v>
                </c:pt>
                <c:pt idx="5">
                  <c:v>OTROS</c:v>
                </c:pt>
              </c:strCache>
            </c:strRef>
          </c:cat>
          <c:val>
            <c:numRef>
              <c:f>VHM!$P$70:$P$75</c:f>
              <c:numCache>
                <c:formatCode>#,##0</c:formatCode>
                <c:ptCount val="6"/>
                <c:pt idx="0">
                  <c:v>2155</c:v>
                </c:pt>
                <c:pt idx="1">
                  <c:v>1966</c:v>
                </c:pt>
                <c:pt idx="2">
                  <c:v>1268</c:v>
                </c:pt>
                <c:pt idx="3">
                  <c:v>1545</c:v>
                </c:pt>
                <c:pt idx="4">
                  <c:v>755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B-4002-B09E-39B52D1BC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5"/>
        <c:axId val="1413607920"/>
        <c:axId val="1413608336"/>
      </c:barChart>
      <c:catAx>
        <c:axId val="141360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08336"/>
        <c:crosses val="autoZero"/>
        <c:auto val="1"/>
        <c:lblAlgn val="ctr"/>
        <c:lblOffset val="100"/>
        <c:noMultiLvlLbl val="0"/>
      </c:catAx>
      <c:valAx>
        <c:axId val="1413608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baseline="0">
                    <a:effectLst/>
                  </a:rPr>
                  <a:t>Hectárea</a:t>
                </a:r>
                <a:endParaRPr lang="es-MX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413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CULTIVOS!$A$136:$A$146</c:f>
              <c:strCache>
                <c:ptCount val="11"/>
                <c:pt idx="0">
                  <c:v>HUAMANGA</c:v>
                </c:pt>
                <c:pt idx="1">
                  <c:v>HUANTA</c:v>
                </c:pt>
                <c:pt idx="2">
                  <c:v>LA MAR</c:v>
                </c:pt>
                <c:pt idx="3">
                  <c:v>LUCANAS</c:v>
                </c:pt>
                <c:pt idx="4">
                  <c:v>VICTOR FAJARDO</c:v>
                </c:pt>
                <c:pt idx="5">
                  <c:v>CANGALLO</c:v>
                </c:pt>
                <c:pt idx="6">
                  <c:v>PAUCAR DEL SARA SARA</c:v>
                </c:pt>
                <c:pt idx="7">
                  <c:v>VILCAS HUAMAN</c:v>
                </c:pt>
                <c:pt idx="8">
                  <c:v>HUANCASANCOS</c:v>
                </c:pt>
                <c:pt idx="9">
                  <c:v>PARINACOCHAS</c:v>
                </c:pt>
                <c:pt idx="10">
                  <c:v>SUCRE</c:v>
                </c:pt>
              </c:strCache>
            </c:strRef>
          </c:cat>
          <c:val>
            <c:numRef>
              <c:f>CULTIVOS!$B$136:$B$146</c:f>
              <c:numCache>
                <c:formatCode>#,##0</c:formatCode>
                <c:ptCount val="11"/>
                <c:pt idx="0">
                  <c:v>1117</c:v>
                </c:pt>
                <c:pt idx="1">
                  <c:v>283</c:v>
                </c:pt>
                <c:pt idx="2">
                  <c:v>221</c:v>
                </c:pt>
                <c:pt idx="3">
                  <c:v>148</c:v>
                </c:pt>
                <c:pt idx="4">
                  <c:v>129</c:v>
                </c:pt>
                <c:pt idx="5">
                  <c:v>86</c:v>
                </c:pt>
                <c:pt idx="6">
                  <c:v>41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4596-970A-6958E0C63A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8363184"/>
        <c:axId val="1558362352"/>
      </c:barChart>
      <c:catAx>
        <c:axId val="155836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62352"/>
        <c:crosses val="autoZero"/>
        <c:auto val="1"/>
        <c:lblAlgn val="ctr"/>
        <c:lblOffset val="100"/>
        <c:noMultiLvlLbl val="0"/>
      </c:catAx>
      <c:valAx>
        <c:axId val="1558362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5583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CULTIVOS!$A$178:$A$188</c:f>
              <c:strCache>
                <c:ptCount val="11"/>
                <c:pt idx="0">
                  <c:v>HUAMANGA</c:v>
                </c:pt>
                <c:pt idx="1">
                  <c:v>LA MAR</c:v>
                </c:pt>
                <c:pt idx="2">
                  <c:v>CANGALLO</c:v>
                </c:pt>
                <c:pt idx="3">
                  <c:v>HUANCASANCOS</c:v>
                </c:pt>
                <c:pt idx="4">
                  <c:v>HUANTA</c:v>
                </c:pt>
                <c:pt idx="5">
                  <c:v>LUCANAS</c:v>
                </c:pt>
                <c:pt idx="6">
                  <c:v>PARINACOCHAS</c:v>
                </c:pt>
                <c:pt idx="7">
                  <c:v>PAUCAR DEL SARA SARA</c:v>
                </c:pt>
                <c:pt idx="8">
                  <c:v>SUCRE</c:v>
                </c:pt>
                <c:pt idx="9">
                  <c:v>VICTOR FAJARDO</c:v>
                </c:pt>
                <c:pt idx="10">
                  <c:v>VILCAS HUAMAN</c:v>
                </c:pt>
              </c:strCache>
            </c:strRef>
          </c:cat>
          <c:val>
            <c:numRef>
              <c:f>CULTIVOS!$B$178:$B$188</c:f>
              <c:numCache>
                <c:formatCode>#,##0</c:formatCode>
                <c:ptCount val="11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4-48D4-B93F-E9D40015D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203824"/>
        <c:axId val="2145207568"/>
      </c:barChart>
      <c:catAx>
        <c:axId val="214520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07568"/>
        <c:crosses val="autoZero"/>
        <c:auto val="1"/>
        <c:lblAlgn val="ctr"/>
        <c:lblOffset val="100"/>
        <c:noMultiLvlLbl val="0"/>
      </c:catAx>
      <c:valAx>
        <c:axId val="21452075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452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CULTIVOS!$A$220:$A$230</c:f>
              <c:strCache>
                <c:ptCount val="11"/>
                <c:pt idx="0">
                  <c:v>HUAMANGA</c:v>
                </c:pt>
                <c:pt idx="1">
                  <c:v>LUCANAS</c:v>
                </c:pt>
                <c:pt idx="2">
                  <c:v>VICTOR FAJARDO</c:v>
                </c:pt>
                <c:pt idx="3">
                  <c:v>CANGALLO</c:v>
                </c:pt>
                <c:pt idx="4">
                  <c:v>VILCAS HUAMAN</c:v>
                </c:pt>
                <c:pt idx="5">
                  <c:v>PARINACOCHAS</c:v>
                </c:pt>
                <c:pt idx="6">
                  <c:v>HUANTA</c:v>
                </c:pt>
                <c:pt idx="7">
                  <c:v>HUANCA SANCOS</c:v>
                </c:pt>
                <c:pt idx="8">
                  <c:v>LA MAR</c:v>
                </c:pt>
                <c:pt idx="9">
                  <c:v>PAUCAR DEL SARA SARA</c:v>
                </c:pt>
                <c:pt idx="10">
                  <c:v>SUCRE</c:v>
                </c:pt>
              </c:strCache>
            </c:strRef>
          </c:cat>
          <c:val>
            <c:numRef>
              <c:f>CULTIVOS!$B$220:$B$230</c:f>
              <c:numCache>
                <c:formatCode>#,##0</c:formatCode>
                <c:ptCount val="11"/>
                <c:pt idx="0">
                  <c:v>5763</c:v>
                </c:pt>
                <c:pt idx="1">
                  <c:v>1607</c:v>
                </c:pt>
                <c:pt idx="2">
                  <c:v>1274</c:v>
                </c:pt>
                <c:pt idx="3">
                  <c:v>1217</c:v>
                </c:pt>
                <c:pt idx="4">
                  <c:v>1172</c:v>
                </c:pt>
                <c:pt idx="5">
                  <c:v>753</c:v>
                </c:pt>
                <c:pt idx="6">
                  <c:v>626</c:v>
                </c:pt>
                <c:pt idx="7">
                  <c:v>428</c:v>
                </c:pt>
                <c:pt idx="8">
                  <c:v>422</c:v>
                </c:pt>
                <c:pt idx="9">
                  <c:v>274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DD2-95A9-DF4C590BA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2361664"/>
        <c:axId val="1982359168"/>
      </c:barChart>
      <c:catAx>
        <c:axId val="198236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59168"/>
        <c:crosses val="autoZero"/>
        <c:auto val="1"/>
        <c:lblAlgn val="ctr"/>
        <c:lblOffset val="100"/>
        <c:noMultiLvlLbl val="0"/>
      </c:catAx>
      <c:valAx>
        <c:axId val="19823591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9823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CULTIVOS!$A$261:$A$271</c:f>
              <c:strCache>
                <c:ptCount val="11"/>
                <c:pt idx="0">
                  <c:v>VICTOR FAJARDO</c:v>
                </c:pt>
                <c:pt idx="1">
                  <c:v>HUAMANGA</c:v>
                </c:pt>
                <c:pt idx="2">
                  <c:v>CANGALLO</c:v>
                </c:pt>
                <c:pt idx="3">
                  <c:v>HUANCA SANCOS</c:v>
                </c:pt>
                <c:pt idx="4">
                  <c:v>HUANTA</c:v>
                </c:pt>
                <c:pt idx="5">
                  <c:v>LA MAR</c:v>
                </c:pt>
                <c:pt idx="6">
                  <c:v>LUCANAS</c:v>
                </c:pt>
                <c:pt idx="7">
                  <c:v>PARINACOCHAS</c:v>
                </c:pt>
                <c:pt idx="8">
                  <c:v>PAUCAR DEL SARA SARA</c:v>
                </c:pt>
                <c:pt idx="9">
                  <c:v>SUCRE</c:v>
                </c:pt>
                <c:pt idx="10">
                  <c:v>VILCAS HUAMAN</c:v>
                </c:pt>
              </c:strCache>
            </c:strRef>
          </c:cat>
          <c:val>
            <c:numRef>
              <c:f>CULTIVOS!$B$261:$B$271</c:f>
              <c:numCache>
                <c:formatCode>#,##0</c:formatCode>
                <c:ptCount val="1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7F7-B2EA-23DB38697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2046544"/>
        <c:axId val="1652049040"/>
      </c:barChart>
      <c:catAx>
        <c:axId val="165204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49040"/>
        <c:crosses val="autoZero"/>
        <c:auto val="1"/>
        <c:lblAlgn val="ctr"/>
        <c:lblOffset val="100"/>
        <c:noMultiLvlLbl val="0"/>
      </c:catAx>
      <c:valAx>
        <c:axId val="16520490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6520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ustomXml" Target="../ink/ink1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9524</xdr:rowOff>
    </xdr:from>
    <xdr:to>
      <xdr:col>14</xdr:col>
      <xdr:colOff>304800</xdr:colOff>
      <xdr:row>62</xdr:row>
      <xdr:rowOff>76199</xdr:rowOff>
    </xdr:to>
    <xdr:graphicFrame macro="">
      <xdr:nvGraphicFramePr>
        <xdr:cNvPr id="6315" name="Chart 2">
          <a:extLst>
            <a:ext uri="{FF2B5EF4-FFF2-40B4-BE49-F238E27FC236}">
              <a16:creationId xmlns:a16="http://schemas.microsoft.com/office/drawing/2014/main" id="{5D0C7522-6926-8DE9-2AF1-F40DE15B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79559</xdr:colOff>
      <xdr:row>77</xdr:row>
      <xdr:rowOff>124385</xdr:rowOff>
    </xdr:from>
    <xdr:to>
      <xdr:col>21</xdr:col>
      <xdr:colOff>0</xdr:colOff>
      <xdr:row>102</xdr:row>
      <xdr:rowOff>36260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308D04-E75B-44C2-60D1-3A60E212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217425</xdr:colOff>
      <xdr:row>60</xdr:row>
      <xdr:rowOff>19575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711554-42B9-4159-ADDB-6746A026F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86284</xdr:colOff>
      <xdr:row>80</xdr:row>
      <xdr:rowOff>5602</xdr:rowOff>
    </xdr:from>
    <xdr:to>
      <xdr:col>21</xdr:col>
      <xdr:colOff>0</xdr:colOff>
      <xdr:row>104</xdr:row>
      <xdr:rowOff>79402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C722CF-47D7-40C4-EE4A-08831AB0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</xdr:rowOff>
    </xdr:from>
    <xdr:to>
      <xdr:col>9</xdr:col>
      <xdr:colOff>217425</xdr:colOff>
      <xdr:row>61</xdr:row>
      <xdr:rowOff>19576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1E706A-C84A-4F43-B6EC-83083F71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229720</xdr:colOff>
      <xdr:row>81</xdr:row>
      <xdr:rowOff>102533</xdr:rowOff>
    </xdr:from>
    <xdr:to>
      <xdr:col>21</xdr:col>
      <xdr:colOff>0</xdr:colOff>
      <xdr:row>106</xdr:row>
      <xdr:rowOff>14408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AF2DE-33CC-9069-286A-728F2407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9</xdr:col>
      <xdr:colOff>217425</xdr:colOff>
      <xdr:row>62</xdr:row>
      <xdr:rowOff>19575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8E7854-3B7E-4099-AC70-B3C9C61AD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</xdr:colOff>
      <xdr:row>80</xdr:row>
      <xdr:rowOff>132601</xdr:rowOff>
    </xdr:from>
    <xdr:to>
      <xdr:col>21</xdr:col>
      <xdr:colOff>0</xdr:colOff>
      <xdr:row>105</xdr:row>
      <xdr:rowOff>44476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EA4F99-E3FE-D344-E0E5-9FA0E6E2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41</xdr:row>
      <xdr:rowOff>0</xdr:rowOff>
    </xdr:from>
    <xdr:to>
      <xdr:col>9</xdr:col>
      <xdr:colOff>68200</xdr:colOff>
      <xdr:row>62</xdr:row>
      <xdr:rowOff>19575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C8B5B7-41F1-4EC6-A1B9-E38601EC0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271180</xdr:colOff>
      <xdr:row>79</xdr:row>
      <xdr:rowOff>93567</xdr:rowOff>
    </xdr:from>
    <xdr:to>
      <xdr:col>21</xdr:col>
      <xdr:colOff>0</xdr:colOff>
      <xdr:row>104</xdr:row>
      <xdr:rowOff>5442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52EBA3-1327-3DCC-8CF7-F01F3B710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85726</xdr:colOff>
      <xdr:row>42</xdr:row>
      <xdr:rowOff>54428</xdr:rowOff>
    </xdr:from>
    <xdr:to>
      <xdr:col>9</xdr:col>
      <xdr:colOff>303151</xdr:colOff>
      <xdr:row>63</xdr:row>
      <xdr:rowOff>74003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3351C9-0E20-4944-A6C2-ADDECECA8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34</xdr:row>
      <xdr:rowOff>133350</xdr:rowOff>
    </xdr:from>
    <xdr:to>
      <xdr:col>8</xdr:col>
      <xdr:colOff>504825</xdr:colOff>
      <xdr:row>55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0347D-2DDF-C3E4-F7E8-5770AAFC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19050</xdr:rowOff>
    </xdr:from>
    <xdr:to>
      <xdr:col>11</xdr:col>
      <xdr:colOff>130725</xdr:colOff>
      <xdr:row>40</xdr:row>
      <xdr:rowOff>146325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1D0A14-9418-333A-2322-CA04DA1E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19050</xdr:rowOff>
    </xdr:from>
    <xdr:to>
      <xdr:col>11</xdr:col>
      <xdr:colOff>35475</xdr:colOff>
      <xdr:row>81</xdr:row>
      <xdr:rowOff>146325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0E7432-514F-BB77-0E7F-080E639F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106</xdr:row>
      <xdr:rowOff>85725</xdr:rowOff>
    </xdr:from>
    <xdr:to>
      <xdr:col>11</xdr:col>
      <xdr:colOff>102150</xdr:colOff>
      <xdr:row>124</xdr:row>
      <xdr:rowOff>51075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37B70C-2682-ECCE-1398-D28B6AF9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</xdr:colOff>
      <xdr:row>150</xdr:row>
      <xdr:rowOff>19049</xdr:rowOff>
    </xdr:from>
    <xdr:to>
      <xdr:col>11</xdr:col>
      <xdr:colOff>83099</xdr:colOff>
      <xdr:row>167</xdr:row>
      <xdr:rowOff>146324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3BD56F-923E-1DEC-5860-99B20DA3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114299</xdr:colOff>
      <xdr:row>191</xdr:row>
      <xdr:rowOff>47624</xdr:rowOff>
    </xdr:from>
    <xdr:to>
      <xdr:col>11</xdr:col>
      <xdr:colOff>149774</xdr:colOff>
      <xdr:row>209</xdr:row>
      <xdr:rowOff>12974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BE750C-D941-DDD0-D292-60D6469A5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152399</xdr:colOff>
      <xdr:row>232</xdr:row>
      <xdr:rowOff>133349</xdr:rowOff>
    </xdr:from>
    <xdr:to>
      <xdr:col>11</xdr:col>
      <xdr:colOff>187874</xdr:colOff>
      <xdr:row>250</xdr:row>
      <xdr:rowOff>98699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CAE447-1F7E-842A-2AC8-F651697C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273</xdr:row>
      <xdr:rowOff>104775</xdr:rowOff>
    </xdr:from>
    <xdr:to>
      <xdr:col>11</xdr:col>
      <xdr:colOff>168825</xdr:colOff>
      <xdr:row>291</xdr:row>
      <xdr:rowOff>70125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38A817-6F9F-D1E5-1D6C-91EAD451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123824</xdr:colOff>
      <xdr:row>313</xdr:row>
      <xdr:rowOff>95250</xdr:rowOff>
    </xdr:from>
    <xdr:to>
      <xdr:col>11</xdr:col>
      <xdr:colOff>159299</xdr:colOff>
      <xdr:row>331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90DB2-F64D-6D7B-D862-B0F29900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353</xdr:row>
      <xdr:rowOff>104774</xdr:rowOff>
    </xdr:from>
    <xdr:to>
      <xdr:col>11</xdr:col>
      <xdr:colOff>264075</xdr:colOff>
      <xdr:row>371</xdr:row>
      <xdr:rowOff>70124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835AE8-E2D6-BE10-16B9-A63F5A603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394</xdr:row>
      <xdr:rowOff>95249</xdr:rowOff>
    </xdr:from>
    <xdr:to>
      <xdr:col>11</xdr:col>
      <xdr:colOff>197400</xdr:colOff>
      <xdr:row>412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779C7A2-3218-4CDC-6F7B-98F13B16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434</xdr:row>
      <xdr:rowOff>57149</xdr:rowOff>
    </xdr:from>
    <xdr:to>
      <xdr:col>11</xdr:col>
      <xdr:colOff>225975</xdr:colOff>
      <xdr:row>452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EB5AED0-DC4A-F8C9-50AB-B2EEB507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123824</xdr:colOff>
      <xdr:row>475</xdr:row>
      <xdr:rowOff>9525</xdr:rowOff>
    </xdr:from>
    <xdr:to>
      <xdr:col>11</xdr:col>
      <xdr:colOff>159299</xdr:colOff>
      <xdr:row>492</xdr:row>
      <xdr:rowOff>136800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D3DBFF0-30AC-E1E1-1804-9AB6C2B7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161924</xdr:colOff>
      <xdr:row>516</xdr:row>
      <xdr:rowOff>66675</xdr:rowOff>
    </xdr:from>
    <xdr:to>
      <xdr:col>11</xdr:col>
      <xdr:colOff>197399</xdr:colOff>
      <xdr:row>534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E0347A-17EB-15F7-D290-421FBDAD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200025</xdr:colOff>
      <xdr:row>556</xdr:row>
      <xdr:rowOff>142875</xdr:rowOff>
    </xdr:from>
    <xdr:to>
      <xdr:col>11</xdr:col>
      <xdr:colOff>235500</xdr:colOff>
      <xdr:row>574</xdr:row>
      <xdr:rowOff>108225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246C852-EEA1-D30E-8C42-A3F24DE4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114299</xdr:colOff>
      <xdr:row>597</xdr:row>
      <xdr:rowOff>47625</xdr:rowOff>
    </xdr:from>
    <xdr:to>
      <xdr:col>11</xdr:col>
      <xdr:colOff>149774</xdr:colOff>
      <xdr:row>615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DB4410B-5A32-D19E-67F2-62486219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161924</xdr:colOff>
      <xdr:row>637</xdr:row>
      <xdr:rowOff>104775</xdr:rowOff>
    </xdr:from>
    <xdr:to>
      <xdr:col>11</xdr:col>
      <xdr:colOff>197399</xdr:colOff>
      <xdr:row>655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3670FC-4543-85B2-6711-B347C3C95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266699</xdr:colOff>
      <xdr:row>677</xdr:row>
      <xdr:rowOff>0</xdr:rowOff>
    </xdr:from>
    <xdr:to>
      <xdr:col>11</xdr:col>
      <xdr:colOff>302174</xdr:colOff>
      <xdr:row>694</xdr:row>
      <xdr:rowOff>127275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08B8F3D-338D-A79A-7286-1B7AC938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295274</xdr:colOff>
      <xdr:row>717</xdr:row>
      <xdr:rowOff>57150</xdr:rowOff>
    </xdr:from>
    <xdr:to>
      <xdr:col>11</xdr:col>
      <xdr:colOff>330749</xdr:colOff>
      <xdr:row>735</xdr:row>
      <xdr:rowOff>22500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F4EFE3F-A254-59DF-F7C9-01D8E070D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228599</xdr:colOff>
      <xdr:row>758</xdr:row>
      <xdr:rowOff>66674</xdr:rowOff>
    </xdr:from>
    <xdr:to>
      <xdr:col>11</xdr:col>
      <xdr:colOff>264074</xdr:colOff>
      <xdr:row>776</xdr:row>
      <xdr:rowOff>32024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AC1F8EC-4F0D-93DB-EC4F-BCAE6C99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119061</xdr:colOff>
      <xdr:row>800</xdr:row>
      <xdr:rowOff>28575</xdr:rowOff>
    </xdr:from>
    <xdr:to>
      <xdr:col>11</xdr:col>
      <xdr:colOff>154536</xdr:colOff>
      <xdr:row>817</xdr:row>
      <xdr:rowOff>155850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954F681-7D7F-39BC-E477-910AD0ED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404811</xdr:colOff>
      <xdr:row>842</xdr:row>
      <xdr:rowOff>47624</xdr:rowOff>
    </xdr:from>
    <xdr:to>
      <xdr:col>12</xdr:col>
      <xdr:colOff>49761</xdr:colOff>
      <xdr:row>860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AA95A6E-B4C9-5088-02CC-58B8A831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223836</xdr:colOff>
      <xdr:row>883</xdr:row>
      <xdr:rowOff>114299</xdr:rowOff>
    </xdr:from>
    <xdr:to>
      <xdr:col>11</xdr:col>
      <xdr:colOff>259311</xdr:colOff>
      <xdr:row>901</xdr:row>
      <xdr:rowOff>79649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1DBBDE4-4FE8-21BD-D00E-0CE3529B9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61911</xdr:colOff>
      <xdr:row>924</xdr:row>
      <xdr:rowOff>47624</xdr:rowOff>
    </xdr:from>
    <xdr:to>
      <xdr:col>11</xdr:col>
      <xdr:colOff>97386</xdr:colOff>
      <xdr:row>942</xdr:row>
      <xdr:rowOff>12974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B4607AB-9942-A442-84B7-3A262DE6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138111</xdr:colOff>
      <xdr:row>965</xdr:row>
      <xdr:rowOff>47625</xdr:rowOff>
    </xdr:from>
    <xdr:to>
      <xdr:col>11</xdr:col>
      <xdr:colOff>173586</xdr:colOff>
      <xdr:row>983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957849C-3DB8-A0EE-BD4E-01FD8545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242887</xdr:colOff>
      <xdr:row>1005</xdr:row>
      <xdr:rowOff>9525</xdr:rowOff>
    </xdr:from>
    <xdr:to>
      <xdr:col>11</xdr:col>
      <xdr:colOff>278362</xdr:colOff>
      <xdr:row>1022</xdr:row>
      <xdr:rowOff>136800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C3A603-51DF-C7E0-44E1-E51C1F99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80961</xdr:colOff>
      <xdr:row>1046</xdr:row>
      <xdr:rowOff>114299</xdr:rowOff>
    </xdr:from>
    <xdr:to>
      <xdr:col>11</xdr:col>
      <xdr:colOff>116436</xdr:colOff>
      <xdr:row>1064</xdr:row>
      <xdr:rowOff>89174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BBCB540-D73D-26E4-F340-C4C69ADE5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138112</xdr:colOff>
      <xdr:row>1086</xdr:row>
      <xdr:rowOff>142875</xdr:rowOff>
    </xdr:from>
    <xdr:to>
      <xdr:col>11</xdr:col>
      <xdr:colOff>173587</xdr:colOff>
      <xdr:row>1104</xdr:row>
      <xdr:rowOff>117750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715339C-96BF-74D5-2DA9-C0B48B8A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15</xdr:col>
      <xdr:colOff>554687</xdr:colOff>
      <xdr:row>392</xdr:row>
      <xdr:rowOff>49455</xdr:rowOff>
    </xdr:from>
    <xdr:to>
      <xdr:col>15</xdr:col>
      <xdr:colOff>555047</xdr:colOff>
      <xdr:row>392</xdr:row>
      <xdr:rowOff>49815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E957967-E5DD-6189-0343-D455B81AEE9A}"/>
                </a:ext>
              </a:extLst>
            </xdr14:cNvPr>
            <xdr14:cNvContentPartPr/>
          </xdr14:nvContentPartPr>
          <xdr14:nvPr macro=""/>
          <xdr14:xfrm>
            <a:off x="8787600" y="7847747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E957967-E5DD-6189-0343-D455B81AEE9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778960" y="7846883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161923</xdr:colOff>
      <xdr:row>81</xdr:row>
      <xdr:rowOff>38779</xdr:rowOff>
    </xdr:from>
    <xdr:to>
      <xdr:col>8</xdr:col>
      <xdr:colOff>312673</xdr:colOff>
      <xdr:row>102</xdr:row>
      <xdr:rowOff>58354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9E0D89-91C2-B1EE-8998-A34C1CFB3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159204</xdr:colOff>
      <xdr:row>40</xdr:row>
      <xdr:rowOff>57868</xdr:rowOff>
    </xdr:from>
    <xdr:to>
      <xdr:col>15</xdr:col>
      <xdr:colOff>520029</xdr:colOff>
      <xdr:row>64</xdr:row>
      <xdr:rowOff>131668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3B8F28-B438-4703-4E8D-B4BD30B2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114301</xdr:rowOff>
    </xdr:from>
    <xdr:to>
      <xdr:col>21</xdr:col>
      <xdr:colOff>0</xdr:colOff>
      <xdr:row>104</xdr:row>
      <xdr:rowOff>26176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15F27D3-2664-024E-B4F8-241EE47F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581024</xdr:rowOff>
    </xdr:from>
    <xdr:to>
      <xdr:col>9</xdr:col>
      <xdr:colOff>217425</xdr:colOff>
      <xdr:row>61</xdr:row>
      <xdr:rowOff>19574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738C7A-46CC-4FAF-A370-7DFCE29D8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121396</xdr:rowOff>
    </xdr:from>
    <xdr:to>
      <xdr:col>21</xdr:col>
      <xdr:colOff>0</xdr:colOff>
      <xdr:row>105</xdr:row>
      <xdr:rowOff>33271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A32036-11A0-3BA9-4988-8BFBB3F2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9</xdr:col>
      <xdr:colOff>217425</xdr:colOff>
      <xdr:row>62</xdr:row>
      <xdr:rowOff>19575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9F6A1C-7173-4583-8796-4476ED72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64060</xdr:rowOff>
    </xdr:from>
    <xdr:to>
      <xdr:col>21</xdr:col>
      <xdr:colOff>27450</xdr:colOff>
      <xdr:row>103</xdr:row>
      <xdr:rowOff>137860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6BE79C-85EA-5434-EB08-D41B5140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217425</xdr:colOff>
      <xdr:row>61</xdr:row>
      <xdr:rowOff>19575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D1F240-815C-4C1A-90D7-C3072802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84604</xdr:rowOff>
    </xdr:from>
    <xdr:to>
      <xdr:col>15</xdr:col>
      <xdr:colOff>608475</xdr:colOff>
      <xdr:row>103</xdr:row>
      <xdr:rowOff>158404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405094-115A-4829-53F7-0FC326B1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322200</xdr:colOff>
      <xdr:row>61</xdr:row>
      <xdr:rowOff>19575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3E265-8059-420A-BDCC-A90AE1666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80</xdr:row>
      <xdr:rowOff>9898</xdr:rowOff>
    </xdr:from>
    <xdr:to>
      <xdr:col>21</xdr:col>
      <xdr:colOff>90950</xdr:colOff>
      <xdr:row>104</xdr:row>
      <xdr:rowOff>83698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0D98D-3552-4F7B-58BC-3361C280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217425</xdr:colOff>
      <xdr:row>61</xdr:row>
      <xdr:rowOff>19575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0A3E64-086D-487F-8744-003E85FE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l_agrario\documentos\Int04_05\CD\SRIS_HSB_AYACUCHO_lima_cor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l_agrario\documentos\Int04_05\CD\moner\PRECI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RIS_Ayacuc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t"/>
      <sheetName val="dist"/>
      <sheetName val="data"/>
      <sheetName val="cedula"/>
      <sheetName val="inf"/>
      <sheetName val="personal"/>
      <sheetName val="PROGRAM"/>
      <sheetName val="REPORTE"/>
      <sheetName val="REPORT"/>
      <sheetName val="TREGIST"/>
      <sheetName val="TPROAGE"/>
      <sheetName val="AYACUCHO"/>
    </sheetNames>
    <sheetDataSet>
      <sheetData sheetId="0">
        <row r="2">
          <cell r="A2" t="str">
            <v>15020020000</v>
          </cell>
          <cell r="B2" t="str">
            <v>ALGODÓN</v>
          </cell>
          <cell r="C2">
            <v>15020020000</v>
          </cell>
        </row>
        <row r="3">
          <cell r="A3" t="str">
            <v>14010020100</v>
          </cell>
          <cell r="B3" t="str">
            <v>ARROZ</v>
          </cell>
          <cell r="C3">
            <v>14010020000</v>
          </cell>
        </row>
        <row r="4">
          <cell r="A4" t="str">
            <v>14060010100</v>
          </cell>
          <cell r="B4" t="str">
            <v>ARVEJA GRANO SECO</v>
          </cell>
        </row>
        <row r="5">
          <cell r="A5" t="str">
            <v>14010030100</v>
          </cell>
          <cell r="B5" t="str">
            <v>AVENA GRANO</v>
          </cell>
        </row>
        <row r="6">
          <cell r="A6" t="str">
            <v>14010050000</v>
          </cell>
          <cell r="B6" t="str">
            <v>CEBADA GRANO</v>
          </cell>
          <cell r="C6">
            <v>14010050000</v>
          </cell>
        </row>
        <row r="7">
          <cell r="A7" t="str">
            <v>14060030000</v>
          </cell>
          <cell r="B7" t="str">
            <v>FRIJOL GRANO SECO</v>
          </cell>
        </row>
        <row r="8">
          <cell r="A8" t="str">
            <v>14060050000</v>
          </cell>
          <cell r="B8" t="str">
            <v>HABA GRANO SECO</v>
          </cell>
        </row>
        <row r="9">
          <cell r="A9" t="str">
            <v>14010070000</v>
          </cell>
          <cell r="B9" t="str">
            <v>MAIZ AMARILLO DURO</v>
          </cell>
          <cell r="C9">
            <v>14010070000</v>
          </cell>
        </row>
        <row r="10">
          <cell r="A10" t="str">
            <v>14010080000</v>
          </cell>
          <cell r="B10" t="str">
            <v>MAIZ AMILACEO</v>
          </cell>
          <cell r="C10">
            <v>14010080000</v>
          </cell>
        </row>
        <row r="11">
          <cell r="A11" t="str">
            <v>14070180100</v>
          </cell>
          <cell r="B11" t="str">
            <v>MANI (PARA ACEITE)</v>
          </cell>
        </row>
        <row r="12">
          <cell r="A12" t="str">
            <v>14040050000</v>
          </cell>
          <cell r="B12" t="str">
            <v>MASHUA O IZANO</v>
          </cell>
        </row>
        <row r="13">
          <cell r="A13" t="str">
            <v>14040070000</v>
          </cell>
          <cell r="B13" t="str">
            <v>OCA</v>
          </cell>
        </row>
        <row r="14">
          <cell r="A14" t="str">
            <v>14040080000</v>
          </cell>
          <cell r="B14" t="str">
            <v>OLLUCO</v>
          </cell>
        </row>
        <row r="15">
          <cell r="A15" t="str">
            <v>14040090000</v>
          </cell>
          <cell r="B15" t="str">
            <v>PAPA</v>
          </cell>
          <cell r="C15">
            <v>14040090000</v>
          </cell>
        </row>
        <row r="16">
          <cell r="A16" t="str">
            <v>14010090000</v>
          </cell>
          <cell r="B16" t="str">
            <v>QUINUA</v>
          </cell>
        </row>
        <row r="17">
          <cell r="A17" t="str">
            <v>14010110000</v>
          </cell>
          <cell r="B17" t="str">
            <v>TRIGO</v>
          </cell>
          <cell r="C17">
            <v>14010110000</v>
          </cell>
        </row>
        <row r="18">
          <cell r="A18" t="str">
            <v>14040140000</v>
          </cell>
          <cell r="B18" t="str">
            <v>YUCA</v>
          </cell>
          <cell r="C18">
            <v>14040140000</v>
          </cell>
        </row>
        <row r="19">
          <cell r="A19" t="str">
            <v>14010010000</v>
          </cell>
          <cell r="B19" t="str">
            <v>ACHITA</v>
          </cell>
        </row>
      </sheetData>
      <sheetData sheetId="1">
        <row r="2">
          <cell r="A2">
            <v>50101</v>
          </cell>
          <cell r="B2" t="str">
            <v>AYACUCHO</v>
          </cell>
          <cell r="C2" t="str">
            <v>HUAMANGA</v>
          </cell>
          <cell r="D2" t="str">
            <v>AYACUCHO</v>
          </cell>
          <cell r="E2" t="str">
            <v>AYACUCHO</v>
          </cell>
          <cell r="F2" t="str">
            <v>2</v>
          </cell>
          <cell r="G2">
            <v>2746</v>
          </cell>
          <cell r="H2">
            <v>10309</v>
          </cell>
          <cell r="I2">
            <v>957</v>
          </cell>
          <cell r="J2" t="str">
            <v>050100</v>
          </cell>
          <cell r="K2" t="str">
            <v>050000</v>
          </cell>
        </row>
        <row r="3">
          <cell r="A3">
            <v>50102</v>
          </cell>
          <cell r="B3" t="str">
            <v>AYACUCHO</v>
          </cell>
          <cell r="C3" t="str">
            <v>HUAMANGA</v>
          </cell>
          <cell r="D3" t="str">
            <v>ACOCRO</v>
          </cell>
          <cell r="E3" t="str">
            <v>ACOCRO</v>
          </cell>
          <cell r="F3" t="str">
            <v>2</v>
          </cell>
          <cell r="G3">
            <v>3247</v>
          </cell>
          <cell r="H3">
            <v>40683</v>
          </cell>
          <cell r="I3">
            <v>1966</v>
          </cell>
          <cell r="J3" t="str">
            <v>050100</v>
          </cell>
          <cell r="K3" t="str">
            <v>050000</v>
          </cell>
        </row>
        <row r="4">
          <cell r="A4">
            <v>50103</v>
          </cell>
          <cell r="B4" t="str">
            <v>AYACUCHO</v>
          </cell>
          <cell r="C4" t="str">
            <v>HUAMANGA</v>
          </cell>
          <cell r="D4" t="str">
            <v>ACOS VINCHOS</v>
          </cell>
          <cell r="E4" t="str">
            <v>ACOS VINCHOS</v>
          </cell>
          <cell r="F4" t="str">
            <v>2</v>
          </cell>
          <cell r="G4">
            <v>2848</v>
          </cell>
          <cell r="H4">
            <v>15228</v>
          </cell>
          <cell r="I4">
            <v>752</v>
          </cell>
          <cell r="J4" t="str">
            <v>050100</v>
          </cell>
          <cell r="K4" t="str">
            <v>050000</v>
          </cell>
        </row>
        <row r="5">
          <cell r="A5">
            <v>50104</v>
          </cell>
          <cell r="B5" t="str">
            <v>AYACUCHO</v>
          </cell>
          <cell r="C5" t="str">
            <v>HUAMANGA</v>
          </cell>
          <cell r="D5" t="str">
            <v>CARMEN ALTO</v>
          </cell>
          <cell r="E5" t="str">
            <v>CARMEN ALTO</v>
          </cell>
          <cell r="F5" t="str">
            <v>2</v>
          </cell>
          <cell r="G5">
            <v>2800</v>
          </cell>
          <cell r="H5">
            <v>1933</v>
          </cell>
          <cell r="I5">
            <v>176</v>
          </cell>
          <cell r="J5" t="str">
            <v>050100</v>
          </cell>
          <cell r="K5" t="str">
            <v>050000</v>
          </cell>
        </row>
        <row r="6">
          <cell r="A6">
            <v>50105</v>
          </cell>
          <cell r="B6" t="str">
            <v>AYACUCHO</v>
          </cell>
          <cell r="C6" t="str">
            <v>HUAMANGA</v>
          </cell>
          <cell r="D6" t="str">
            <v>CHIARA</v>
          </cell>
          <cell r="E6" t="str">
            <v>CHIARA</v>
          </cell>
          <cell r="F6" t="str">
            <v>2</v>
          </cell>
          <cell r="G6">
            <v>3527</v>
          </cell>
          <cell r="H6">
            <v>49842</v>
          </cell>
          <cell r="I6">
            <v>1161</v>
          </cell>
          <cell r="J6" t="str">
            <v>050100</v>
          </cell>
          <cell r="K6" t="str">
            <v>050000</v>
          </cell>
        </row>
        <row r="7">
          <cell r="A7">
            <v>50106</v>
          </cell>
          <cell r="B7" t="str">
            <v>AYACUCHO</v>
          </cell>
          <cell r="C7" t="str">
            <v>HUAMANGA</v>
          </cell>
          <cell r="D7" t="str">
            <v>OCROS</v>
          </cell>
          <cell r="E7" t="str">
            <v>OCROS</v>
          </cell>
          <cell r="F7" t="str">
            <v>2</v>
          </cell>
          <cell r="G7">
            <v>3125</v>
          </cell>
          <cell r="H7">
            <v>19467</v>
          </cell>
          <cell r="I7">
            <v>1229</v>
          </cell>
          <cell r="J7" t="str">
            <v>050100</v>
          </cell>
          <cell r="K7" t="str">
            <v>050000</v>
          </cell>
        </row>
        <row r="8">
          <cell r="A8">
            <v>50107</v>
          </cell>
          <cell r="B8" t="str">
            <v>AYACUCHO</v>
          </cell>
          <cell r="C8" t="str">
            <v>HUAMANGA</v>
          </cell>
          <cell r="D8" t="str">
            <v>PACAYCASA</v>
          </cell>
          <cell r="E8" t="str">
            <v>PACAYCASA</v>
          </cell>
          <cell r="F8" t="str">
            <v>2</v>
          </cell>
          <cell r="G8">
            <v>2535</v>
          </cell>
          <cell r="H8">
            <v>4180</v>
          </cell>
          <cell r="I8">
            <v>498</v>
          </cell>
          <cell r="J8" t="str">
            <v>050100</v>
          </cell>
          <cell r="K8" t="str">
            <v>050000</v>
          </cell>
        </row>
        <row r="9">
          <cell r="A9">
            <v>50108</v>
          </cell>
          <cell r="B9" t="str">
            <v>AYACUCHO</v>
          </cell>
          <cell r="C9" t="str">
            <v>HUAMANGA</v>
          </cell>
          <cell r="D9" t="str">
            <v>QUINUA</v>
          </cell>
          <cell r="E9" t="str">
            <v>QUINUA</v>
          </cell>
          <cell r="F9" t="str">
            <v>2</v>
          </cell>
          <cell r="G9">
            <v>3396</v>
          </cell>
          <cell r="H9">
            <v>14563</v>
          </cell>
          <cell r="I9">
            <v>1262</v>
          </cell>
          <cell r="J9" t="str">
            <v>050100</v>
          </cell>
          <cell r="K9" t="str">
            <v>050000</v>
          </cell>
        </row>
        <row r="10">
          <cell r="A10">
            <v>50109</v>
          </cell>
          <cell r="B10" t="str">
            <v>AYACUCHO</v>
          </cell>
          <cell r="C10" t="str">
            <v>HUAMANGA</v>
          </cell>
          <cell r="D10" t="str">
            <v>SAN JOSE DE TICLLAS</v>
          </cell>
          <cell r="E10" t="str">
            <v>SAN JOSE DE TICLLAS</v>
          </cell>
          <cell r="F10" t="str">
            <v>2</v>
          </cell>
          <cell r="G10">
            <v>3268</v>
          </cell>
          <cell r="H10">
            <v>6434</v>
          </cell>
          <cell r="I10">
            <v>604</v>
          </cell>
          <cell r="J10" t="str">
            <v>050100</v>
          </cell>
          <cell r="K10" t="str">
            <v>050000</v>
          </cell>
        </row>
        <row r="11">
          <cell r="A11">
            <v>50110</v>
          </cell>
          <cell r="B11" t="str">
            <v>AYACUCHO</v>
          </cell>
          <cell r="C11" t="str">
            <v>HUAMANGA</v>
          </cell>
          <cell r="D11" t="str">
            <v>SAN JUAN BAUTISTA</v>
          </cell>
          <cell r="E11" t="str">
            <v>SAN JUAN BAUTISTA</v>
          </cell>
          <cell r="F11" t="str">
            <v>2</v>
          </cell>
          <cell r="G11">
            <v>2800</v>
          </cell>
          <cell r="H11">
            <v>1871</v>
          </cell>
          <cell r="I11">
            <v>91</v>
          </cell>
          <cell r="J11" t="str">
            <v>050100</v>
          </cell>
          <cell r="K11" t="str">
            <v>050000</v>
          </cell>
        </row>
        <row r="12">
          <cell r="A12">
            <v>50111</v>
          </cell>
          <cell r="B12" t="str">
            <v>AYACUCHO</v>
          </cell>
          <cell r="C12" t="str">
            <v>HUAMANGA</v>
          </cell>
          <cell r="D12" t="str">
            <v>SANTIAGO DE PISCHA</v>
          </cell>
          <cell r="E12" t="str">
            <v>SANTIAGO DE PISCHA</v>
          </cell>
          <cell r="F12" t="str">
            <v>2</v>
          </cell>
          <cell r="G12">
            <v>3188</v>
          </cell>
          <cell r="H12">
            <v>11494</v>
          </cell>
          <cell r="I12">
            <v>733</v>
          </cell>
          <cell r="J12" t="str">
            <v>050100</v>
          </cell>
          <cell r="K12" t="str">
            <v>050000</v>
          </cell>
        </row>
        <row r="13">
          <cell r="A13">
            <v>50112</v>
          </cell>
          <cell r="B13" t="str">
            <v>AYACUCHO</v>
          </cell>
          <cell r="C13" t="str">
            <v>HUAMANGA</v>
          </cell>
          <cell r="D13" t="str">
            <v>SOCOS</v>
          </cell>
          <cell r="E13" t="str">
            <v>SOCOS</v>
          </cell>
          <cell r="F13" t="str">
            <v>2</v>
          </cell>
          <cell r="G13">
            <v>3400</v>
          </cell>
          <cell r="H13">
            <v>8175</v>
          </cell>
          <cell r="I13">
            <v>1361</v>
          </cell>
          <cell r="J13" t="str">
            <v>050100</v>
          </cell>
          <cell r="K13" t="str">
            <v>050000</v>
          </cell>
        </row>
        <row r="14">
          <cell r="A14">
            <v>50113</v>
          </cell>
          <cell r="B14" t="str">
            <v>AYACUCHO</v>
          </cell>
          <cell r="C14" t="str">
            <v>HUAMANGA</v>
          </cell>
          <cell r="D14" t="str">
            <v>TAMBILLO</v>
          </cell>
          <cell r="E14" t="str">
            <v>TAMBILLO</v>
          </cell>
          <cell r="F14" t="str">
            <v>2</v>
          </cell>
          <cell r="G14">
            <v>3080</v>
          </cell>
          <cell r="H14">
            <v>18445</v>
          </cell>
          <cell r="I14">
            <v>825</v>
          </cell>
          <cell r="J14" t="str">
            <v>050100</v>
          </cell>
          <cell r="K14" t="str">
            <v>050000</v>
          </cell>
        </row>
        <row r="15">
          <cell r="A15">
            <v>50114</v>
          </cell>
          <cell r="B15" t="str">
            <v>AYACUCHO</v>
          </cell>
          <cell r="C15" t="str">
            <v>HUAMANGA</v>
          </cell>
          <cell r="D15" t="str">
            <v>VINCHOS</v>
          </cell>
          <cell r="E15" t="str">
            <v>VINCHOS</v>
          </cell>
          <cell r="F15" t="str">
            <v>2</v>
          </cell>
          <cell r="G15">
            <v>3150</v>
          </cell>
          <cell r="H15">
            <v>95513</v>
          </cell>
          <cell r="I15">
            <v>2849</v>
          </cell>
          <cell r="J15" t="str">
            <v>050100</v>
          </cell>
          <cell r="K15" t="str">
            <v>050000</v>
          </cell>
        </row>
        <row r="16">
          <cell r="A16">
            <v>50115</v>
          </cell>
          <cell r="B16" t="str">
            <v>AYACUCHO</v>
          </cell>
          <cell r="C16" t="str">
            <v>HUAMANGA</v>
          </cell>
          <cell r="D16" t="str">
            <v>JESUS NAZARENNO</v>
          </cell>
          <cell r="J16" t="str">
            <v>050100</v>
          </cell>
          <cell r="K16" t="str">
            <v>050000</v>
          </cell>
        </row>
        <row r="17">
          <cell r="A17">
            <v>50201</v>
          </cell>
          <cell r="B17" t="str">
            <v>AYACUCHO</v>
          </cell>
          <cell r="C17" t="str">
            <v>CANGALLO</v>
          </cell>
          <cell r="D17" t="str">
            <v>CANGALLO</v>
          </cell>
          <cell r="E17" t="str">
            <v>CANGALLO</v>
          </cell>
          <cell r="F17" t="str">
            <v>2</v>
          </cell>
          <cell r="G17">
            <v>2577</v>
          </cell>
          <cell r="H17">
            <v>18858</v>
          </cell>
          <cell r="I17">
            <v>1774</v>
          </cell>
          <cell r="J17" t="str">
            <v>050200</v>
          </cell>
          <cell r="K17" t="str">
            <v>050000</v>
          </cell>
        </row>
        <row r="18">
          <cell r="A18">
            <v>50202</v>
          </cell>
          <cell r="B18" t="str">
            <v>AYACUCHO</v>
          </cell>
          <cell r="C18" t="str">
            <v>CANGALLO</v>
          </cell>
          <cell r="D18" t="str">
            <v>CHUSCHI</v>
          </cell>
          <cell r="E18" t="str">
            <v>CHUSCHI</v>
          </cell>
          <cell r="F18" t="str">
            <v>2</v>
          </cell>
          <cell r="G18">
            <v>3141</v>
          </cell>
          <cell r="H18">
            <v>43196</v>
          </cell>
          <cell r="I18">
            <v>1750</v>
          </cell>
          <cell r="J18" t="str">
            <v>050200</v>
          </cell>
          <cell r="K18" t="str">
            <v>050000</v>
          </cell>
        </row>
        <row r="19">
          <cell r="A19">
            <v>50203</v>
          </cell>
          <cell r="B19" t="str">
            <v>AYACUCHO</v>
          </cell>
          <cell r="C19" t="str">
            <v>CANGALLO</v>
          </cell>
          <cell r="D19" t="str">
            <v>LOS MOROCHUCOS</v>
          </cell>
          <cell r="E19" t="str">
            <v>LOS MOROCHUCOS</v>
          </cell>
          <cell r="F19" t="str">
            <v>2</v>
          </cell>
          <cell r="G19">
            <v>3330</v>
          </cell>
          <cell r="H19">
            <v>26259</v>
          </cell>
          <cell r="I19">
            <v>1715</v>
          </cell>
          <cell r="J19" t="str">
            <v>050200</v>
          </cell>
          <cell r="K19" t="str">
            <v>050000</v>
          </cell>
        </row>
        <row r="20">
          <cell r="A20">
            <v>50204</v>
          </cell>
          <cell r="B20" t="str">
            <v>AYACUCHO</v>
          </cell>
          <cell r="C20" t="str">
            <v>CANGALLO</v>
          </cell>
          <cell r="D20" t="str">
            <v>MARIA PARADO DE BELLIDO</v>
          </cell>
          <cell r="E20" t="str">
            <v>MARIA PARADO DE BELLIDO</v>
          </cell>
          <cell r="F20" t="str">
            <v>2</v>
          </cell>
          <cell r="G20">
            <v>3236</v>
          </cell>
          <cell r="H20">
            <v>12913</v>
          </cell>
          <cell r="I20">
            <v>712</v>
          </cell>
          <cell r="J20" t="str">
            <v>050200</v>
          </cell>
          <cell r="K20" t="str">
            <v>050000</v>
          </cell>
        </row>
        <row r="21">
          <cell r="A21">
            <v>50205</v>
          </cell>
          <cell r="B21" t="str">
            <v>AYACUCHO</v>
          </cell>
          <cell r="C21" t="str">
            <v>CANGALLO</v>
          </cell>
          <cell r="D21" t="str">
            <v>PARAS</v>
          </cell>
          <cell r="E21" t="str">
            <v>PARAS</v>
          </cell>
          <cell r="F21" t="str">
            <v>2</v>
          </cell>
          <cell r="G21">
            <v>3330</v>
          </cell>
          <cell r="H21">
            <v>79101</v>
          </cell>
          <cell r="I21">
            <v>1100</v>
          </cell>
          <cell r="J21" t="str">
            <v>050200</v>
          </cell>
          <cell r="K21" t="str">
            <v>050000</v>
          </cell>
        </row>
        <row r="22">
          <cell r="A22">
            <v>50206</v>
          </cell>
          <cell r="B22" t="str">
            <v>AYACUCHO</v>
          </cell>
          <cell r="C22" t="str">
            <v>CANGALLO</v>
          </cell>
          <cell r="D22" t="str">
            <v>TOTOS</v>
          </cell>
          <cell r="E22" t="str">
            <v>TOTOS</v>
          </cell>
          <cell r="F22" t="str">
            <v>2</v>
          </cell>
          <cell r="G22">
            <v>3286</v>
          </cell>
          <cell r="H22">
            <v>11290</v>
          </cell>
          <cell r="I22">
            <v>991</v>
          </cell>
          <cell r="J22" t="str">
            <v>050200</v>
          </cell>
          <cell r="K22" t="str">
            <v>050000</v>
          </cell>
        </row>
        <row r="23">
          <cell r="A23">
            <v>50301</v>
          </cell>
          <cell r="B23" t="str">
            <v>AYACUCHO</v>
          </cell>
          <cell r="C23" t="str">
            <v>HUANCASANCOS</v>
          </cell>
          <cell r="D23" t="str">
            <v>SANCOS</v>
          </cell>
          <cell r="E23" t="str">
            <v>SANCOS</v>
          </cell>
          <cell r="F23" t="str">
            <v>2</v>
          </cell>
          <cell r="G23">
            <v>3408</v>
          </cell>
          <cell r="H23">
            <v>128970</v>
          </cell>
          <cell r="I23">
            <v>729</v>
          </cell>
          <cell r="J23" t="str">
            <v>050300</v>
          </cell>
          <cell r="K23" t="str">
            <v>050000</v>
          </cell>
        </row>
        <row r="24">
          <cell r="A24">
            <v>50302</v>
          </cell>
          <cell r="B24" t="str">
            <v>AYACUCHO</v>
          </cell>
          <cell r="C24" t="str">
            <v>HUANCASANCOS</v>
          </cell>
          <cell r="D24" t="str">
            <v>CARAPO</v>
          </cell>
          <cell r="E24" t="str">
            <v>CARAPO</v>
          </cell>
          <cell r="F24" t="str">
            <v>2</v>
          </cell>
          <cell r="G24">
            <v>3188</v>
          </cell>
          <cell r="H24">
            <v>24134</v>
          </cell>
          <cell r="I24">
            <v>764</v>
          </cell>
          <cell r="J24" t="str">
            <v>050300</v>
          </cell>
          <cell r="K24" t="str">
            <v>050000</v>
          </cell>
        </row>
        <row r="25">
          <cell r="A25">
            <v>50303</v>
          </cell>
          <cell r="B25" t="str">
            <v>AYACUCHO</v>
          </cell>
          <cell r="C25" t="str">
            <v>HUANCASANCOS</v>
          </cell>
          <cell r="D25" t="str">
            <v>SACSAMARCA</v>
          </cell>
          <cell r="E25" t="str">
            <v>SACSAMARCA</v>
          </cell>
          <cell r="F25" t="str">
            <v>2</v>
          </cell>
          <cell r="G25">
            <v>3470</v>
          </cell>
          <cell r="H25">
            <v>67303</v>
          </cell>
          <cell r="I25">
            <v>625</v>
          </cell>
          <cell r="J25" t="str">
            <v>050300</v>
          </cell>
          <cell r="K25" t="str">
            <v>050000</v>
          </cell>
        </row>
        <row r="26">
          <cell r="A26">
            <v>50304</v>
          </cell>
          <cell r="B26" t="str">
            <v>AYACUCHO</v>
          </cell>
          <cell r="C26" t="str">
            <v>HUANCASANCOS</v>
          </cell>
          <cell r="D26" t="str">
            <v>SANTIAGO DE LUCANAMARCA</v>
          </cell>
          <cell r="E26" t="str">
            <v>SANTIAGO DE LUCANAMARCA</v>
          </cell>
          <cell r="F26" t="str">
            <v>2</v>
          </cell>
          <cell r="G26">
            <v>3489</v>
          </cell>
          <cell r="H26">
            <v>65826</v>
          </cell>
          <cell r="I26">
            <v>702</v>
          </cell>
          <cell r="J26" t="str">
            <v>050300</v>
          </cell>
          <cell r="K26" t="str">
            <v>050000</v>
          </cell>
        </row>
        <row r="27">
          <cell r="A27">
            <v>50401</v>
          </cell>
          <cell r="B27" t="str">
            <v>AYACUCHO</v>
          </cell>
          <cell r="C27" t="str">
            <v>HUANTA</v>
          </cell>
          <cell r="D27" t="str">
            <v>HUANTA</v>
          </cell>
          <cell r="E27" t="str">
            <v>HUANTA</v>
          </cell>
          <cell r="F27" t="str">
            <v>2</v>
          </cell>
          <cell r="G27">
            <v>2628</v>
          </cell>
          <cell r="H27">
            <v>37530</v>
          </cell>
          <cell r="I27">
            <v>3760</v>
          </cell>
          <cell r="J27" t="str">
            <v>050400</v>
          </cell>
          <cell r="K27" t="str">
            <v>050000</v>
          </cell>
        </row>
        <row r="28">
          <cell r="A28">
            <v>50402</v>
          </cell>
          <cell r="B28" t="str">
            <v>AYACUCHO</v>
          </cell>
          <cell r="C28" t="str">
            <v>HUANTA</v>
          </cell>
          <cell r="D28" t="str">
            <v>AYAHUANCO</v>
          </cell>
          <cell r="E28" t="str">
            <v>AYAHUANCO</v>
          </cell>
          <cell r="F28" t="str">
            <v>2</v>
          </cell>
          <cell r="G28">
            <v>3414</v>
          </cell>
          <cell r="H28">
            <v>87149</v>
          </cell>
          <cell r="I28">
            <v>753</v>
          </cell>
          <cell r="J28" t="str">
            <v>050400</v>
          </cell>
          <cell r="K28" t="str">
            <v>050000</v>
          </cell>
        </row>
        <row r="29">
          <cell r="A29">
            <v>50403</v>
          </cell>
          <cell r="B29" t="str">
            <v>AYACUCHO</v>
          </cell>
          <cell r="C29" t="str">
            <v>HUANTA</v>
          </cell>
          <cell r="D29" t="str">
            <v>HUAMANGUILLA</v>
          </cell>
          <cell r="E29" t="str">
            <v>HUAMANGUILLA</v>
          </cell>
          <cell r="F29" t="str">
            <v>2</v>
          </cell>
          <cell r="G29">
            <v>3276</v>
          </cell>
          <cell r="H29">
            <v>8803</v>
          </cell>
          <cell r="I29">
            <v>1236</v>
          </cell>
          <cell r="J29" t="str">
            <v>050400</v>
          </cell>
          <cell r="K29" t="str">
            <v>050000</v>
          </cell>
        </row>
        <row r="30">
          <cell r="A30">
            <v>50404</v>
          </cell>
          <cell r="B30" t="str">
            <v>AYACUCHO</v>
          </cell>
          <cell r="C30" t="str">
            <v>HUANTA</v>
          </cell>
          <cell r="D30" t="str">
            <v>IGUAIN</v>
          </cell>
          <cell r="E30" t="str">
            <v>IGUAIN</v>
          </cell>
          <cell r="F30" t="str">
            <v>2</v>
          </cell>
          <cell r="G30">
            <v>3025</v>
          </cell>
          <cell r="H30">
            <v>7485</v>
          </cell>
          <cell r="I30">
            <v>683</v>
          </cell>
          <cell r="J30" t="str">
            <v>050400</v>
          </cell>
          <cell r="K30" t="str">
            <v>050000</v>
          </cell>
        </row>
        <row r="31">
          <cell r="A31">
            <v>50405</v>
          </cell>
          <cell r="B31" t="str">
            <v>AYACUCHO</v>
          </cell>
          <cell r="C31" t="str">
            <v>HUANTA</v>
          </cell>
          <cell r="D31" t="str">
            <v>LURICOCHA</v>
          </cell>
          <cell r="E31" t="str">
            <v>LURICOCHA</v>
          </cell>
          <cell r="F31" t="str">
            <v>2</v>
          </cell>
          <cell r="G31">
            <v>2580</v>
          </cell>
          <cell r="H31">
            <v>13004</v>
          </cell>
          <cell r="I31">
            <v>951</v>
          </cell>
          <cell r="J31" t="str">
            <v>050400</v>
          </cell>
          <cell r="K31" t="str">
            <v>050000</v>
          </cell>
        </row>
        <row r="32">
          <cell r="A32">
            <v>50406</v>
          </cell>
          <cell r="B32" t="str">
            <v>AYACUCHO</v>
          </cell>
          <cell r="C32" t="str">
            <v>HUANTA</v>
          </cell>
          <cell r="D32" t="str">
            <v>SANTILLANA</v>
          </cell>
          <cell r="E32" t="str">
            <v>SANTILLANA</v>
          </cell>
          <cell r="F32" t="str">
            <v>2</v>
          </cell>
          <cell r="G32">
            <v>3262</v>
          </cell>
          <cell r="H32">
            <v>90210</v>
          </cell>
          <cell r="I32">
            <v>1199</v>
          </cell>
          <cell r="J32" t="str">
            <v>050400</v>
          </cell>
          <cell r="K32" t="str">
            <v>050000</v>
          </cell>
        </row>
        <row r="33">
          <cell r="A33">
            <v>50407</v>
          </cell>
          <cell r="B33" t="str">
            <v>AYACUCHO</v>
          </cell>
          <cell r="C33" t="str">
            <v>HUANTA</v>
          </cell>
          <cell r="D33" t="str">
            <v>SIVIA</v>
          </cell>
          <cell r="E33" t="str">
            <v>SIVIA</v>
          </cell>
          <cell r="F33" t="str">
            <v>2</v>
          </cell>
          <cell r="G33">
            <v>350</v>
          </cell>
          <cell r="H33">
            <v>143710</v>
          </cell>
          <cell r="I33">
            <v>2928</v>
          </cell>
          <cell r="J33" t="str">
            <v>050400</v>
          </cell>
          <cell r="K33" t="str">
            <v>050000</v>
          </cell>
        </row>
        <row r="34">
          <cell r="A34">
            <v>50408</v>
          </cell>
          <cell r="B34" t="str">
            <v>AYACUCHO</v>
          </cell>
          <cell r="C34" t="str">
            <v>HUANTA</v>
          </cell>
          <cell r="D34" t="str">
            <v>LLOCHEGUA</v>
          </cell>
          <cell r="J34" t="str">
            <v>050400</v>
          </cell>
          <cell r="K34" t="str">
            <v>050000</v>
          </cell>
        </row>
        <row r="35">
          <cell r="A35">
            <v>50501</v>
          </cell>
          <cell r="B35" t="str">
            <v>AYACUCHO</v>
          </cell>
          <cell r="C35" t="str">
            <v>LA MAR</v>
          </cell>
          <cell r="D35" t="str">
            <v>SAN MIGUEL</v>
          </cell>
          <cell r="E35" t="str">
            <v>SAN MIGUEL</v>
          </cell>
          <cell r="F35" t="str">
            <v>2</v>
          </cell>
          <cell r="G35">
            <v>2661</v>
          </cell>
          <cell r="H35">
            <v>90298</v>
          </cell>
          <cell r="I35">
            <v>3495</v>
          </cell>
          <cell r="J35" t="str">
            <v>050500</v>
          </cell>
          <cell r="K35" t="str">
            <v>050000</v>
          </cell>
        </row>
        <row r="36">
          <cell r="A36">
            <v>50502</v>
          </cell>
          <cell r="B36" t="str">
            <v>AYACUCHO</v>
          </cell>
          <cell r="C36" t="str">
            <v>LA MAR</v>
          </cell>
          <cell r="D36" t="str">
            <v>ANCO</v>
          </cell>
          <cell r="E36" t="str">
            <v>ANCO</v>
          </cell>
          <cell r="F36" t="str">
            <v>2</v>
          </cell>
          <cell r="G36">
            <v>3215</v>
          </cell>
          <cell r="H36">
            <v>109820</v>
          </cell>
          <cell r="I36">
            <v>2348</v>
          </cell>
          <cell r="J36" t="str">
            <v>050500</v>
          </cell>
          <cell r="K36" t="str">
            <v>050000</v>
          </cell>
        </row>
        <row r="37">
          <cell r="A37">
            <v>50503</v>
          </cell>
          <cell r="B37" t="str">
            <v>AYACUCHO</v>
          </cell>
          <cell r="C37" t="str">
            <v>LA MAR</v>
          </cell>
          <cell r="D37" t="str">
            <v>AYNA</v>
          </cell>
          <cell r="E37" t="str">
            <v>AYNA</v>
          </cell>
          <cell r="F37" t="str">
            <v>2</v>
          </cell>
          <cell r="G37">
            <v>470</v>
          </cell>
          <cell r="H37">
            <v>26573</v>
          </cell>
          <cell r="I37">
            <v>1433</v>
          </cell>
          <cell r="J37" t="str">
            <v>050500</v>
          </cell>
          <cell r="K37" t="str">
            <v>050000</v>
          </cell>
        </row>
        <row r="38">
          <cell r="A38">
            <v>50504</v>
          </cell>
          <cell r="B38" t="str">
            <v>AYACUCHO</v>
          </cell>
          <cell r="C38" t="str">
            <v>LA MAR</v>
          </cell>
          <cell r="D38" t="str">
            <v>CHILCAS</v>
          </cell>
          <cell r="E38" t="str">
            <v>CHILCAS</v>
          </cell>
          <cell r="F38" t="str">
            <v>2</v>
          </cell>
          <cell r="G38">
            <v>3220</v>
          </cell>
          <cell r="H38">
            <v>14963</v>
          </cell>
          <cell r="I38">
            <v>723</v>
          </cell>
          <cell r="J38" t="str">
            <v>050500</v>
          </cell>
          <cell r="K38" t="str">
            <v>050000</v>
          </cell>
        </row>
        <row r="39">
          <cell r="A39">
            <v>50505</v>
          </cell>
          <cell r="B39" t="str">
            <v>AYACUCHO</v>
          </cell>
          <cell r="C39" t="str">
            <v>LA MAR</v>
          </cell>
          <cell r="D39" t="str">
            <v>CHUNGUI</v>
          </cell>
          <cell r="E39" t="str">
            <v>CHUNGUI</v>
          </cell>
          <cell r="F39" t="str">
            <v>2</v>
          </cell>
          <cell r="G39">
            <v>3499</v>
          </cell>
          <cell r="H39">
            <v>106052</v>
          </cell>
          <cell r="I39">
            <v>1412</v>
          </cell>
          <cell r="J39" t="str">
            <v>050500</v>
          </cell>
          <cell r="K39" t="str">
            <v>050000</v>
          </cell>
        </row>
        <row r="40">
          <cell r="A40">
            <v>50506</v>
          </cell>
          <cell r="B40" t="str">
            <v>AYACUCHO</v>
          </cell>
          <cell r="C40" t="str">
            <v>LA MAR</v>
          </cell>
          <cell r="D40" t="str">
            <v>LUIS CARRANZA</v>
          </cell>
          <cell r="E40" t="str">
            <v>LUIS CARRANZA</v>
          </cell>
          <cell r="F40" t="str">
            <v>2</v>
          </cell>
          <cell r="G40">
            <v>2952</v>
          </cell>
          <cell r="H40">
            <v>20764</v>
          </cell>
          <cell r="I40">
            <v>556</v>
          </cell>
          <cell r="J40" t="str">
            <v>050500</v>
          </cell>
          <cell r="K40" t="str">
            <v>050000</v>
          </cell>
        </row>
        <row r="41">
          <cell r="A41">
            <v>50507</v>
          </cell>
          <cell r="B41" t="str">
            <v>AYACUCHO</v>
          </cell>
          <cell r="C41" t="str">
            <v>LA MAR</v>
          </cell>
          <cell r="D41" t="str">
            <v>SANTA ROSA</v>
          </cell>
          <cell r="E41" t="str">
            <v>SANTA ROSA</v>
          </cell>
          <cell r="F41" t="str">
            <v>2</v>
          </cell>
          <cell r="G41">
            <v>330</v>
          </cell>
          <cell r="H41">
            <v>37227</v>
          </cell>
          <cell r="I41">
            <v>1528</v>
          </cell>
          <cell r="J41" t="str">
            <v>050500</v>
          </cell>
          <cell r="K41" t="str">
            <v>050000</v>
          </cell>
        </row>
        <row r="42">
          <cell r="A42">
            <v>50508</v>
          </cell>
          <cell r="B42" t="str">
            <v>AYACUCHO</v>
          </cell>
          <cell r="C42" t="str">
            <v>LA MAR</v>
          </cell>
          <cell r="D42" t="str">
            <v>TAMBO</v>
          </cell>
          <cell r="E42" t="str">
            <v>TAMBO</v>
          </cell>
          <cell r="F42" t="str">
            <v>2</v>
          </cell>
          <cell r="G42">
            <v>3219</v>
          </cell>
          <cell r="H42">
            <v>33518</v>
          </cell>
          <cell r="I42">
            <v>1952</v>
          </cell>
          <cell r="J42" t="str">
            <v>050500</v>
          </cell>
          <cell r="K42" t="str">
            <v>050000</v>
          </cell>
        </row>
        <row r="43">
          <cell r="A43">
            <v>50601</v>
          </cell>
          <cell r="B43" t="str">
            <v>AYACUCHO</v>
          </cell>
          <cell r="C43" t="str">
            <v>LUCANAS</v>
          </cell>
          <cell r="D43" t="str">
            <v>PUQUIO</v>
          </cell>
          <cell r="E43" t="str">
            <v>PUQUIO</v>
          </cell>
          <cell r="F43" t="str">
            <v>2</v>
          </cell>
          <cell r="G43">
            <v>3214</v>
          </cell>
          <cell r="H43">
            <v>86643</v>
          </cell>
          <cell r="I43">
            <v>1865</v>
          </cell>
          <cell r="J43" t="str">
            <v>050600</v>
          </cell>
          <cell r="K43" t="str">
            <v>050000</v>
          </cell>
        </row>
        <row r="44">
          <cell r="A44">
            <v>50602</v>
          </cell>
          <cell r="B44" t="str">
            <v>AYACUCHO</v>
          </cell>
          <cell r="C44" t="str">
            <v>LUCANAS</v>
          </cell>
          <cell r="D44" t="str">
            <v>AUCARA</v>
          </cell>
          <cell r="E44" t="str">
            <v>AUCARA</v>
          </cell>
          <cell r="F44" t="str">
            <v>2</v>
          </cell>
          <cell r="G44">
            <v>3220</v>
          </cell>
          <cell r="H44">
            <v>90351</v>
          </cell>
          <cell r="I44">
            <v>1162</v>
          </cell>
          <cell r="J44" t="str">
            <v>050600</v>
          </cell>
          <cell r="K44" t="str">
            <v>050000</v>
          </cell>
        </row>
        <row r="45">
          <cell r="A45">
            <v>50603</v>
          </cell>
          <cell r="B45" t="str">
            <v>AYACUCHO</v>
          </cell>
          <cell r="C45" t="str">
            <v>LUCANAS</v>
          </cell>
          <cell r="D45" t="str">
            <v>CABANA</v>
          </cell>
          <cell r="E45" t="str">
            <v>CABANA</v>
          </cell>
          <cell r="F45" t="str">
            <v>2</v>
          </cell>
          <cell r="G45">
            <v>3282</v>
          </cell>
          <cell r="H45">
            <v>40262</v>
          </cell>
          <cell r="I45">
            <v>526</v>
          </cell>
          <cell r="J45" t="str">
            <v>050600</v>
          </cell>
          <cell r="K45" t="str">
            <v>050000</v>
          </cell>
        </row>
        <row r="46">
          <cell r="A46">
            <v>50604</v>
          </cell>
          <cell r="B46" t="str">
            <v>AYACUCHO</v>
          </cell>
          <cell r="C46" t="str">
            <v>LUCANAS</v>
          </cell>
          <cell r="D46" t="str">
            <v>CARMEN SALCEDO</v>
          </cell>
          <cell r="E46" t="str">
            <v>CARMEN SALCEDO</v>
          </cell>
          <cell r="F46" t="str">
            <v>2</v>
          </cell>
          <cell r="G46">
            <v>3437</v>
          </cell>
          <cell r="H46">
            <v>47366</v>
          </cell>
          <cell r="I46">
            <v>740</v>
          </cell>
          <cell r="J46" t="str">
            <v>050600</v>
          </cell>
          <cell r="K46" t="str">
            <v>050000</v>
          </cell>
        </row>
        <row r="47">
          <cell r="A47">
            <v>50605</v>
          </cell>
          <cell r="B47" t="str">
            <v>AYACUCHO</v>
          </cell>
          <cell r="C47" t="str">
            <v>LUCANAS</v>
          </cell>
          <cell r="D47" t="str">
            <v>CHAVIYA</v>
          </cell>
          <cell r="E47" t="str">
            <v>CHAVIYA</v>
          </cell>
          <cell r="F47" t="str">
            <v>2</v>
          </cell>
          <cell r="G47">
            <v>3310</v>
          </cell>
          <cell r="H47">
            <v>39909</v>
          </cell>
          <cell r="I47">
            <v>688</v>
          </cell>
          <cell r="J47" t="str">
            <v>050600</v>
          </cell>
          <cell r="K47" t="str">
            <v>050000</v>
          </cell>
        </row>
        <row r="48">
          <cell r="A48">
            <v>50606</v>
          </cell>
          <cell r="B48" t="str">
            <v>AYACUCHO</v>
          </cell>
          <cell r="C48" t="str">
            <v>LUCANAS</v>
          </cell>
          <cell r="D48" t="str">
            <v>CHIPAO</v>
          </cell>
          <cell r="E48" t="str">
            <v>CHIPAO</v>
          </cell>
          <cell r="F48" t="str">
            <v>2</v>
          </cell>
          <cell r="G48">
            <v>3420</v>
          </cell>
          <cell r="H48">
            <v>116691</v>
          </cell>
          <cell r="I48">
            <v>1046</v>
          </cell>
          <cell r="J48" t="str">
            <v>050600</v>
          </cell>
          <cell r="K48" t="str">
            <v>050000</v>
          </cell>
        </row>
        <row r="49">
          <cell r="A49">
            <v>50607</v>
          </cell>
          <cell r="B49" t="str">
            <v>AYACUCHO</v>
          </cell>
          <cell r="C49" t="str">
            <v>LUCANAS</v>
          </cell>
          <cell r="D49" t="str">
            <v>HUAC-HUAS</v>
          </cell>
          <cell r="E49" t="str">
            <v>HUAC-HUAS</v>
          </cell>
          <cell r="F49" t="str">
            <v>2</v>
          </cell>
          <cell r="G49">
            <v>3170</v>
          </cell>
          <cell r="H49">
            <v>30948</v>
          </cell>
          <cell r="I49">
            <v>758</v>
          </cell>
          <cell r="J49" t="str">
            <v>050600</v>
          </cell>
          <cell r="K49" t="str">
            <v>050000</v>
          </cell>
        </row>
        <row r="50">
          <cell r="A50">
            <v>50608</v>
          </cell>
          <cell r="B50" t="str">
            <v>AYACUCHO</v>
          </cell>
          <cell r="C50" t="str">
            <v>LUCANAS</v>
          </cell>
          <cell r="D50" t="str">
            <v>LARAMATE</v>
          </cell>
          <cell r="E50" t="str">
            <v>LARAMATE</v>
          </cell>
          <cell r="F50" t="str">
            <v>2</v>
          </cell>
          <cell r="G50">
            <v>3060</v>
          </cell>
          <cell r="H50">
            <v>78589</v>
          </cell>
          <cell r="I50">
            <v>1247</v>
          </cell>
          <cell r="J50" t="str">
            <v>050600</v>
          </cell>
          <cell r="K50" t="str">
            <v>050000</v>
          </cell>
        </row>
        <row r="51">
          <cell r="A51">
            <v>50609</v>
          </cell>
          <cell r="B51" t="str">
            <v>AYACUCHO</v>
          </cell>
          <cell r="C51" t="str">
            <v>LUCANAS</v>
          </cell>
          <cell r="D51" t="str">
            <v>LEONCIO PRADO</v>
          </cell>
          <cell r="E51" t="str">
            <v>LEONCIO PRADO</v>
          </cell>
          <cell r="F51" t="str">
            <v>2</v>
          </cell>
          <cell r="G51">
            <v>2685</v>
          </cell>
          <cell r="H51">
            <v>105360</v>
          </cell>
          <cell r="I51">
            <v>408</v>
          </cell>
          <cell r="J51" t="str">
            <v>050600</v>
          </cell>
          <cell r="K51" t="str">
            <v>050000</v>
          </cell>
        </row>
        <row r="52">
          <cell r="A52">
            <v>50610</v>
          </cell>
          <cell r="B52" t="str">
            <v>AYACUCHO</v>
          </cell>
          <cell r="C52" t="str">
            <v>LUCANAS</v>
          </cell>
          <cell r="D52" t="str">
            <v>LLAUTA</v>
          </cell>
          <cell r="E52" t="str">
            <v>LLAUTA</v>
          </cell>
          <cell r="F52" t="str">
            <v>2</v>
          </cell>
          <cell r="G52">
            <v>2667</v>
          </cell>
          <cell r="H52">
            <v>48207</v>
          </cell>
          <cell r="I52">
            <v>341</v>
          </cell>
          <cell r="J52" t="str">
            <v>050600</v>
          </cell>
          <cell r="K52" t="str">
            <v>050000</v>
          </cell>
        </row>
        <row r="53">
          <cell r="A53">
            <v>50611</v>
          </cell>
          <cell r="B53" t="str">
            <v>AYACUCHO</v>
          </cell>
          <cell r="C53" t="str">
            <v>LUCANAS</v>
          </cell>
          <cell r="D53" t="str">
            <v>LUCANAS</v>
          </cell>
          <cell r="E53" t="str">
            <v>LUCANAS</v>
          </cell>
          <cell r="F53" t="str">
            <v>2</v>
          </cell>
          <cell r="G53">
            <v>3375</v>
          </cell>
          <cell r="H53">
            <v>120578</v>
          </cell>
          <cell r="I53">
            <v>992</v>
          </cell>
          <cell r="J53" t="str">
            <v>050600</v>
          </cell>
          <cell r="K53" t="str">
            <v>050000</v>
          </cell>
        </row>
        <row r="54">
          <cell r="A54">
            <v>50612</v>
          </cell>
          <cell r="B54" t="str">
            <v>AYACUCHO</v>
          </cell>
          <cell r="C54" t="str">
            <v>LUCANAS</v>
          </cell>
          <cell r="D54" t="str">
            <v>OCAYA</v>
          </cell>
          <cell r="E54" t="str">
            <v>OCAYA</v>
          </cell>
          <cell r="F54" t="str">
            <v>2</v>
          </cell>
          <cell r="G54">
            <v>2660</v>
          </cell>
          <cell r="H54">
            <v>84836</v>
          </cell>
          <cell r="I54">
            <v>860</v>
          </cell>
          <cell r="J54" t="str">
            <v>050600</v>
          </cell>
          <cell r="K54" t="str">
            <v>050000</v>
          </cell>
        </row>
        <row r="55">
          <cell r="A55">
            <v>50613</v>
          </cell>
          <cell r="B55" t="str">
            <v>AYACUCHO</v>
          </cell>
          <cell r="C55" t="str">
            <v>LUCANAS</v>
          </cell>
          <cell r="D55" t="str">
            <v>OTOCA</v>
          </cell>
          <cell r="E55" t="str">
            <v>OTOCA</v>
          </cell>
          <cell r="F55" t="str">
            <v>1</v>
          </cell>
          <cell r="G55">
            <v>1800</v>
          </cell>
          <cell r="H55">
            <v>72020</v>
          </cell>
          <cell r="I55">
            <v>419</v>
          </cell>
          <cell r="J55" t="str">
            <v>050600</v>
          </cell>
          <cell r="K55" t="str">
            <v>050000</v>
          </cell>
        </row>
        <row r="56">
          <cell r="A56">
            <v>50614</v>
          </cell>
          <cell r="B56" t="str">
            <v>AYACUCHO</v>
          </cell>
          <cell r="C56" t="str">
            <v>LUCANAS</v>
          </cell>
          <cell r="D56" t="str">
            <v>SAISA</v>
          </cell>
          <cell r="E56" t="str">
            <v>SAISA</v>
          </cell>
          <cell r="F56" t="str">
            <v>2</v>
          </cell>
          <cell r="G56">
            <v>3075</v>
          </cell>
          <cell r="H56">
            <v>58540</v>
          </cell>
          <cell r="I56">
            <v>180</v>
          </cell>
          <cell r="J56" t="str">
            <v>050600</v>
          </cell>
          <cell r="K56" t="str">
            <v>050000</v>
          </cell>
        </row>
        <row r="57">
          <cell r="A57">
            <v>50615</v>
          </cell>
          <cell r="B57" t="str">
            <v>AYACUCHO</v>
          </cell>
          <cell r="C57" t="str">
            <v>LUCANAS</v>
          </cell>
          <cell r="D57" t="str">
            <v>SAN CRISTOBAL</v>
          </cell>
          <cell r="E57" t="str">
            <v>SAN CRISTOBAL</v>
          </cell>
          <cell r="F57" t="str">
            <v>2</v>
          </cell>
          <cell r="G57">
            <v>3550</v>
          </cell>
          <cell r="H57">
            <v>39183</v>
          </cell>
          <cell r="I57">
            <v>342</v>
          </cell>
          <cell r="J57" t="str">
            <v>050600</v>
          </cell>
          <cell r="K57" t="str">
            <v>050000</v>
          </cell>
        </row>
        <row r="58">
          <cell r="A58">
            <v>50616</v>
          </cell>
          <cell r="B58" t="str">
            <v>AYACUCHO</v>
          </cell>
          <cell r="C58" t="str">
            <v>LUCANAS</v>
          </cell>
          <cell r="D58" t="str">
            <v>SAN JUAN</v>
          </cell>
          <cell r="E58" t="str">
            <v>SAN JUAN</v>
          </cell>
          <cell r="F58" t="str">
            <v>2</v>
          </cell>
          <cell r="G58">
            <v>3282</v>
          </cell>
          <cell r="H58">
            <v>4459</v>
          </cell>
          <cell r="I58">
            <v>231</v>
          </cell>
          <cell r="J58" t="str">
            <v>050600</v>
          </cell>
          <cell r="K58" t="str">
            <v>050000</v>
          </cell>
        </row>
        <row r="59">
          <cell r="A59">
            <v>50617</v>
          </cell>
          <cell r="B59" t="str">
            <v>AYACUCHO</v>
          </cell>
          <cell r="C59" t="str">
            <v>LUCANAS</v>
          </cell>
          <cell r="D59" t="str">
            <v>SAN PEDRO</v>
          </cell>
          <cell r="E59" t="str">
            <v>SAN PEDRO</v>
          </cell>
          <cell r="F59" t="str">
            <v>2</v>
          </cell>
          <cell r="G59">
            <v>3097</v>
          </cell>
          <cell r="H59">
            <v>73303</v>
          </cell>
          <cell r="I59">
            <v>862</v>
          </cell>
          <cell r="J59" t="str">
            <v>050600</v>
          </cell>
          <cell r="K59" t="str">
            <v>050000</v>
          </cell>
        </row>
        <row r="60">
          <cell r="A60">
            <v>50618</v>
          </cell>
          <cell r="B60" t="str">
            <v>AYACUCHO</v>
          </cell>
          <cell r="C60" t="str">
            <v>LUCANAS</v>
          </cell>
          <cell r="D60" t="str">
            <v>SAN PEDRO DE PALCO</v>
          </cell>
          <cell r="E60" t="str">
            <v>SAN PEDRO DE PALCO</v>
          </cell>
          <cell r="F60" t="str">
            <v>2</v>
          </cell>
          <cell r="G60">
            <v>2702</v>
          </cell>
          <cell r="H60">
            <v>53155</v>
          </cell>
          <cell r="I60">
            <v>700</v>
          </cell>
          <cell r="J60" t="str">
            <v>050600</v>
          </cell>
          <cell r="K60" t="str">
            <v>050000</v>
          </cell>
        </row>
        <row r="61">
          <cell r="A61">
            <v>50619</v>
          </cell>
          <cell r="B61" t="str">
            <v>AYACUCHO</v>
          </cell>
          <cell r="C61" t="str">
            <v>LUCANAS</v>
          </cell>
          <cell r="D61" t="str">
            <v>SANCOS</v>
          </cell>
          <cell r="E61" t="str">
            <v>SANCOS</v>
          </cell>
          <cell r="F61" t="str">
            <v>2</v>
          </cell>
          <cell r="G61">
            <v>2817</v>
          </cell>
          <cell r="H61">
            <v>152087</v>
          </cell>
          <cell r="I61">
            <v>701</v>
          </cell>
          <cell r="J61" t="str">
            <v>050600</v>
          </cell>
          <cell r="K61" t="str">
            <v>050000</v>
          </cell>
        </row>
        <row r="62">
          <cell r="A62">
            <v>50620</v>
          </cell>
          <cell r="B62" t="str">
            <v>AYACUCHO</v>
          </cell>
          <cell r="C62" t="str">
            <v>LUCANAS</v>
          </cell>
          <cell r="D62" t="str">
            <v>SANTA ANA DE HUAYCAHUACHO</v>
          </cell>
          <cell r="E62" t="str">
            <v>SANTA ANA DE HUAYCAHUACHO</v>
          </cell>
          <cell r="F62" t="str">
            <v>2</v>
          </cell>
          <cell r="G62">
            <v>2967</v>
          </cell>
          <cell r="H62">
            <v>5063</v>
          </cell>
          <cell r="I62">
            <v>257</v>
          </cell>
          <cell r="J62" t="str">
            <v>050600</v>
          </cell>
          <cell r="K62" t="str">
            <v>050000</v>
          </cell>
        </row>
        <row r="63">
          <cell r="A63">
            <v>50621</v>
          </cell>
          <cell r="B63" t="str">
            <v>AYACUCHO</v>
          </cell>
          <cell r="C63" t="str">
            <v>LUCANAS</v>
          </cell>
          <cell r="D63" t="str">
            <v>SANTA LUCIA</v>
          </cell>
          <cell r="E63" t="str">
            <v>SANTA LUCIA</v>
          </cell>
          <cell r="F63" t="str">
            <v>2</v>
          </cell>
          <cell r="G63">
            <v>2343</v>
          </cell>
          <cell r="H63">
            <v>101914</v>
          </cell>
          <cell r="I63">
            <v>225</v>
          </cell>
          <cell r="J63" t="str">
            <v>050600</v>
          </cell>
          <cell r="K63" t="str">
            <v>050000</v>
          </cell>
        </row>
        <row r="64">
          <cell r="A64">
            <v>50701</v>
          </cell>
          <cell r="B64" t="str">
            <v>AYACUCHO</v>
          </cell>
          <cell r="C64" t="str">
            <v>PARINACOCHAS</v>
          </cell>
          <cell r="D64" t="str">
            <v>CORACORA</v>
          </cell>
          <cell r="E64" t="str">
            <v>CORACORA</v>
          </cell>
          <cell r="F64" t="str">
            <v>2</v>
          </cell>
          <cell r="G64">
            <v>3175</v>
          </cell>
          <cell r="H64">
            <v>139941</v>
          </cell>
          <cell r="I64">
            <v>1766</v>
          </cell>
          <cell r="J64" t="str">
            <v>050700</v>
          </cell>
          <cell r="K64" t="str">
            <v>050000</v>
          </cell>
        </row>
        <row r="65">
          <cell r="A65">
            <v>50702</v>
          </cell>
          <cell r="B65" t="str">
            <v>AYACUCHO</v>
          </cell>
          <cell r="C65" t="str">
            <v>PARINACOCHAS</v>
          </cell>
          <cell r="D65" t="str">
            <v>CHUMPI</v>
          </cell>
          <cell r="E65" t="str">
            <v>CHUMPI</v>
          </cell>
          <cell r="F65" t="str">
            <v>2</v>
          </cell>
          <cell r="G65">
            <v>3201</v>
          </cell>
          <cell r="H65">
            <v>36630</v>
          </cell>
          <cell r="I65">
            <v>862</v>
          </cell>
          <cell r="J65" t="str">
            <v>050700</v>
          </cell>
          <cell r="K65" t="str">
            <v>050000</v>
          </cell>
        </row>
        <row r="66">
          <cell r="A66">
            <v>50703</v>
          </cell>
          <cell r="B66" t="str">
            <v>AYACUCHO</v>
          </cell>
          <cell r="C66" t="str">
            <v>PARINACOCHAS</v>
          </cell>
          <cell r="D66" t="str">
            <v>CORONEL CASTAYEDA</v>
          </cell>
          <cell r="E66" t="str">
            <v>CORONEL CASTAYEDA</v>
          </cell>
          <cell r="F66" t="str">
            <v>2</v>
          </cell>
          <cell r="G66">
            <v>3620</v>
          </cell>
          <cell r="H66">
            <v>110804</v>
          </cell>
          <cell r="I66">
            <v>211</v>
          </cell>
          <cell r="J66" t="str">
            <v>050700</v>
          </cell>
          <cell r="K66" t="str">
            <v>050000</v>
          </cell>
        </row>
        <row r="67">
          <cell r="A67">
            <v>50704</v>
          </cell>
          <cell r="B67" t="str">
            <v>AYACUCHO</v>
          </cell>
          <cell r="C67" t="str">
            <v>PARINACOCHAS</v>
          </cell>
          <cell r="D67" t="str">
            <v>PACAPAUSA</v>
          </cell>
          <cell r="E67" t="str">
            <v>PACAPAUSA</v>
          </cell>
          <cell r="F67" t="str">
            <v>2</v>
          </cell>
          <cell r="G67">
            <v>2852</v>
          </cell>
          <cell r="H67">
            <v>14430</v>
          </cell>
          <cell r="I67">
            <v>181</v>
          </cell>
          <cell r="J67" t="str">
            <v>050700</v>
          </cell>
          <cell r="K67" t="str">
            <v>050000</v>
          </cell>
        </row>
        <row r="68">
          <cell r="A68">
            <v>50705</v>
          </cell>
          <cell r="B68" t="str">
            <v>AYACUCHO</v>
          </cell>
          <cell r="C68" t="str">
            <v>PARINACOCHAS</v>
          </cell>
          <cell r="D68" t="str">
            <v>PULLO</v>
          </cell>
          <cell r="E68" t="str">
            <v>PULLO</v>
          </cell>
          <cell r="F68" t="str">
            <v>2</v>
          </cell>
          <cell r="G68">
            <v>3030</v>
          </cell>
          <cell r="H68">
            <v>156234</v>
          </cell>
          <cell r="I68">
            <v>762</v>
          </cell>
          <cell r="J68" t="str">
            <v>050700</v>
          </cell>
          <cell r="K68" t="str">
            <v>050000</v>
          </cell>
        </row>
        <row r="69">
          <cell r="A69">
            <v>50706</v>
          </cell>
          <cell r="B69" t="str">
            <v>AYACUCHO</v>
          </cell>
          <cell r="C69" t="str">
            <v>PARINACOCHAS</v>
          </cell>
          <cell r="D69" t="str">
            <v>PUYUSCA</v>
          </cell>
          <cell r="E69" t="str">
            <v>PUYUSCA</v>
          </cell>
          <cell r="F69" t="str">
            <v>2</v>
          </cell>
          <cell r="G69">
            <v>3290</v>
          </cell>
          <cell r="H69">
            <v>70075</v>
          </cell>
          <cell r="I69">
            <v>882</v>
          </cell>
          <cell r="J69" t="str">
            <v>050700</v>
          </cell>
          <cell r="K69" t="str">
            <v>050000</v>
          </cell>
        </row>
        <row r="70">
          <cell r="A70">
            <v>50707</v>
          </cell>
          <cell r="B70" t="str">
            <v>AYACUCHO</v>
          </cell>
          <cell r="C70" t="str">
            <v>PARINACOCHAS</v>
          </cell>
          <cell r="D70" t="str">
            <v>SAN FRANCISCO DE RAVACAYCO</v>
          </cell>
          <cell r="E70" t="str">
            <v>SAN FRANCISCO DE RAVACAYCO</v>
          </cell>
          <cell r="F70" t="str">
            <v>2</v>
          </cell>
          <cell r="G70">
            <v>2852</v>
          </cell>
          <cell r="H70">
            <v>9983</v>
          </cell>
          <cell r="I70">
            <v>223</v>
          </cell>
          <cell r="J70" t="str">
            <v>050700</v>
          </cell>
          <cell r="K70" t="str">
            <v>050000</v>
          </cell>
        </row>
        <row r="71">
          <cell r="A71">
            <v>50708</v>
          </cell>
          <cell r="B71" t="str">
            <v>AYACUCHO</v>
          </cell>
          <cell r="C71" t="str">
            <v>PARINACOCHAS</v>
          </cell>
          <cell r="D71" t="str">
            <v>UPAHUACHO</v>
          </cell>
          <cell r="E71" t="str">
            <v>UPAHUACHO</v>
          </cell>
          <cell r="F71" t="str">
            <v>2</v>
          </cell>
          <cell r="G71">
            <v>3319</v>
          </cell>
          <cell r="H71">
            <v>58735</v>
          </cell>
          <cell r="I71">
            <v>607</v>
          </cell>
          <cell r="J71" t="str">
            <v>050700</v>
          </cell>
          <cell r="K71" t="str">
            <v>050000</v>
          </cell>
        </row>
        <row r="72">
          <cell r="A72">
            <v>50801</v>
          </cell>
          <cell r="B72" t="str">
            <v>AYACUCHO</v>
          </cell>
          <cell r="C72" t="str">
            <v>PAUCAR DEL SARA SARA</v>
          </cell>
          <cell r="D72" t="str">
            <v>PAUSA</v>
          </cell>
          <cell r="E72" t="str">
            <v>PAUSA</v>
          </cell>
          <cell r="F72" t="str">
            <v>2</v>
          </cell>
          <cell r="G72">
            <v>2524</v>
          </cell>
          <cell r="H72">
            <v>24278</v>
          </cell>
          <cell r="I72">
            <v>709</v>
          </cell>
          <cell r="J72" t="str">
            <v>050800</v>
          </cell>
          <cell r="K72" t="str">
            <v>050000</v>
          </cell>
        </row>
        <row r="73">
          <cell r="A73">
            <v>50802</v>
          </cell>
          <cell r="B73" t="str">
            <v>AYACUCHO</v>
          </cell>
          <cell r="C73" t="str">
            <v>PAUCAR DEL SARA SARA</v>
          </cell>
          <cell r="D73" t="str">
            <v>COLTA</v>
          </cell>
          <cell r="E73" t="str">
            <v>COLTA</v>
          </cell>
          <cell r="F73" t="str">
            <v>2</v>
          </cell>
          <cell r="G73">
            <v>3300</v>
          </cell>
          <cell r="H73">
            <v>27729</v>
          </cell>
          <cell r="I73">
            <v>182</v>
          </cell>
          <cell r="J73" t="str">
            <v>050800</v>
          </cell>
          <cell r="K73" t="str">
            <v>050000</v>
          </cell>
        </row>
        <row r="74">
          <cell r="A74">
            <v>50803</v>
          </cell>
          <cell r="B74" t="str">
            <v>AYACUCHO</v>
          </cell>
          <cell r="C74" t="str">
            <v>PAUCAR DEL SARA SARA</v>
          </cell>
          <cell r="D74" t="str">
            <v>CORCULLA</v>
          </cell>
          <cell r="E74" t="str">
            <v>CORCULLA</v>
          </cell>
          <cell r="F74" t="str">
            <v>2</v>
          </cell>
          <cell r="G74">
            <v>3470</v>
          </cell>
          <cell r="H74">
            <v>9705</v>
          </cell>
          <cell r="I74">
            <v>175</v>
          </cell>
          <cell r="J74" t="str">
            <v>050800</v>
          </cell>
          <cell r="K74" t="str">
            <v>050000</v>
          </cell>
        </row>
        <row r="75">
          <cell r="A75">
            <v>50804</v>
          </cell>
          <cell r="B75" t="str">
            <v>AYACUCHO</v>
          </cell>
          <cell r="C75" t="str">
            <v>PAUCAR DEL SARA SARA</v>
          </cell>
          <cell r="D75" t="str">
            <v>LAMPA</v>
          </cell>
          <cell r="E75" t="str">
            <v>LAMPA</v>
          </cell>
          <cell r="F75" t="str">
            <v>2</v>
          </cell>
          <cell r="G75">
            <v>2850</v>
          </cell>
          <cell r="H75">
            <v>28945</v>
          </cell>
          <cell r="I75">
            <v>472</v>
          </cell>
          <cell r="J75" t="str">
            <v>050800</v>
          </cell>
          <cell r="K75" t="str">
            <v>050000</v>
          </cell>
        </row>
        <row r="76">
          <cell r="A76">
            <v>50805</v>
          </cell>
          <cell r="B76" t="str">
            <v>AYACUCHO</v>
          </cell>
          <cell r="C76" t="str">
            <v>PAUCAR DEL SARA SARA</v>
          </cell>
          <cell r="D76" t="str">
            <v>MARCABAMBA</v>
          </cell>
          <cell r="E76" t="str">
            <v>MARCABAMBA</v>
          </cell>
          <cell r="F76" t="str">
            <v>2</v>
          </cell>
          <cell r="G76">
            <v>2600</v>
          </cell>
          <cell r="H76">
            <v>12253</v>
          </cell>
          <cell r="I76">
            <v>184</v>
          </cell>
          <cell r="J76" t="str">
            <v>050800</v>
          </cell>
          <cell r="K76" t="str">
            <v>050000</v>
          </cell>
        </row>
        <row r="77">
          <cell r="A77">
            <v>50806</v>
          </cell>
          <cell r="B77" t="str">
            <v>AYACUCHO</v>
          </cell>
          <cell r="C77" t="str">
            <v>PAUCAR DEL SARA SARA</v>
          </cell>
          <cell r="D77" t="str">
            <v>OYOLO</v>
          </cell>
          <cell r="E77" t="str">
            <v>OYOLO</v>
          </cell>
          <cell r="F77" t="str">
            <v>2</v>
          </cell>
          <cell r="G77">
            <v>3400</v>
          </cell>
          <cell r="H77">
            <v>82013</v>
          </cell>
          <cell r="I77">
            <v>342</v>
          </cell>
          <cell r="J77" t="str">
            <v>050800</v>
          </cell>
          <cell r="K77" t="str">
            <v>050000</v>
          </cell>
        </row>
        <row r="78">
          <cell r="A78">
            <v>50807</v>
          </cell>
          <cell r="B78" t="str">
            <v>AYACUCHO</v>
          </cell>
          <cell r="C78" t="str">
            <v>PAUCAR DEL SARA SARA</v>
          </cell>
          <cell r="D78" t="str">
            <v>PARARCA</v>
          </cell>
          <cell r="E78" t="str">
            <v>PARARCA</v>
          </cell>
          <cell r="F78" t="str">
            <v>2</v>
          </cell>
          <cell r="G78">
            <v>3019</v>
          </cell>
          <cell r="H78">
            <v>5791</v>
          </cell>
          <cell r="I78">
            <v>234</v>
          </cell>
          <cell r="J78" t="str">
            <v>050800</v>
          </cell>
          <cell r="K78" t="str">
            <v>050000</v>
          </cell>
        </row>
        <row r="79">
          <cell r="A79">
            <v>50808</v>
          </cell>
          <cell r="B79" t="str">
            <v>AYACUCHO</v>
          </cell>
          <cell r="C79" t="str">
            <v>PAUCAR DEL SARA SARA</v>
          </cell>
          <cell r="D79" t="str">
            <v>SAN JAVIER DE ALPABAMBA</v>
          </cell>
          <cell r="E79" t="str">
            <v>SAN JAVIER DE ALPABAMBA</v>
          </cell>
          <cell r="F79" t="str">
            <v>2</v>
          </cell>
          <cell r="G79">
            <v>2630</v>
          </cell>
          <cell r="H79">
            <v>9287</v>
          </cell>
          <cell r="I79">
            <v>143</v>
          </cell>
          <cell r="J79" t="str">
            <v>050800</v>
          </cell>
          <cell r="K79" t="str">
            <v>050000</v>
          </cell>
        </row>
        <row r="80">
          <cell r="A80">
            <v>50809</v>
          </cell>
          <cell r="B80" t="str">
            <v>AYACUCHO</v>
          </cell>
          <cell r="C80" t="str">
            <v>PAUCAR DEL SARA SARA</v>
          </cell>
          <cell r="D80" t="str">
            <v>SAN JOSE DE USHUA</v>
          </cell>
          <cell r="E80" t="str">
            <v>SAN JOSE DE USHUA</v>
          </cell>
          <cell r="F80" t="str">
            <v>2</v>
          </cell>
          <cell r="G80">
            <v>3040</v>
          </cell>
          <cell r="H80">
            <v>1733</v>
          </cell>
          <cell r="I80">
            <v>50</v>
          </cell>
          <cell r="J80" t="str">
            <v>050800</v>
          </cell>
          <cell r="K80" t="str">
            <v>050000</v>
          </cell>
        </row>
        <row r="81">
          <cell r="A81">
            <v>50810</v>
          </cell>
          <cell r="B81" t="str">
            <v>AYACUCHO</v>
          </cell>
          <cell r="C81" t="str">
            <v>PAUCAR DEL SARA SARA</v>
          </cell>
          <cell r="D81" t="str">
            <v>SARA SARA</v>
          </cell>
          <cell r="E81" t="str">
            <v>SARA SARA</v>
          </cell>
          <cell r="F81" t="str">
            <v>2</v>
          </cell>
          <cell r="G81">
            <v>3300</v>
          </cell>
          <cell r="H81">
            <v>7958</v>
          </cell>
          <cell r="I81">
            <v>179</v>
          </cell>
          <cell r="J81" t="str">
            <v>050800</v>
          </cell>
          <cell r="K81" t="str">
            <v>050000</v>
          </cell>
        </row>
        <row r="82">
          <cell r="A82">
            <v>50901</v>
          </cell>
          <cell r="B82" t="str">
            <v>AYACUCHO</v>
          </cell>
          <cell r="C82" t="str">
            <v>SUCRE</v>
          </cell>
          <cell r="D82" t="str">
            <v>QUEROBAMBA</v>
          </cell>
          <cell r="E82" t="str">
            <v>QUEROBAMBA</v>
          </cell>
          <cell r="F82" t="str">
            <v>2</v>
          </cell>
          <cell r="G82">
            <v>3502</v>
          </cell>
          <cell r="H82">
            <v>27565</v>
          </cell>
          <cell r="I82">
            <v>531</v>
          </cell>
          <cell r="J82" t="str">
            <v>050900</v>
          </cell>
          <cell r="K82" t="str">
            <v>050000</v>
          </cell>
        </row>
        <row r="83">
          <cell r="A83">
            <v>50902</v>
          </cell>
          <cell r="B83" t="str">
            <v>AYACUCHO</v>
          </cell>
          <cell r="C83" t="str">
            <v>SUCRE</v>
          </cell>
          <cell r="D83" t="str">
            <v>BELEN</v>
          </cell>
          <cell r="E83" t="str">
            <v>BELEN</v>
          </cell>
          <cell r="F83" t="str">
            <v>2</v>
          </cell>
          <cell r="G83">
            <v>3195</v>
          </cell>
          <cell r="H83">
            <v>4146</v>
          </cell>
          <cell r="I83">
            <v>149</v>
          </cell>
          <cell r="J83" t="str">
            <v>050900</v>
          </cell>
          <cell r="K83" t="str">
            <v>050000</v>
          </cell>
        </row>
        <row r="84">
          <cell r="A84">
            <v>50903</v>
          </cell>
          <cell r="B84" t="str">
            <v>AYACUCHO</v>
          </cell>
          <cell r="C84" t="str">
            <v>SUCRE</v>
          </cell>
          <cell r="D84" t="str">
            <v>CHALCOS</v>
          </cell>
          <cell r="E84" t="str">
            <v>CHALCOS</v>
          </cell>
          <cell r="F84" t="str">
            <v>2</v>
          </cell>
          <cell r="G84">
            <v>3645</v>
          </cell>
          <cell r="H84">
            <v>5843</v>
          </cell>
          <cell r="I84">
            <v>200</v>
          </cell>
          <cell r="J84" t="str">
            <v>050900</v>
          </cell>
          <cell r="K84" t="str">
            <v>050000</v>
          </cell>
        </row>
        <row r="85">
          <cell r="A85">
            <v>50904</v>
          </cell>
          <cell r="B85" t="str">
            <v>AYACUCHO</v>
          </cell>
          <cell r="C85" t="str">
            <v>SUCRE</v>
          </cell>
          <cell r="D85" t="str">
            <v>CHILCAYOC</v>
          </cell>
          <cell r="E85" t="str">
            <v>CHILCAYOC</v>
          </cell>
          <cell r="F85" t="str">
            <v>2</v>
          </cell>
          <cell r="G85">
            <v>3373</v>
          </cell>
          <cell r="H85">
            <v>3306</v>
          </cell>
          <cell r="I85">
            <v>206</v>
          </cell>
          <cell r="J85" t="str">
            <v>050900</v>
          </cell>
          <cell r="K85" t="str">
            <v>050000</v>
          </cell>
        </row>
        <row r="86">
          <cell r="A86">
            <v>50905</v>
          </cell>
          <cell r="B86" t="str">
            <v>AYACUCHO</v>
          </cell>
          <cell r="C86" t="str">
            <v>SUCRE</v>
          </cell>
          <cell r="D86" t="str">
            <v>HUACAYA</v>
          </cell>
          <cell r="E86" t="str">
            <v>HUACAYA</v>
          </cell>
          <cell r="F86" t="str">
            <v>2</v>
          </cell>
          <cell r="G86">
            <v>3170</v>
          </cell>
          <cell r="H86">
            <v>13273</v>
          </cell>
          <cell r="I86">
            <v>137</v>
          </cell>
          <cell r="J86" t="str">
            <v>050900</v>
          </cell>
          <cell r="K86" t="str">
            <v>050000</v>
          </cell>
        </row>
        <row r="87">
          <cell r="A87">
            <v>50906</v>
          </cell>
          <cell r="B87" t="str">
            <v>AYACUCHO</v>
          </cell>
          <cell r="C87" t="str">
            <v>SUCRE</v>
          </cell>
          <cell r="D87" t="str">
            <v>MORCOLLA</v>
          </cell>
          <cell r="E87" t="str">
            <v>MORCOLLA</v>
          </cell>
          <cell r="F87" t="str">
            <v>2</v>
          </cell>
          <cell r="G87">
            <v>3459</v>
          </cell>
          <cell r="H87">
            <v>28934</v>
          </cell>
          <cell r="I87">
            <v>463</v>
          </cell>
          <cell r="J87" t="str">
            <v>050900</v>
          </cell>
          <cell r="K87" t="str">
            <v>050000</v>
          </cell>
        </row>
        <row r="88">
          <cell r="A88">
            <v>50907</v>
          </cell>
          <cell r="B88" t="str">
            <v>AYACUCHO</v>
          </cell>
          <cell r="C88" t="str">
            <v>SUCRE</v>
          </cell>
          <cell r="D88" t="str">
            <v>PAICO</v>
          </cell>
          <cell r="E88" t="str">
            <v>PAICO</v>
          </cell>
          <cell r="F88" t="str">
            <v>2</v>
          </cell>
          <cell r="G88">
            <v>3073</v>
          </cell>
          <cell r="H88">
            <v>7965</v>
          </cell>
          <cell r="I88">
            <v>238</v>
          </cell>
          <cell r="J88" t="str">
            <v>050900</v>
          </cell>
          <cell r="K88" t="str">
            <v>050000</v>
          </cell>
        </row>
        <row r="89">
          <cell r="A89">
            <v>50908</v>
          </cell>
          <cell r="B89" t="str">
            <v>AYACUCHO</v>
          </cell>
          <cell r="C89" t="str">
            <v>SUCRE</v>
          </cell>
          <cell r="D89" t="str">
            <v>SAN PEDRO DE LARCAY</v>
          </cell>
          <cell r="E89" t="str">
            <v>SAN PEDRO DE LARCAY</v>
          </cell>
          <cell r="F89" t="str">
            <v>2</v>
          </cell>
          <cell r="G89">
            <v>3376</v>
          </cell>
          <cell r="H89">
            <v>31007</v>
          </cell>
          <cell r="I89">
            <v>168</v>
          </cell>
          <cell r="J89" t="str">
            <v>050900</v>
          </cell>
          <cell r="K89" t="str">
            <v>050000</v>
          </cell>
        </row>
        <row r="90">
          <cell r="A90">
            <v>50909</v>
          </cell>
          <cell r="B90" t="str">
            <v>AYACUCHO</v>
          </cell>
          <cell r="C90" t="str">
            <v>SUCRE</v>
          </cell>
          <cell r="D90" t="str">
            <v>SAN SALVADOR DE QUIJE</v>
          </cell>
          <cell r="E90" t="str">
            <v>SAN SALVADOR DE QUIJE</v>
          </cell>
          <cell r="F90" t="str">
            <v>2</v>
          </cell>
          <cell r="G90">
            <v>3210</v>
          </cell>
          <cell r="H90">
            <v>14463</v>
          </cell>
          <cell r="I90">
            <v>339</v>
          </cell>
          <cell r="J90" t="str">
            <v>050900</v>
          </cell>
          <cell r="K90" t="str">
            <v>050000</v>
          </cell>
        </row>
        <row r="91">
          <cell r="A91">
            <v>50910</v>
          </cell>
          <cell r="B91" t="str">
            <v>AYACUCHO</v>
          </cell>
          <cell r="C91" t="str">
            <v>SUCRE</v>
          </cell>
          <cell r="D91" t="str">
            <v>SANTIAGO DE PAUCARAY</v>
          </cell>
          <cell r="E91" t="str">
            <v>SANTIAGO DE PAUCARAY</v>
          </cell>
          <cell r="F91" t="str">
            <v>2</v>
          </cell>
          <cell r="G91">
            <v>3229</v>
          </cell>
          <cell r="H91">
            <v>6265</v>
          </cell>
          <cell r="I91">
            <v>266</v>
          </cell>
          <cell r="J91" t="str">
            <v>050900</v>
          </cell>
          <cell r="K91" t="str">
            <v>050000</v>
          </cell>
        </row>
        <row r="92">
          <cell r="A92">
            <v>50911</v>
          </cell>
          <cell r="B92" t="str">
            <v>AYACUCHO</v>
          </cell>
          <cell r="C92" t="str">
            <v>SUCRE</v>
          </cell>
          <cell r="D92" t="str">
            <v>SORAS</v>
          </cell>
          <cell r="E92" t="str">
            <v>SORAS</v>
          </cell>
          <cell r="F92" t="str">
            <v>2</v>
          </cell>
          <cell r="G92">
            <v>3462</v>
          </cell>
          <cell r="H92">
            <v>35797</v>
          </cell>
          <cell r="I92">
            <v>224</v>
          </cell>
          <cell r="J92" t="str">
            <v>050900</v>
          </cell>
          <cell r="K92" t="str">
            <v>050000</v>
          </cell>
        </row>
        <row r="93">
          <cell r="A93">
            <v>51001</v>
          </cell>
          <cell r="B93" t="str">
            <v>AYACUCHO</v>
          </cell>
          <cell r="C93" t="str">
            <v>VICTOR FAJARDO</v>
          </cell>
          <cell r="D93" t="str">
            <v>HUANCAPI</v>
          </cell>
          <cell r="E93" t="str">
            <v>HUANCAPI</v>
          </cell>
          <cell r="F93" t="str">
            <v>2</v>
          </cell>
          <cell r="G93">
            <v>3081</v>
          </cell>
          <cell r="H93">
            <v>22335</v>
          </cell>
          <cell r="I93">
            <v>591</v>
          </cell>
          <cell r="J93" t="str">
            <v>051000</v>
          </cell>
          <cell r="K93" t="str">
            <v>050000</v>
          </cell>
        </row>
        <row r="94">
          <cell r="A94">
            <v>51002</v>
          </cell>
          <cell r="B94" t="str">
            <v>AYACUCHO</v>
          </cell>
          <cell r="C94" t="str">
            <v>VICTOR FAJARDO</v>
          </cell>
          <cell r="D94" t="str">
            <v>ALCAMENCA</v>
          </cell>
          <cell r="E94" t="str">
            <v>ALCAMENCA</v>
          </cell>
          <cell r="F94" t="str">
            <v>2</v>
          </cell>
          <cell r="G94">
            <v>2800</v>
          </cell>
          <cell r="H94">
            <v>12511</v>
          </cell>
          <cell r="I94">
            <v>563</v>
          </cell>
          <cell r="J94" t="str">
            <v>051000</v>
          </cell>
          <cell r="K94" t="str">
            <v>050000</v>
          </cell>
        </row>
        <row r="95">
          <cell r="A95">
            <v>51003</v>
          </cell>
          <cell r="B95" t="str">
            <v>AYACUCHO</v>
          </cell>
          <cell r="C95" t="str">
            <v>VICTOR FAJARDO</v>
          </cell>
          <cell r="D95" t="str">
            <v>APONGO</v>
          </cell>
          <cell r="E95" t="str">
            <v>APONGO</v>
          </cell>
          <cell r="F95" t="str">
            <v>2</v>
          </cell>
          <cell r="G95">
            <v>3068</v>
          </cell>
          <cell r="H95">
            <v>17158</v>
          </cell>
          <cell r="I95">
            <v>242</v>
          </cell>
          <cell r="J95" t="str">
            <v>051000</v>
          </cell>
          <cell r="K95" t="str">
            <v>050000</v>
          </cell>
        </row>
        <row r="96">
          <cell r="A96">
            <v>51004</v>
          </cell>
          <cell r="B96" t="str">
            <v>AYACUCHO</v>
          </cell>
          <cell r="C96" t="str">
            <v>VICTOR FAJARDO</v>
          </cell>
          <cell r="D96" t="str">
            <v>ASQUIPATA</v>
          </cell>
          <cell r="E96" t="str">
            <v>ASQUIPATA</v>
          </cell>
          <cell r="F96" t="str">
            <v>2</v>
          </cell>
          <cell r="G96">
            <v>3350</v>
          </cell>
          <cell r="H96">
            <v>7072</v>
          </cell>
          <cell r="I96">
            <v>168</v>
          </cell>
          <cell r="J96" t="str">
            <v>051000</v>
          </cell>
          <cell r="K96" t="str">
            <v>050000</v>
          </cell>
        </row>
        <row r="97">
          <cell r="A97">
            <v>51005</v>
          </cell>
          <cell r="B97" t="str">
            <v>AYACUCHO</v>
          </cell>
          <cell r="C97" t="str">
            <v>VICTOR FAJARDO</v>
          </cell>
          <cell r="D97" t="str">
            <v>CANARIA</v>
          </cell>
          <cell r="E97" t="str">
            <v>CANARIA</v>
          </cell>
          <cell r="F97" t="str">
            <v>2</v>
          </cell>
          <cell r="G97">
            <v>3025</v>
          </cell>
          <cell r="H97">
            <v>26388</v>
          </cell>
          <cell r="I97">
            <v>752</v>
          </cell>
          <cell r="J97" t="str">
            <v>051000</v>
          </cell>
          <cell r="K97" t="str">
            <v>050000</v>
          </cell>
        </row>
        <row r="98">
          <cell r="A98">
            <v>51006</v>
          </cell>
          <cell r="B98" t="str">
            <v>AYACUCHO</v>
          </cell>
          <cell r="C98" t="str">
            <v>VICTOR FAJARDO</v>
          </cell>
          <cell r="D98" t="str">
            <v>CAYARA</v>
          </cell>
          <cell r="E98" t="str">
            <v>CAYARA</v>
          </cell>
          <cell r="F98" t="str">
            <v>2</v>
          </cell>
          <cell r="G98">
            <v>3164</v>
          </cell>
          <cell r="H98">
            <v>6925</v>
          </cell>
          <cell r="I98">
            <v>476</v>
          </cell>
          <cell r="J98" t="str">
            <v>051000</v>
          </cell>
          <cell r="K98" t="str">
            <v>050000</v>
          </cell>
        </row>
        <row r="99">
          <cell r="A99">
            <v>51007</v>
          </cell>
          <cell r="B99" t="str">
            <v>AYACUCHO</v>
          </cell>
          <cell r="C99" t="str">
            <v>VICTOR FAJARDO</v>
          </cell>
          <cell r="D99" t="str">
            <v>COLCA</v>
          </cell>
          <cell r="E99" t="str">
            <v>COLCA</v>
          </cell>
          <cell r="F99" t="str">
            <v>2</v>
          </cell>
          <cell r="G99">
            <v>2972</v>
          </cell>
          <cell r="H99">
            <v>6957</v>
          </cell>
          <cell r="I99">
            <v>482</v>
          </cell>
          <cell r="J99" t="str">
            <v>051000</v>
          </cell>
          <cell r="K99" t="str">
            <v>050000</v>
          </cell>
        </row>
        <row r="100">
          <cell r="A100">
            <v>51008</v>
          </cell>
          <cell r="B100" t="str">
            <v>AYACUCHO</v>
          </cell>
          <cell r="C100" t="str">
            <v>VICTOR FAJARDO</v>
          </cell>
          <cell r="D100" t="str">
            <v>HUAMANQUIQUIA</v>
          </cell>
          <cell r="E100" t="str">
            <v>HUAMANQUIQUIA</v>
          </cell>
          <cell r="F100" t="str">
            <v>2</v>
          </cell>
          <cell r="G100">
            <v>3350</v>
          </cell>
          <cell r="H100">
            <v>6733</v>
          </cell>
          <cell r="I100">
            <v>346</v>
          </cell>
          <cell r="J100" t="str">
            <v>051000</v>
          </cell>
          <cell r="K100" t="str">
            <v>050000</v>
          </cell>
        </row>
        <row r="101">
          <cell r="A101">
            <v>51009</v>
          </cell>
          <cell r="B101" t="str">
            <v>AYACUCHO</v>
          </cell>
          <cell r="C101" t="str">
            <v>VICTOR FAJARDO</v>
          </cell>
          <cell r="D101" t="str">
            <v>HUANCARAYLLA</v>
          </cell>
          <cell r="E101" t="str">
            <v>HUANCARAYLLA</v>
          </cell>
          <cell r="F101" t="str">
            <v>2</v>
          </cell>
          <cell r="G101">
            <v>3230</v>
          </cell>
          <cell r="H101">
            <v>16549</v>
          </cell>
          <cell r="I101">
            <v>517</v>
          </cell>
          <cell r="J101" t="str">
            <v>051000</v>
          </cell>
          <cell r="K101" t="str">
            <v>050000</v>
          </cell>
        </row>
        <row r="102">
          <cell r="A102">
            <v>51010</v>
          </cell>
          <cell r="B102" t="str">
            <v>AYACUCHO</v>
          </cell>
          <cell r="C102" t="str">
            <v>VICTOR FAJARDO</v>
          </cell>
          <cell r="D102" t="str">
            <v>HUAYA</v>
          </cell>
          <cell r="E102" t="str">
            <v>HUAYA</v>
          </cell>
          <cell r="F102" t="str">
            <v>2</v>
          </cell>
          <cell r="G102">
            <v>3341</v>
          </cell>
          <cell r="H102">
            <v>16223</v>
          </cell>
          <cell r="I102">
            <v>792</v>
          </cell>
          <cell r="J102" t="str">
            <v>051000</v>
          </cell>
          <cell r="K102" t="str">
            <v>050000</v>
          </cell>
        </row>
        <row r="103">
          <cell r="A103">
            <v>51011</v>
          </cell>
          <cell r="B103" t="str">
            <v>AYACUCHO</v>
          </cell>
          <cell r="C103" t="str">
            <v>VICTOR FAJARDO</v>
          </cell>
          <cell r="D103" t="str">
            <v>SARHUA</v>
          </cell>
          <cell r="E103" t="str">
            <v>SARHUA</v>
          </cell>
          <cell r="F103" t="str">
            <v>2</v>
          </cell>
          <cell r="G103">
            <v>3389</v>
          </cell>
          <cell r="H103">
            <v>37314</v>
          </cell>
          <cell r="I103">
            <v>607</v>
          </cell>
          <cell r="J103" t="str">
            <v>051000</v>
          </cell>
          <cell r="K103" t="str">
            <v>050000</v>
          </cell>
        </row>
        <row r="104">
          <cell r="A104">
            <v>51012</v>
          </cell>
          <cell r="B104" t="str">
            <v>AYACUCHO</v>
          </cell>
          <cell r="C104" t="str">
            <v>VICTOR FAJARDO</v>
          </cell>
          <cell r="D104" t="str">
            <v>VILCANCHOS</v>
          </cell>
          <cell r="E104" t="str">
            <v>VILCANCHOS</v>
          </cell>
          <cell r="F104" t="str">
            <v>2</v>
          </cell>
          <cell r="G104">
            <v>2982</v>
          </cell>
          <cell r="H104">
            <v>49854</v>
          </cell>
          <cell r="I104">
            <v>772</v>
          </cell>
          <cell r="J104" t="str">
            <v>051000</v>
          </cell>
          <cell r="K104" t="str">
            <v>050000</v>
          </cell>
        </row>
        <row r="105">
          <cell r="A105">
            <v>51101</v>
          </cell>
          <cell r="B105" t="str">
            <v>AYACUCHO</v>
          </cell>
          <cell r="C105" t="str">
            <v>VILCASHUAMAN</v>
          </cell>
          <cell r="D105" t="str">
            <v>VILCASHUAMAN</v>
          </cell>
          <cell r="E105" t="str">
            <v>VILCAS HUAMAN</v>
          </cell>
          <cell r="F105" t="str">
            <v>2</v>
          </cell>
          <cell r="G105">
            <v>3470</v>
          </cell>
          <cell r="H105">
            <v>21689</v>
          </cell>
          <cell r="I105">
            <v>1509</v>
          </cell>
          <cell r="J105" t="str">
            <v>051100</v>
          </cell>
          <cell r="K105" t="str">
            <v>050000</v>
          </cell>
        </row>
        <row r="106">
          <cell r="A106">
            <v>51102</v>
          </cell>
          <cell r="B106" t="str">
            <v>AYACUCHO</v>
          </cell>
          <cell r="C106" t="str">
            <v>VILCASHUAMAN</v>
          </cell>
          <cell r="D106" t="str">
            <v>ACCOMARCA</v>
          </cell>
          <cell r="E106" t="str">
            <v>ACCOMARCA</v>
          </cell>
          <cell r="F106" t="str">
            <v>2</v>
          </cell>
          <cell r="G106">
            <v>3351</v>
          </cell>
          <cell r="H106">
            <v>8242</v>
          </cell>
          <cell r="I106">
            <v>327</v>
          </cell>
          <cell r="J106" t="str">
            <v>051100</v>
          </cell>
          <cell r="K106" t="str">
            <v>050000</v>
          </cell>
        </row>
        <row r="107">
          <cell r="A107">
            <v>51103</v>
          </cell>
          <cell r="B107" t="str">
            <v>AYACUCHO</v>
          </cell>
          <cell r="C107" t="str">
            <v>VILCASHUAMAN</v>
          </cell>
          <cell r="D107" t="str">
            <v>CARHUANCA</v>
          </cell>
          <cell r="E107" t="str">
            <v>CARHUANCA</v>
          </cell>
          <cell r="F107" t="str">
            <v>2</v>
          </cell>
          <cell r="G107">
            <v>2960</v>
          </cell>
          <cell r="H107">
            <v>5691</v>
          </cell>
          <cell r="I107">
            <v>329</v>
          </cell>
          <cell r="J107" t="str">
            <v>051100</v>
          </cell>
          <cell r="K107" t="str">
            <v>050000</v>
          </cell>
        </row>
        <row r="108">
          <cell r="A108">
            <v>51104</v>
          </cell>
          <cell r="B108" t="str">
            <v>AYACUCHO</v>
          </cell>
          <cell r="C108" t="str">
            <v>VILCASHUAMAN</v>
          </cell>
          <cell r="D108" t="str">
            <v>CONCEPCION</v>
          </cell>
          <cell r="E108" t="str">
            <v>CONCEPCION</v>
          </cell>
          <cell r="F108" t="str">
            <v>2</v>
          </cell>
          <cell r="G108">
            <v>2350</v>
          </cell>
          <cell r="H108">
            <v>24319</v>
          </cell>
          <cell r="I108">
            <v>487</v>
          </cell>
          <cell r="J108" t="str">
            <v>051100</v>
          </cell>
          <cell r="K108" t="str">
            <v>050000</v>
          </cell>
        </row>
        <row r="109">
          <cell r="A109">
            <v>51105</v>
          </cell>
          <cell r="B109" t="str">
            <v>AYACUCHO</v>
          </cell>
          <cell r="C109" t="str">
            <v>VILCASHUAMAN</v>
          </cell>
          <cell r="D109" t="str">
            <v>HUAMBALPA</v>
          </cell>
          <cell r="E109" t="str">
            <v>HUAMBALPA</v>
          </cell>
          <cell r="F109" t="str">
            <v>2</v>
          </cell>
          <cell r="G109">
            <v>3262</v>
          </cell>
          <cell r="H109">
            <v>15076</v>
          </cell>
          <cell r="I109">
            <v>700</v>
          </cell>
          <cell r="J109" t="str">
            <v>051100</v>
          </cell>
          <cell r="K109" t="str">
            <v>050000</v>
          </cell>
        </row>
        <row r="110">
          <cell r="A110">
            <v>51106</v>
          </cell>
          <cell r="B110" t="str">
            <v>AYACUCHO</v>
          </cell>
          <cell r="C110" t="str">
            <v>VILCASHUAMAN</v>
          </cell>
          <cell r="D110" t="str">
            <v>INDEPENDENCIA</v>
          </cell>
          <cell r="E110" t="str">
            <v>INDEPENDENCIA</v>
          </cell>
          <cell r="F110" t="str">
            <v>2</v>
          </cell>
          <cell r="G110">
            <v>2950</v>
          </cell>
          <cell r="H110">
            <v>8528</v>
          </cell>
          <cell r="I110">
            <v>435</v>
          </cell>
          <cell r="J110" t="str">
            <v>051100</v>
          </cell>
          <cell r="K110" t="str">
            <v>050000</v>
          </cell>
        </row>
        <row r="111">
          <cell r="A111">
            <v>51107</v>
          </cell>
          <cell r="B111" t="str">
            <v>AYACUCHO</v>
          </cell>
          <cell r="C111" t="str">
            <v>VILCASHUAMAN</v>
          </cell>
          <cell r="D111" t="str">
            <v>SAURAMA</v>
          </cell>
          <cell r="E111" t="str">
            <v>SAURAMA</v>
          </cell>
          <cell r="F111" t="str">
            <v>2</v>
          </cell>
          <cell r="G111">
            <v>3540</v>
          </cell>
          <cell r="H111">
            <v>9515</v>
          </cell>
          <cell r="I111">
            <v>412</v>
          </cell>
          <cell r="J111" t="str">
            <v>051100</v>
          </cell>
          <cell r="K111" t="str">
            <v>050000</v>
          </cell>
        </row>
        <row r="112">
          <cell r="A112">
            <v>51108</v>
          </cell>
          <cell r="B112" t="str">
            <v>AYACUCHO</v>
          </cell>
          <cell r="C112" t="str">
            <v>VILCASHUAMAN</v>
          </cell>
          <cell r="D112" t="str">
            <v>VISCHONGO</v>
          </cell>
          <cell r="E112" t="str">
            <v>VISCHONGO</v>
          </cell>
          <cell r="F112" t="str">
            <v>2</v>
          </cell>
          <cell r="G112">
            <v>3126</v>
          </cell>
          <cell r="H112">
            <v>24755</v>
          </cell>
          <cell r="I112">
            <v>838</v>
          </cell>
          <cell r="J112" t="str">
            <v>051100</v>
          </cell>
          <cell r="K112" t="str">
            <v>050000</v>
          </cell>
        </row>
      </sheetData>
      <sheetData sheetId="2">
        <row r="1">
          <cell r="C1" t="str">
            <v>Cultivo_code</v>
          </cell>
          <cell r="D1" t="str">
            <v>Cultivo</v>
          </cell>
          <cell r="E1" t="str">
            <v>dpto</v>
          </cell>
          <cell r="F1" t="str">
            <v>prov</v>
          </cell>
          <cell r="G1" t="str">
            <v>Code_dist</v>
          </cell>
          <cell r="H1" t="str">
            <v>Sector</v>
          </cell>
          <cell r="I1" t="str">
            <v>Data</v>
          </cell>
          <cell r="J1" t="str">
            <v>ago_03</v>
          </cell>
          <cell r="K1" t="str">
            <v>sep_03</v>
          </cell>
          <cell r="L1" t="str">
            <v>oct_03</v>
          </cell>
          <cell r="M1" t="str">
            <v>nov_03</v>
          </cell>
          <cell r="N1" t="str">
            <v>dic_03</v>
          </cell>
          <cell r="O1" t="str">
            <v>ene_04</v>
          </cell>
          <cell r="P1" t="str">
            <v>feb_04</v>
          </cell>
          <cell r="Q1" t="str">
            <v>mar_04</v>
          </cell>
          <cell r="R1" t="str">
            <v>abr_04</v>
          </cell>
          <cell r="S1" t="str">
            <v>may_04</v>
          </cell>
          <cell r="T1" t="str">
            <v>jun_04</v>
          </cell>
          <cell r="U1" t="str">
            <v>jul_04</v>
          </cell>
          <cell r="V1" t="str">
            <v>Total</v>
          </cell>
          <cell r="W1" t="str">
            <v>name sector</v>
          </cell>
          <cell r="X1" t="str">
            <v>region natural</v>
          </cell>
          <cell r="Y1" t="str">
            <v>riego</v>
          </cell>
          <cell r="Z1" t="str">
            <v>Valle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CCODREG</v>
          </cell>
          <cell r="B1" t="str">
            <v>CCODSRE</v>
          </cell>
          <cell r="C1" t="str">
            <v>CCODAGE</v>
          </cell>
          <cell r="D1" t="str">
            <v>CCODSED</v>
          </cell>
          <cell r="E1" t="str">
            <v>CCODSEC</v>
          </cell>
          <cell r="F1" t="str">
            <v>CTIPPRO</v>
          </cell>
          <cell r="G1" t="str">
            <v>CCODUSO</v>
          </cell>
          <cell r="H1" t="str">
            <v>CCODGRU</v>
          </cell>
          <cell r="I1" t="str">
            <v>CCODPRO</v>
          </cell>
          <cell r="J1" t="str">
            <v>CCODVAR</v>
          </cell>
          <cell r="K1" t="str">
            <v>CTIPINF</v>
          </cell>
          <cell r="L1" t="str">
            <v>CDESCRI</v>
          </cell>
          <cell r="M1" t="str">
            <v>NRENMAX</v>
          </cell>
          <cell r="N1" t="str">
            <v>NRENMIN</v>
          </cell>
          <cell r="O1" t="str">
            <v>CUSUARI</v>
          </cell>
          <cell r="P1" t="str">
            <v>DFECHOR</v>
          </cell>
          <cell r="Q1" t="str">
            <v>DPTO</v>
          </cell>
          <cell r="R1" t="str">
            <v>PROV</v>
          </cell>
          <cell r="S1" t="str">
            <v>DIST</v>
          </cell>
        </row>
        <row r="2">
          <cell r="A2" t="str">
            <v>06</v>
          </cell>
          <cell r="B2" t="str">
            <v>02</v>
          </cell>
          <cell r="C2" t="str">
            <v>05</v>
          </cell>
          <cell r="D2" t="str">
            <v>01</v>
          </cell>
          <cell r="F2" t="str">
            <v>1</v>
          </cell>
          <cell r="G2" t="str">
            <v>4</v>
          </cell>
          <cell r="H2" t="str">
            <v>01</v>
          </cell>
          <cell r="I2" t="str">
            <v>001</v>
          </cell>
          <cell r="J2" t="str">
            <v>00</v>
          </cell>
          <cell r="L2" t="str">
            <v>ACHITA, KIWICHA, O AMARANTO</v>
          </cell>
          <cell r="M2">
            <v>3</v>
          </cell>
          <cell r="N2">
            <v>0.4</v>
          </cell>
          <cell r="O2" t="str">
            <v>OIA</v>
          </cell>
          <cell r="P2">
            <v>35863</v>
          </cell>
        </row>
        <row r="3">
          <cell r="A3" t="str">
            <v>06</v>
          </cell>
          <cell r="B3" t="str">
            <v>02</v>
          </cell>
          <cell r="C3" t="str">
            <v>05</v>
          </cell>
          <cell r="D3" t="str">
            <v>01</v>
          </cell>
          <cell r="F3" t="str">
            <v>1</v>
          </cell>
          <cell r="G3" t="str">
            <v>4</v>
          </cell>
          <cell r="H3" t="str">
            <v>03</v>
          </cell>
          <cell r="I3" t="str">
            <v>003</v>
          </cell>
          <cell r="J3" t="str">
            <v>00</v>
          </cell>
          <cell r="L3" t="str">
            <v>AJO</v>
          </cell>
          <cell r="M3">
            <v>6</v>
          </cell>
          <cell r="N3">
            <v>3</v>
          </cell>
          <cell r="O3" t="str">
            <v>OIA</v>
          </cell>
          <cell r="P3">
            <v>35863</v>
          </cell>
        </row>
        <row r="4">
          <cell r="A4" t="str">
            <v>06</v>
          </cell>
          <cell r="B4" t="str">
            <v>02</v>
          </cell>
          <cell r="C4" t="str">
            <v>05</v>
          </cell>
          <cell r="D4" t="str">
            <v>01</v>
          </cell>
          <cell r="F4" t="str">
            <v>1</v>
          </cell>
          <cell r="G4" t="str">
            <v>2</v>
          </cell>
          <cell r="H4" t="str">
            <v>99</v>
          </cell>
          <cell r="I4" t="str">
            <v>001</v>
          </cell>
          <cell r="J4" t="str">
            <v>00</v>
          </cell>
          <cell r="L4" t="str">
            <v>ALFALFA</v>
          </cell>
          <cell r="M4">
            <v>20</v>
          </cell>
          <cell r="N4">
            <v>10</v>
          </cell>
          <cell r="O4" t="str">
            <v>OIA</v>
          </cell>
          <cell r="P4">
            <v>35668</v>
          </cell>
        </row>
        <row r="5">
          <cell r="A5" t="str">
            <v>06</v>
          </cell>
          <cell r="B5" t="str">
            <v>02</v>
          </cell>
          <cell r="C5" t="str">
            <v>05</v>
          </cell>
          <cell r="D5" t="str">
            <v>01</v>
          </cell>
          <cell r="F5" t="str">
            <v>1</v>
          </cell>
          <cell r="G5" t="str">
            <v>4</v>
          </cell>
          <cell r="H5" t="str">
            <v>07</v>
          </cell>
          <cell r="I5" t="str">
            <v>001</v>
          </cell>
          <cell r="J5" t="str">
            <v>00</v>
          </cell>
          <cell r="L5" t="str">
            <v>ARVEJA  GRANO SECO</v>
          </cell>
          <cell r="M5">
            <v>1.5</v>
          </cell>
          <cell r="N5">
            <v>0.4</v>
          </cell>
          <cell r="O5" t="str">
            <v>OIA</v>
          </cell>
          <cell r="P5">
            <v>35863</v>
          </cell>
        </row>
        <row r="6">
          <cell r="A6" t="str">
            <v>06</v>
          </cell>
          <cell r="B6" t="str">
            <v>02</v>
          </cell>
          <cell r="C6" t="str">
            <v>05</v>
          </cell>
          <cell r="D6" t="str">
            <v>01</v>
          </cell>
          <cell r="F6" t="str">
            <v>1</v>
          </cell>
          <cell r="G6" t="str">
            <v>4</v>
          </cell>
          <cell r="H6" t="str">
            <v>06</v>
          </cell>
          <cell r="I6" t="str">
            <v>001</v>
          </cell>
          <cell r="J6" t="str">
            <v>00</v>
          </cell>
          <cell r="L6" t="str">
            <v>ARVEJA GRANO VERDE</v>
          </cell>
          <cell r="M6">
            <v>3</v>
          </cell>
          <cell r="N6">
            <v>1.4</v>
          </cell>
          <cell r="O6" t="str">
            <v>OIA</v>
          </cell>
          <cell r="P6">
            <v>35863</v>
          </cell>
        </row>
        <row r="7">
          <cell r="A7" t="str">
            <v>06</v>
          </cell>
          <cell r="B7" t="str">
            <v>02</v>
          </cell>
          <cell r="C7" t="str">
            <v>05</v>
          </cell>
          <cell r="D7" t="str">
            <v>01</v>
          </cell>
          <cell r="F7" t="str">
            <v>1</v>
          </cell>
          <cell r="G7" t="str">
            <v>4</v>
          </cell>
          <cell r="H7" t="str">
            <v>01</v>
          </cell>
          <cell r="I7" t="str">
            <v>003</v>
          </cell>
          <cell r="J7" t="str">
            <v>00</v>
          </cell>
          <cell r="L7" t="str">
            <v>AVENA      GRANO</v>
          </cell>
          <cell r="M7">
            <v>1.5</v>
          </cell>
          <cell r="N7">
            <v>0.5</v>
          </cell>
          <cell r="O7" t="str">
            <v>OIA</v>
          </cell>
          <cell r="P7">
            <v>35863</v>
          </cell>
        </row>
        <row r="8">
          <cell r="A8" t="str">
            <v>06</v>
          </cell>
          <cell r="B8" t="str">
            <v>02</v>
          </cell>
          <cell r="C8" t="str">
            <v>05</v>
          </cell>
          <cell r="D8" t="str">
            <v>01</v>
          </cell>
          <cell r="F8" t="str">
            <v>1</v>
          </cell>
          <cell r="G8" t="str">
            <v>4</v>
          </cell>
          <cell r="H8" t="str">
            <v>05</v>
          </cell>
          <cell r="I8" t="str">
            <v>001</v>
          </cell>
          <cell r="J8" t="str">
            <v>00</v>
          </cell>
          <cell r="L8" t="str">
            <v>AVENA  FORRAJERA</v>
          </cell>
          <cell r="M8">
            <v>15</v>
          </cell>
          <cell r="N8">
            <v>6</v>
          </cell>
          <cell r="O8" t="str">
            <v>OIA</v>
          </cell>
          <cell r="P8">
            <v>35669</v>
          </cell>
        </row>
        <row r="9">
          <cell r="A9" t="str">
            <v>06</v>
          </cell>
          <cell r="B9" t="str">
            <v>02</v>
          </cell>
          <cell r="C9" t="str">
            <v>05</v>
          </cell>
          <cell r="D9" t="str">
            <v>01</v>
          </cell>
          <cell r="F9" t="str">
            <v>1</v>
          </cell>
          <cell r="G9" t="str">
            <v>4</v>
          </cell>
          <cell r="H9" t="str">
            <v>03</v>
          </cell>
          <cell r="I9" t="str">
            <v>009</v>
          </cell>
          <cell r="J9" t="str">
            <v>00</v>
          </cell>
          <cell r="L9" t="str">
            <v>CALABAZA</v>
          </cell>
          <cell r="M9">
            <v>8</v>
          </cell>
          <cell r="N9">
            <v>6</v>
          </cell>
          <cell r="O9" t="str">
            <v>OIA</v>
          </cell>
          <cell r="P9">
            <v>35864</v>
          </cell>
        </row>
        <row r="10">
          <cell r="A10" t="str">
            <v>06</v>
          </cell>
          <cell r="B10" t="str">
            <v>02</v>
          </cell>
          <cell r="C10" t="str">
            <v>05</v>
          </cell>
          <cell r="D10" t="str">
            <v>01</v>
          </cell>
          <cell r="F10" t="str">
            <v>1</v>
          </cell>
          <cell r="G10" t="str">
            <v>4</v>
          </cell>
          <cell r="H10" t="str">
            <v>05</v>
          </cell>
          <cell r="I10" t="str">
            <v>004</v>
          </cell>
          <cell r="J10" t="str">
            <v>00</v>
          </cell>
          <cell r="L10" t="str">
            <v>CEBADA  FORRAJERA</v>
          </cell>
          <cell r="M10">
            <v>15</v>
          </cell>
          <cell r="N10">
            <v>11</v>
          </cell>
          <cell r="O10" t="str">
            <v>OIA</v>
          </cell>
          <cell r="P10">
            <v>36776</v>
          </cell>
          <cell r="Q10" t="str">
            <v>05</v>
          </cell>
          <cell r="R10" t="str">
            <v>02</v>
          </cell>
        </row>
        <row r="11">
          <cell r="A11" t="str">
            <v>06</v>
          </cell>
          <cell r="B11" t="str">
            <v>02</v>
          </cell>
          <cell r="C11" t="str">
            <v>05</v>
          </cell>
          <cell r="D11" t="str">
            <v>01</v>
          </cell>
          <cell r="F11" t="str">
            <v>1</v>
          </cell>
          <cell r="G11" t="str">
            <v>4</v>
          </cell>
          <cell r="H11" t="str">
            <v>01</v>
          </cell>
          <cell r="I11" t="str">
            <v>005</v>
          </cell>
          <cell r="J11" t="str">
            <v>00</v>
          </cell>
          <cell r="L11" t="str">
            <v>CEBADA GRANO</v>
          </cell>
          <cell r="M11">
            <v>1.5</v>
          </cell>
          <cell r="N11">
            <v>0.4</v>
          </cell>
          <cell r="O11" t="str">
            <v>OIA</v>
          </cell>
          <cell r="P11">
            <v>35863</v>
          </cell>
        </row>
        <row r="12">
          <cell r="A12" t="str">
            <v>06</v>
          </cell>
          <cell r="B12" t="str">
            <v>02</v>
          </cell>
          <cell r="C12" t="str">
            <v>05</v>
          </cell>
          <cell r="D12" t="str">
            <v>01</v>
          </cell>
          <cell r="F12" t="str">
            <v>1</v>
          </cell>
          <cell r="G12" t="str">
            <v>4</v>
          </cell>
          <cell r="H12" t="str">
            <v>03</v>
          </cell>
          <cell r="I12" t="str">
            <v>010</v>
          </cell>
          <cell r="J12" t="str">
            <v>00</v>
          </cell>
          <cell r="L12" t="str">
            <v>CEBOLLA</v>
          </cell>
          <cell r="M12">
            <v>8</v>
          </cell>
          <cell r="N12">
            <v>5</v>
          </cell>
          <cell r="O12" t="str">
            <v>OIA</v>
          </cell>
          <cell r="P12">
            <v>35664</v>
          </cell>
        </row>
        <row r="13">
          <cell r="A13" t="str">
            <v>06</v>
          </cell>
          <cell r="B13" t="str">
            <v>02</v>
          </cell>
          <cell r="C13" t="str">
            <v>05</v>
          </cell>
          <cell r="D13" t="str">
            <v>01</v>
          </cell>
          <cell r="F13" t="str">
            <v>1</v>
          </cell>
          <cell r="G13" t="str">
            <v>4</v>
          </cell>
          <cell r="H13" t="str">
            <v>07</v>
          </cell>
          <cell r="I13" t="str">
            <v>003</v>
          </cell>
          <cell r="J13" t="str">
            <v>00</v>
          </cell>
          <cell r="L13" t="str">
            <v>CHOCHO O TARHUI</v>
          </cell>
          <cell r="M13">
            <v>1.5</v>
          </cell>
          <cell r="N13">
            <v>0.8</v>
          </cell>
          <cell r="O13" t="str">
            <v>OIA</v>
          </cell>
          <cell r="P13">
            <v>36860</v>
          </cell>
          <cell r="Q13" t="str">
            <v>05</v>
          </cell>
          <cell r="R13" t="str">
            <v>02</v>
          </cell>
        </row>
        <row r="14">
          <cell r="A14" t="str">
            <v>06</v>
          </cell>
          <cell r="B14" t="str">
            <v>02</v>
          </cell>
          <cell r="C14" t="str">
            <v>05</v>
          </cell>
          <cell r="D14" t="str">
            <v>01</v>
          </cell>
          <cell r="F14" t="str">
            <v>1</v>
          </cell>
          <cell r="G14" t="str">
            <v>4</v>
          </cell>
          <cell r="H14" t="str">
            <v>03</v>
          </cell>
          <cell r="I14" t="str">
            <v>011</v>
          </cell>
          <cell r="J14" t="str">
            <v>00</v>
          </cell>
          <cell r="L14" t="str">
            <v>COL O REPOLLO</v>
          </cell>
          <cell r="M14">
            <v>9</v>
          </cell>
          <cell r="N14">
            <v>3.5</v>
          </cell>
          <cell r="O14" t="str">
            <v>OIA</v>
          </cell>
          <cell r="P14">
            <v>35863</v>
          </cell>
        </row>
        <row r="15">
          <cell r="A15" t="str">
            <v>06</v>
          </cell>
          <cell r="B15" t="str">
            <v>02</v>
          </cell>
          <cell r="C15" t="str">
            <v>05</v>
          </cell>
          <cell r="D15" t="str">
            <v>01</v>
          </cell>
          <cell r="F15" t="str">
            <v>1</v>
          </cell>
          <cell r="G15" t="str">
            <v>4</v>
          </cell>
          <cell r="H15" t="str">
            <v>07</v>
          </cell>
          <cell r="I15" t="str">
            <v>004</v>
          </cell>
          <cell r="J15" t="str">
            <v>00</v>
          </cell>
          <cell r="L15" t="str">
            <v>FRIJOL GRANO SECO</v>
          </cell>
          <cell r="M15">
            <v>1.5</v>
          </cell>
          <cell r="N15">
            <v>0.4</v>
          </cell>
          <cell r="O15" t="str">
            <v>OIA</v>
          </cell>
          <cell r="P15">
            <v>35863</v>
          </cell>
        </row>
        <row r="16">
          <cell r="A16" t="str">
            <v>06</v>
          </cell>
          <cell r="B16" t="str">
            <v>02</v>
          </cell>
          <cell r="C16" t="str">
            <v>05</v>
          </cell>
          <cell r="D16" t="str">
            <v>01</v>
          </cell>
          <cell r="F16" t="str">
            <v>1</v>
          </cell>
          <cell r="G16" t="str">
            <v>4</v>
          </cell>
          <cell r="H16" t="str">
            <v>07</v>
          </cell>
          <cell r="I16" t="str">
            <v>006</v>
          </cell>
          <cell r="J16" t="str">
            <v>00</v>
          </cell>
          <cell r="L16" t="str">
            <v>GARBANZO GRANO SECO</v>
          </cell>
          <cell r="M16">
            <v>1.5</v>
          </cell>
          <cell r="N16">
            <v>0.4</v>
          </cell>
          <cell r="O16" t="str">
            <v>OIA</v>
          </cell>
          <cell r="P16">
            <v>35863</v>
          </cell>
        </row>
        <row r="17">
          <cell r="A17" t="str">
            <v>06</v>
          </cell>
          <cell r="B17" t="str">
            <v>02</v>
          </cell>
          <cell r="C17" t="str">
            <v>05</v>
          </cell>
          <cell r="D17" t="str">
            <v>01</v>
          </cell>
          <cell r="F17" t="str">
            <v>1</v>
          </cell>
          <cell r="G17" t="str">
            <v>3</v>
          </cell>
          <cell r="H17" t="str">
            <v>01</v>
          </cell>
          <cell r="I17" t="str">
            <v>012</v>
          </cell>
          <cell r="J17" t="str">
            <v>00</v>
          </cell>
          <cell r="L17" t="str">
            <v>GUINDO PRUNUS C.</v>
          </cell>
          <cell r="M17">
            <v>7</v>
          </cell>
          <cell r="N17">
            <v>4</v>
          </cell>
          <cell r="O17" t="str">
            <v>OIA</v>
          </cell>
          <cell r="P17">
            <v>35864</v>
          </cell>
        </row>
        <row r="18">
          <cell r="A18" t="str">
            <v>06</v>
          </cell>
          <cell r="B18" t="str">
            <v>02</v>
          </cell>
          <cell r="C18" t="str">
            <v>05</v>
          </cell>
          <cell r="D18" t="str">
            <v>01</v>
          </cell>
          <cell r="F18" t="str">
            <v>1</v>
          </cell>
          <cell r="G18" t="str">
            <v>4</v>
          </cell>
          <cell r="H18" t="str">
            <v>07</v>
          </cell>
          <cell r="I18" t="str">
            <v>007</v>
          </cell>
          <cell r="J18" t="str">
            <v>00</v>
          </cell>
          <cell r="L18" t="str">
            <v>HABA GRANO SECO</v>
          </cell>
          <cell r="M18">
            <v>1.5</v>
          </cell>
          <cell r="N18">
            <v>0.3</v>
          </cell>
          <cell r="O18" t="str">
            <v>OIA</v>
          </cell>
          <cell r="P18">
            <v>35863</v>
          </cell>
        </row>
        <row r="19">
          <cell r="A19" t="str">
            <v>06</v>
          </cell>
          <cell r="B19" t="str">
            <v>02</v>
          </cell>
          <cell r="C19" t="str">
            <v>05</v>
          </cell>
          <cell r="D19" t="str">
            <v>01</v>
          </cell>
          <cell r="F19" t="str">
            <v>1</v>
          </cell>
          <cell r="G19" t="str">
            <v>4</v>
          </cell>
          <cell r="H19" t="str">
            <v>06</v>
          </cell>
          <cell r="I19" t="str">
            <v>007</v>
          </cell>
          <cell r="J19" t="str">
            <v>00</v>
          </cell>
          <cell r="L19" t="str">
            <v>HABA GRANO VERDE</v>
          </cell>
          <cell r="M19">
            <v>4</v>
          </cell>
          <cell r="N19">
            <v>1</v>
          </cell>
          <cell r="O19" t="str">
            <v>OIA</v>
          </cell>
          <cell r="P19">
            <v>35863</v>
          </cell>
        </row>
        <row r="20">
          <cell r="A20" t="str">
            <v>06</v>
          </cell>
          <cell r="B20" t="str">
            <v>02</v>
          </cell>
          <cell r="C20" t="str">
            <v>05</v>
          </cell>
          <cell r="D20" t="str">
            <v>01</v>
          </cell>
          <cell r="F20" t="str">
            <v>1</v>
          </cell>
          <cell r="G20" t="str">
            <v>3</v>
          </cell>
          <cell r="H20" t="str">
            <v>01</v>
          </cell>
          <cell r="I20" t="str">
            <v>014</v>
          </cell>
          <cell r="J20" t="str">
            <v>00</v>
          </cell>
          <cell r="L20" t="str">
            <v>HIGUERA</v>
          </cell>
          <cell r="M20">
            <v>6</v>
          </cell>
          <cell r="N20">
            <v>4</v>
          </cell>
          <cell r="O20" t="str">
            <v>OIA</v>
          </cell>
          <cell r="P20">
            <v>35864</v>
          </cell>
        </row>
        <row r="21">
          <cell r="A21" t="str">
            <v>06</v>
          </cell>
          <cell r="B21" t="str">
            <v>02</v>
          </cell>
          <cell r="C21" t="str">
            <v>05</v>
          </cell>
          <cell r="D21" t="str">
            <v>01</v>
          </cell>
          <cell r="F21" t="str">
            <v>1</v>
          </cell>
          <cell r="G21" t="str">
            <v>4</v>
          </cell>
          <cell r="H21" t="str">
            <v>07</v>
          </cell>
          <cell r="I21" t="str">
            <v>009</v>
          </cell>
          <cell r="J21" t="str">
            <v>00</v>
          </cell>
          <cell r="L21" t="str">
            <v>LENTEJA GRANO SECO</v>
          </cell>
          <cell r="M21">
            <v>1.5</v>
          </cell>
          <cell r="N21">
            <v>0.5</v>
          </cell>
          <cell r="O21" t="str">
            <v>OIA</v>
          </cell>
          <cell r="P21">
            <v>35863</v>
          </cell>
        </row>
        <row r="22">
          <cell r="A22" t="str">
            <v>06</v>
          </cell>
          <cell r="B22" t="str">
            <v>02</v>
          </cell>
          <cell r="C22" t="str">
            <v>05</v>
          </cell>
          <cell r="D22" t="str">
            <v>01</v>
          </cell>
          <cell r="F22" t="str">
            <v>1</v>
          </cell>
          <cell r="G22" t="str">
            <v>4</v>
          </cell>
          <cell r="H22" t="str">
            <v>08</v>
          </cell>
          <cell r="I22" t="str">
            <v>012</v>
          </cell>
          <cell r="J22" t="str">
            <v>00</v>
          </cell>
          <cell r="L22" t="str">
            <v>LINAZA</v>
          </cell>
          <cell r="M22">
            <v>2</v>
          </cell>
          <cell r="N22">
            <v>0.4</v>
          </cell>
          <cell r="O22" t="str">
            <v>OIA</v>
          </cell>
          <cell r="P22">
            <v>35863</v>
          </cell>
        </row>
        <row r="23">
          <cell r="A23" t="str">
            <v>06</v>
          </cell>
          <cell r="B23" t="str">
            <v>02</v>
          </cell>
          <cell r="C23" t="str">
            <v>05</v>
          </cell>
          <cell r="D23" t="str">
            <v>01</v>
          </cell>
          <cell r="F23" t="str">
            <v>1</v>
          </cell>
          <cell r="G23" t="str">
            <v>4</v>
          </cell>
          <cell r="H23" t="str">
            <v>04</v>
          </cell>
          <cell r="I23" t="str">
            <v>004</v>
          </cell>
          <cell r="J23" t="str">
            <v>00</v>
          </cell>
          <cell r="L23" t="str">
            <v>MACA</v>
          </cell>
          <cell r="M23">
            <v>15</v>
          </cell>
          <cell r="N23">
            <v>3</v>
          </cell>
          <cell r="O23" t="str">
            <v>OIA</v>
          </cell>
          <cell r="P23">
            <v>36531</v>
          </cell>
          <cell r="Q23" t="str">
            <v>05</v>
          </cell>
          <cell r="R23" t="str">
            <v>02</v>
          </cell>
        </row>
        <row r="24">
          <cell r="A24" t="str">
            <v>06</v>
          </cell>
          <cell r="B24" t="str">
            <v>02</v>
          </cell>
          <cell r="C24" t="str">
            <v>05</v>
          </cell>
          <cell r="D24" t="str">
            <v>01</v>
          </cell>
          <cell r="F24" t="str">
            <v>1</v>
          </cell>
          <cell r="G24" t="str">
            <v>4</v>
          </cell>
          <cell r="H24" t="str">
            <v>01</v>
          </cell>
          <cell r="I24" t="str">
            <v>008</v>
          </cell>
          <cell r="J24" t="str">
            <v>00</v>
          </cell>
          <cell r="L24" t="str">
            <v>MAIZ AMILACEO</v>
          </cell>
          <cell r="M24">
            <v>1.5</v>
          </cell>
          <cell r="N24">
            <v>0.4</v>
          </cell>
          <cell r="O24" t="str">
            <v>OIA</v>
          </cell>
          <cell r="P24">
            <v>35863</v>
          </cell>
        </row>
        <row r="25">
          <cell r="A25" t="str">
            <v>06</v>
          </cell>
          <cell r="B25" t="str">
            <v>02</v>
          </cell>
          <cell r="C25" t="str">
            <v>05</v>
          </cell>
          <cell r="D25" t="str">
            <v>01</v>
          </cell>
          <cell r="F25" t="str">
            <v>1</v>
          </cell>
          <cell r="G25" t="str">
            <v>4</v>
          </cell>
          <cell r="H25" t="str">
            <v>03</v>
          </cell>
          <cell r="I25" t="str">
            <v>016</v>
          </cell>
          <cell r="J25" t="str">
            <v>00</v>
          </cell>
          <cell r="L25" t="str">
            <v>MAIZ CHOCLO</v>
          </cell>
          <cell r="M25">
            <v>7</v>
          </cell>
          <cell r="N25">
            <v>3</v>
          </cell>
          <cell r="O25" t="str">
            <v>OIA</v>
          </cell>
          <cell r="P25">
            <v>35863</v>
          </cell>
        </row>
        <row r="26">
          <cell r="A26" t="str">
            <v>06</v>
          </cell>
          <cell r="B26" t="str">
            <v>02</v>
          </cell>
          <cell r="C26" t="str">
            <v>05</v>
          </cell>
          <cell r="D26" t="str">
            <v>01</v>
          </cell>
          <cell r="F26" t="str">
            <v>1</v>
          </cell>
          <cell r="G26" t="str">
            <v>4</v>
          </cell>
          <cell r="H26" t="str">
            <v>08</v>
          </cell>
          <cell r="I26" t="str">
            <v>028</v>
          </cell>
          <cell r="J26" t="str">
            <v>00</v>
          </cell>
          <cell r="L26" t="str">
            <v>MAIZ MORADO</v>
          </cell>
          <cell r="M26">
            <v>1.5</v>
          </cell>
          <cell r="N26">
            <v>0.4</v>
          </cell>
          <cell r="O26" t="str">
            <v>OIA</v>
          </cell>
          <cell r="P26">
            <v>35863</v>
          </cell>
        </row>
        <row r="27">
          <cell r="A27" t="str">
            <v>06</v>
          </cell>
          <cell r="B27" t="str">
            <v>02</v>
          </cell>
          <cell r="C27" t="str">
            <v>05</v>
          </cell>
          <cell r="D27" t="str">
            <v>01</v>
          </cell>
          <cell r="F27" t="str">
            <v>1</v>
          </cell>
          <cell r="G27" t="str">
            <v>3</v>
          </cell>
          <cell r="H27" t="str">
            <v>01</v>
          </cell>
          <cell r="I27" t="str">
            <v>022</v>
          </cell>
          <cell r="J27" t="str">
            <v>00</v>
          </cell>
          <cell r="L27" t="str">
            <v>MANZANO</v>
          </cell>
          <cell r="M27">
            <v>6</v>
          </cell>
          <cell r="N27">
            <v>4</v>
          </cell>
          <cell r="O27" t="str">
            <v>OIA</v>
          </cell>
          <cell r="P27">
            <v>37202</v>
          </cell>
          <cell r="Q27" t="str">
            <v>05</v>
          </cell>
          <cell r="R27" t="str">
            <v>02</v>
          </cell>
        </row>
        <row r="28">
          <cell r="A28" t="str">
            <v>06</v>
          </cell>
          <cell r="B28" t="str">
            <v>02</v>
          </cell>
          <cell r="C28" t="str">
            <v>05</v>
          </cell>
          <cell r="D28" t="str">
            <v>01</v>
          </cell>
          <cell r="F28" t="str">
            <v>1</v>
          </cell>
          <cell r="G28" t="str">
            <v>4</v>
          </cell>
          <cell r="H28" t="str">
            <v>04</v>
          </cell>
          <cell r="I28" t="str">
            <v>005</v>
          </cell>
          <cell r="J28" t="str">
            <v>00</v>
          </cell>
          <cell r="L28" t="str">
            <v>MASHUA O IZANO</v>
          </cell>
          <cell r="M28">
            <v>4</v>
          </cell>
          <cell r="N28">
            <v>2</v>
          </cell>
          <cell r="O28" t="str">
            <v>OIA</v>
          </cell>
          <cell r="P28">
            <v>35664</v>
          </cell>
        </row>
        <row r="29">
          <cell r="A29" t="str">
            <v>06</v>
          </cell>
          <cell r="B29" t="str">
            <v>02</v>
          </cell>
          <cell r="C29" t="str">
            <v>05</v>
          </cell>
          <cell r="D29" t="str">
            <v>01</v>
          </cell>
          <cell r="F29" t="str">
            <v>1</v>
          </cell>
          <cell r="G29" t="str">
            <v>3</v>
          </cell>
          <cell r="H29" t="str">
            <v>01</v>
          </cell>
          <cell r="I29" t="str">
            <v>025</v>
          </cell>
          <cell r="J29" t="str">
            <v>00</v>
          </cell>
          <cell r="L29" t="str">
            <v>MELOCOTONERO</v>
          </cell>
          <cell r="M29">
            <v>6</v>
          </cell>
          <cell r="N29">
            <v>4</v>
          </cell>
          <cell r="O29" t="str">
            <v>OIA</v>
          </cell>
          <cell r="P29">
            <v>35864</v>
          </cell>
        </row>
        <row r="30">
          <cell r="A30" t="str">
            <v>06</v>
          </cell>
          <cell r="B30" t="str">
            <v>02</v>
          </cell>
          <cell r="C30" t="str">
            <v>05</v>
          </cell>
          <cell r="D30" t="str">
            <v>01</v>
          </cell>
          <cell r="F30" t="str">
            <v>1</v>
          </cell>
          <cell r="G30" t="str">
            <v>3</v>
          </cell>
          <cell r="H30" t="str">
            <v>01</v>
          </cell>
          <cell r="I30" t="str">
            <v>026</v>
          </cell>
          <cell r="J30" t="str">
            <v>00</v>
          </cell>
          <cell r="L30" t="str">
            <v>MEMBRILLO</v>
          </cell>
          <cell r="M30">
            <v>7</v>
          </cell>
          <cell r="N30">
            <v>5</v>
          </cell>
          <cell r="O30" t="str">
            <v>OIA</v>
          </cell>
          <cell r="P30">
            <v>35864</v>
          </cell>
        </row>
        <row r="31">
          <cell r="A31" t="str">
            <v>06</v>
          </cell>
          <cell r="B31" t="str">
            <v>02</v>
          </cell>
          <cell r="C31" t="str">
            <v>05</v>
          </cell>
          <cell r="D31" t="str">
            <v>01</v>
          </cell>
          <cell r="F31" t="str">
            <v>1</v>
          </cell>
          <cell r="G31" t="str">
            <v>3</v>
          </cell>
          <cell r="H31" t="str">
            <v>01</v>
          </cell>
          <cell r="I31" t="str">
            <v>027</v>
          </cell>
          <cell r="J31" t="str">
            <v>00</v>
          </cell>
          <cell r="L31" t="str">
            <v>NARANJO</v>
          </cell>
          <cell r="M31">
            <v>8</v>
          </cell>
          <cell r="N31">
            <v>3</v>
          </cell>
          <cell r="O31" t="str">
            <v>OIA</v>
          </cell>
          <cell r="P31">
            <v>35863</v>
          </cell>
        </row>
        <row r="32">
          <cell r="A32" t="str">
            <v>06</v>
          </cell>
          <cell r="B32" t="str">
            <v>02</v>
          </cell>
          <cell r="C32" t="str">
            <v>05</v>
          </cell>
          <cell r="D32" t="str">
            <v>01</v>
          </cell>
          <cell r="F32" t="str">
            <v>1</v>
          </cell>
          <cell r="G32" t="str">
            <v>3</v>
          </cell>
          <cell r="H32" t="str">
            <v>01</v>
          </cell>
          <cell r="I32" t="str">
            <v>028</v>
          </cell>
          <cell r="J32" t="str">
            <v>00</v>
          </cell>
          <cell r="L32" t="str">
            <v>NISPERO</v>
          </cell>
          <cell r="M32">
            <v>7</v>
          </cell>
          <cell r="N32">
            <v>5</v>
          </cell>
          <cell r="O32" t="str">
            <v>OIA</v>
          </cell>
          <cell r="P32">
            <v>35864</v>
          </cell>
        </row>
        <row r="33">
          <cell r="A33" t="str">
            <v>06</v>
          </cell>
          <cell r="B33" t="str">
            <v>02</v>
          </cell>
          <cell r="C33" t="str">
            <v>05</v>
          </cell>
          <cell r="D33" t="str">
            <v>01</v>
          </cell>
          <cell r="F33" t="str">
            <v>1</v>
          </cell>
          <cell r="G33" t="str">
            <v>3</v>
          </cell>
          <cell r="H33" t="str">
            <v>02</v>
          </cell>
          <cell r="I33" t="str">
            <v>007</v>
          </cell>
          <cell r="J33" t="str">
            <v>00</v>
          </cell>
          <cell r="L33" t="str">
            <v>NOGAL</v>
          </cell>
          <cell r="M33">
            <v>5</v>
          </cell>
          <cell r="N33">
            <v>3</v>
          </cell>
          <cell r="O33" t="str">
            <v>OIA</v>
          </cell>
          <cell r="P33">
            <v>35864</v>
          </cell>
        </row>
        <row r="34">
          <cell r="A34" t="str">
            <v>06</v>
          </cell>
          <cell r="B34" t="str">
            <v>02</v>
          </cell>
          <cell r="C34" t="str">
            <v>05</v>
          </cell>
          <cell r="D34" t="str">
            <v>01</v>
          </cell>
          <cell r="F34" t="str">
            <v>1</v>
          </cell>
          <cell r="G34" t="str">
            <v>4</v>
          </cell>
          <cell r="H34" t="str">
            <v>04</v>
          </cell>
          <cell r="I34" t="str">
            <v>007</v>
          </cell>
          <cell r="J34" t="str">
            <v>00</v>
          </cell>
          <cell r="L34" t="str">
            <v>OCA</v>
          </cell>
          <cell r="M34">
            <v>4</v>
          </cell>
          <cell r="N34">
            <v>2</v>
          </cell>
          <cell r="O34" t="str">
            <v>OIA</v>
          </cell>
          <cell r="P34">
            <v>35664</v>
          </cell>
        </row>
        <row r="35">
          <cell r="A35" t="str">
            <v>06</v>
          </cell>
          <cell r="B35" t="str">
            <v>02</v>
          </cell>
          <cell r="C35" t="str">
            <v>05</v>
          </cell>
          <cell r="D35" t="str">
            <v>01</v>
          </cell>
          <cell r="F35" t="str">
            <v>1</v>
          </cell>
          <cell r="G35" t="str">
            <v>4</v>
          </cell>
          <cell r="H35" t="str">
            <v>04</v>
          </cell>
          <cell r="I35" t="str">
            <v>008</v>
          </cell>
          <cell r="J35" t="str">
            <v>00</v>
          </cell>
          <cell r="L35" t="str">
            <v>OLLUCO</v>
          </cell>
          <cell r="M35">
            <v>4</v>
          </cell>
          <cell r="N35">
            <v>2</v>
          </cell>
          <cell r="O35" t="str">
            <v>OIA</v>
          </cell>
          <cell r="P35">
            <v>35664</v>
          </cell>
        </row>
        <row r="36">
          <cell r="A36" t="str">
            <v>06</v>
          </cell>
          <cell r="B36" t="str">
            <v>02</v>
          </cell>
          <cell r="C36" t="str">
            <v>05</v>
          </cell>
          <cell r="D36" t="str">
            <v>01</v>
          </cell>
          <cell r="F36" t="str">
            <v>1</v>
          </cell>
          <cell r="G36" t="str">
            <v>2</v>
          </cell>
          <cell r="H36" t="str">
            <v>99</v>
          </cell>
          <cell r="I36" t="str">
            <v>999</v>
          </cell>
          <cell r="J36" t="str">
            <v>00</v>
          </cell>
          <cell r="L36" t="str">
            <v>OTROS PASTOS</v>
          </cell>
          <cell r="M36">
            <v>14</v>
          </cell>
          <cell r="N36">
            <v>5</v>
          </cell>
          <cell r="O36" t="str">
            <v>OIA</v>
          </cell>
          <cell r="P36">
            <v>35863</v>
          </cell>
        </row>
        <row r="37">
          <cell r="A37" t="str">
            <v>06</v>
          </cell>
          <cell r="B37" t="str">
            <v>02</v>
          </cell>
          <cell r="C37" t="str">
            <v>05</v>
          </cell>
          <cell r="D37" t="str">
            <v>01</v>
          </cell>
          <cell r="F37" t="str">
            <v>1</v>
          </cell>
          <cell r="G37" t="str">
            <v>3</v>
          </cell>
          <cell r="H37" t="str">
            <v>01</v>
          </cell>
          <cell r="I37" t="str">
            <v>030</v>
          </cell>
          <cell r="J37" t="str">
            <v>00</v>
          </cell>
          <cell r="L37" t="str">
            <v>PACAE</v>
          </cell>
          <cell r="M37">
            <v>6</v>
          </cell>
          <cell r="N37">
            <v>4</v>
          </cell>
          <cell r="O37" t="str">
            <v>OIA</v>
          </cell>
          <cell r="P37">
            <v>35864</v>
          </cell>
        </row>
        <row r="38">
          <cell r="A38" t="str">
            <v>06</v>
          </cell>
          <cell r="B38" t="str">
            <v>02</v>
          </cell>
          <cell r="C38" t="str">
            <v>05</v>
          </cell>
          <cell r="D38" t="str">
            <v>01</v>
          </cell>
          <cell r="F38" t="str">
            <v>1</v>
          </cell>
          <cell r="G38" t="str">
            <v>4</v>
          </cell>
          <cell r="H38" t="str">
            <v>07</v>
          </cell>
          <cell r="I38" t="str">
            <v>011</v>
          </cell>
          <cell r="J38" t="str">
            <v>00</v>
          </cell>
          <cell r="L38" t="str">
            <v>PALLAR  GRANO SECO</v>
          </cell>
          <cell r="M38">
            <v>1.5</v>
          </cell>
          <cell r="N38">
            <v>0.5</v>
          </cell>
          <cell r="O38" t="str">
            <v>OIA</v>
          </cell>
          <cell r="P38">
            <v>35672</v>
          </cell>
        </row>
        <row r="39">
          <cell r="A39" t="str">
            <v>06</v>
          </cell>
          <cell r="B39" t="str">
            <v>02</v>
          </cell>
          <cell r="C39" t="str">
            <v>05</v>
          </cell>
          <cell r="D39" t="str">
            <v>01</v>
          </cell>
          <cell r="F39" t="str">
            <v>1</v>
          </cell>
          <cell r="G39" t="str">
            <v>3</v>
          </cell>
          <cell r="H39" t="str">
            <v>01</v>
          </cell>
          <cell r="I39" t="str">
            <v>032</v>
          </cell>
          <cell r="J39" t="str">
            <v>00</v>
          </cell>
          <cell r="L39" t="str">
            <v>PALTO</v>
          </cell>
          <cell r="M39">
            <v>7</v>
          </cell>
          <cell r="N39">
            <v>3.5</v>
          </cell>
          <cell r="O39" t="str">
            <v>OIA</v>
          </cell>
          <cell r="P39">
            <v>35863</v>
          </cell>
        </row>
        <row r="40">
          <cell r="A40" t="str">
            <v>06</v>
          </cell>
          <cell r="B40" t="str">
            <v>02</v>
          </cell>
          <cell r="C40" t="str">
            <v>05</v>
          </cell>
          <cell r="D40" t="str">
            <v>01</v>
          </cell>
          <cell r="F40" t="str">
            <v>1</v>
          </cell>
          <cell r="G40" t="str">
            <v>4</v>
          </cell>
          <cell r="H40" t="str">
            <v>04</v>
          </cell>
          <cell r="I40" t="str">
            <v>009</v>
          </cell>
          <cell r="J40" t="str">
            <v>00</v>
          </cell>
          <cell r="L40" t="str">
            <v>PAPA</v>
          </cell>
          <cell r="M40">
            <v>14</v>
          </cell>
          <cell r="N40">
            <v>4</v>
          </cell>
          <cell r="O40" t="str">
            <v>OIA</v>
          </cell>
          <cell r="P40">
            <v>35863</v>
          </cell>
        </row>
        <row r="41">
          <cell r="A41" t="str">
            <v>06</v>
          </cell>
          <cell r="B41" t="str">
            <v>02</v>
          </cell>
          <cell r="C41" t="str">
            <v>05</v>
          </cell>
          <cell r="D41" t="str">
            <v>01</v>
          </cell>
          <cell r="F41" t="str">
            <v>1</v>
          </cell>
          <cell r="G41" t="str">
            <v>3</v>
          </cell>
          <cell r="H41" t="str">
            <v>01</v>
          </cell>
          <cell r="I41" t="str">
            <v>034</v>
          </cell>
          <cell r="J41" t="str">
            <v>00</v>
          </cell>
          <cell r="L41" t="str">
            <v>PERAL</v>
          </cell>
          <cell r="M41">
            <v>6</v>
          </cell>
          <cell r="N41">
            <v>4</v>
          </cell>
          <cell r="O41" t="str">
            <v>OIA</v>
          </cell>
          <cell r="P41">
            <v>35864</v>
          </cell>
        </row>
        <row r="42">
          <cell r="A42" t="str">
            <v>06</v>
          </cell>
          <cell r="B42" t="str">
            <v>02</v>
          </cell>
          <cell r="C42" t="str">
            <v>05</v>
          </cell>
          <cell r="D42" t="str">
            <v>01</v>
          </cell>
          <cell r="F42" t="str">
            <v>1</v>
          </cell>
          <cell r="G42" t="str">
            <v>4</v>
          </cell>
          <cell r="H42" t="str">
            <v>01</v>
          </cell>
          <cell r="I42" t="str">
            <v>009</v>
          </cell>
          <cell r="J42" t="str">
            <v>00</v>
          </cell>
          <cell r="L42" t="str">
            <v>QUINUA</v>
          </cell>
          <cell r="M42">
            <v>3</v>
          </cell>
          <cell r="N42">
            <v>0.4</v>
          </cell>
          <cell r="O42" t="str">
            <v>OIA</v>
          </cell>
          <cell r="P42">
            <v>35863</v>
          </cell>
        </row>
        <row r="43">
          <cell r="A43" t="str">
            <v>06</v>
          </cell>
          <cell r="B43" t="str">
            <v>02</v>
          </cell>
          <cell r="C43" t="str">
            <v>05</v>
          </cell>
          <cell r="D43" t="str">
            <v>01</v>
          </cell>
          <cell r="F43" t="str">
            <v>1</v>
          </cell>
          <cell r="G43" t="str">
            <v>4</v>
          </cell>
          <cell r="H43" t="str">
            <v>03</v>
          </cell>
          <cell r="I43" t="str">
            <v>021</v>
          </cell>
          <cell r="J43" t="str">
            <v>00</v>
          </cell>
          <cell r="L43" t="str">
            <v>TOMATE</v>
          </cell>
          <cell r="M43">
            <v>8</v>
          </cell>
          <cell r="N43">
            <v>3</v>
          </cell>
          <cell r="O43" t="str">
            <v>OIA</v>
          </cell>
          <cell r="P43">
            <v>35664</v>
          </cell>
        </row>
        <row r="44">
          <cell r="A44" t="str">
            <v>06</v>
          </cell>
          <cell r="B44" t="str">
            <v>02</v>
          </cell>
          <cell r="C44" t="str">
            <v>05</v>
          </cell>
          <cell r="D44" t="str">
            <v>01</v>
          </cell>
          <cell r="F44" t="str">
            <v>1</v>
          </cell>
          <cell r="G44" t="str">
            <v>4</v>
          </cell>
          <cell r="H44" t="str">
            <v>01</v>
          </cell>
          <cell r="I44" t="str">
            <v>011</v>
          </cell>
          <cell r="J44" t="str">
            <v>00</v>
          </cell>
          <cell r="L44" t="str">
            <v>TRIGO</v>
          </cell>
          <cell r="M44">
            <v>1.5</v>
          </cell>
          <cell r="N44">
            <v>0.4</v>
          </cell>
          <cell r="O44" t="str">
            <v>OIA</v>
          </cell>
          <cell r="P44">
            <v>35863</v>
          </cell>
        </row>
        <row r="45">
          <cell r="A45" t="str">
            <v>06</v>
          </cell>
          <cell r="B45" t="str">
            <v>02</v>
          </cell>
          <cell r="C45" t="str">
            <v>05</v>
          </cell>
          <cell r="D45" t="str">
            <v>01</v>
          </cell>
          <cell r="F45" t="str">
            <v>1</v>
          </cell>
          <cell r="G45" t="str">
            <v>5</v>
          </cell>
          <cell r="H45" t="str">
            <v>01</v>
          </cell>
          <cell r="I45" t="str">
            <v>006</v>
          </cell>
          <cell r="J45" t="str">
            <v>00</v>
          </cell>
          <cell r="L45" t="str">
            <v>TUNA</v>
          </cell>
          <cell r="M45">
            <v>11</v>
          </cell>
          <cell r="N45">
            <v>8</v>
          </cell>
          <cell r="O45" t="str">
            <v>OIA</v>
          </cell>
          <cell r="P45">
            <v>35864</v>
          </cell>
        </row>
        <row r="46">
          <cell r="A46" t="str">
            <v>06</v>
          </cell>
          <cell r="B46" t="str">
            <v>02</v>
          </cell>
          <cell r="C46" t="str">
            <v>05</v>
          </cell>
          <cell r="D46" t="str">
            <v>01</v>
          </cell>
          <cell r="F46" t="str">
            <v>1</v>
          </cell>
          <cell r="G46" t="str">
            <v>4</v>
          </cell>
          <cell r="H46" t="str">
            <v>03</v>
          </cell>
          <cell r="I46" t="str">
            <v>022</v>
          </cell>
          <cell r="J46" t="str">
            <v>00</v>
          </cell>
          <cell r="L46" t="str">
            <v>ZANAHORIA</v>
          </cell>
          <cell r="M46">
            <v>6</v>
          </cell>
          <cell r="N46">
            <v>3</v>
          </cell>
          <cell r="O46" t="str">
            <v>OIA</v>
          </cell>
          <cell r="P46">
            <v>35863</v>
          </cell>
        </row>
        <row r="47">
          <cell r="A47" t="str">
            <v>06</v>
          </cell>
          <cell r="B47" t="str">
            <v>02</v>
          </cell>
          <cell r="C47" t="str">
            <v>05</v>
          </cell>
          <cell r="D47" t="str">
            <v>01</v>
          </cell>
          <cell r="F47" t="str">
            <v>1</v>
          </cell>
          <cell r="G47" t="str">
            <v>4</v>
          </cell>
          <cell r="H47" t="str">
            <v>03</v>
          </cell>
          <cell r="I47" t="str">
            <v>023</v>
          </cell>
          <cell r="J47" t="str">
            <v>00</v>
          </cell>
          <cell r="L47" t="str">
            <v>ZAPALLO</v>
          </cell>
          <cell r="M47">
            <v>7</v>
          </cell>
          <cell r="N47">
            <v>4</v>
          </cell>
          <cell r="O47" t="str">
            <v>OIA</v>
          </cell>
          <cell r="P47">
            <v>35863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2000"/>
      <sheetName val="2001"/>
      <sheetName val="200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"/>
      <sheetName val="dist"/>
      <sheetName val="prodt"/>
      <sheetName val="hist"/>
      <sheetName val="data"/>
      <sheetName val="cedula"/>
      <sheetName val="inf"/>
      <sheetName val="personal"/>
      <sheetName val="observ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2T02:01:43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E. Edison Achalma Mendoza" id="{D2D8EB2C-C7BE-448B-8F09-AE54598A55B3}" userId="b1ecd61295a042a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5C8A5C-9342-4579-AC29-9544D47A2114}" name="Tabla3" displayName="Tabla3" ref="A5:U34" totalsRowCount="1" headerRowDxfId="979" dataDxfId="978" totalsRowDxfId="977">
  <tableColumns count="21">
    <tableColumn id="1" xr3:uid="{8E9E3C0F-EB0A-4AF0-8D8C-93756B87ED5A}" name="N°" totalsRowLabel="Total" dataDxfId="976" totalsRowDxfId="975"/>
    <tableColumn id="2" xr3:uid="{F51BF114-06C1-407E-AAAE-9390493273BD}" name="CULTIVO" dataDxfId="974" totalsRowDxfId="973"/>
    <tableColumn id="3" xr3:uid="{0B606422-2508-40C1-A558-5C07DFC8489A}" name="ENIS 2022-2023" totalsRowFunction="sum" dataDxfId="972" totalsRowDxfId="971"/>
    <tableColumn id="4" xr3:uid="{F974F2BE-21FB-47FB-9087-5FA11B2B0353}" name="AGO" totalsRowFunction="sum" dataDxfId="970" totalsRowDxfId="969"/>
    <tableColumn id="5" xr3:uid="{97686607-E354-417D-966B-95CE3304CEE6}" name="SEP" totalsRowFunction="sum" dataDxfId="968" totalsRowDxfId="967"/>
    <tableColumn id="6" xr3:uid="{CCBB26D9-6B37-409C-8A8F-90557CF9B817}" name="OCT" totalsRowFunction="sum" dataDxfId="966" totalsRowDxfId="965"/>
    <tableColumn id="7" xr3:uid="{411A32A8-7070-4713-979D-E9999E1BC295}" name="NOV" totalsRowFunction="sum" dataDxfId="964" totalsRowDxfId="963"/>
    <tableColumn id="8" xr3:uid="{DECB0778-4A81-48BE-A43E-46937DE6DC07}" name="DIC" totalsRowFunction="sum" dataDxfId="962" totalsRowDxfId="961"/>
    <tableColumn id="9" xr3:uid="{4B9DF6D4-5DF1-42A6-97D6-BC45595BA611}" name="ENE" totalsRowFunction="sum" dataDxfId="960" totalsRowDxfId="959"/>
    <tableColumn id="10" xr3:uid="{0A3894A7-C339-40D4-89D4-1CA1900F0BF7}" name="FEB" totalsRowFunction="sum" dataDxfId="958" totalsRowDxfId="957"/>
    <tableColumn id="11" xr3:uid="{B2C1FA65-5302-4F22-A6C5-521371E3BD30}" name="MAR" totalsRowFunction="sum" dataDxfId="956" totalsRowDxfId="955"/>
    <tableColumn id="12" xr3:uid="{C8639334-C4BD-4BBF-817C-19F91B204BBE}" name="ABR" totalsRowFunction="sum" dataDxfId="954" totalsRowDxfId="953"/>
    <tableColumn id="13" xr3:uid="{2FB93CA2-FD6B-48AF-BDD4-0791A15E5E98}" name="MAY" totalsRowFunction="sum" dataDxfId="952" totalsRowDxfId="951"/>
    <tableColumn id="14" xr3:uid="{15B866EE-EB13-470C-A7A9-283517A33F78}" name="JUN" totalsRowFunction="sum" dataDxfId="950" totalsRowDxfId="949"/>
    <tableColumn id="15" xr3:uid="{7C9A085C-F805-4ED9-A0E3-88C38231D452}" name="JUL" totalsRowFunction="sum" dataDxfId="948" totalsRowDxfId="947"/>
    <tableColumn id="16" xr3:uid="{ADDCA261-1C1E-4D80-B127-435991A8A10E}" name="SUPERFICIE SEMBRADA 2021-2022" totalsRowFunction="sum" dataDxfId="946" totalsRowDxfId="945"/>
    <tableColumn id="17" xr3:uid="{5168637C-5825-4B87-B06F-8A4AF37D1B5C}" name="ENIS 2021-2022" totalsRowFunction="sum" dataDxfId="944" totalsRowDxfId="943"/>
    <tableColumn id="18" xr3:uid="{11BC4C2A-2D4B-4BAA-921E-10A063E5AA9E}" name="DIF." totalsRowFunction="sum" dataDxfId="942" totalsRowDxfId="941">
      <calculatedColumnFormula>C6-P6</calculatedColumnFormula>
    </tableColumn>
    <tableColumn id="19" xr3:uid="{9192A9D0-3CFA-4BB4-8C26-EC569C8D9E2A}" name="VAR %" totalsRowFunction="custom" dataDxfId="940" totalsRowDxfId="939" dataCellStyle="Porcentaje">
      <calculatedColumnFormula>(C6-P6)/P6</calculatedColumnFormula>
      <totalsRowFormula>(C34-P34)/P34</totalsRowFormula>
    </tableColumn>
    <tableColumn id="20" xr3:uid="{C61BE167-E9EA-4A04-93B5-BA5076D5193F}" name="% ENIS" totalsRowFunction="sum" dataDxfId="938" totalsRowDxfId="937" dataCellStyle="Porcentaje">
      <calculatedColumnFormula>C6/$C$34</calculatedColumnFormula>
    </tableColumn>
    <tableColumn id="21" xr3:uid="{2C3CBC37-13F1-4F28-9D38-998F7717A513}" name="%  SUP SEMB" totalsRowFunction="sum" dataDxfId="936" totalsRowDxfId="935" dataCellStyle="Porcentaje">
      <calculatedColumnFormula>P6/$P$34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D89E8B-1A9D-4A6D-BA2E-2AFECC067D64}" name="Tabla14" displayName="Tabla14" ref="A69:U76" totalsRowCount="1" headerRowDxfId="588" dataDxfId="587" totalsRowDxfId="585" tableBorderDxfId="586">
  <tableColumns count="21">
    <tableColumn id="1" xr3:uid="{F3AAF707-6BA7-43E9-92F8-DFE6C75E77F0}" name="N°" totalsRowLabel="Total" dataDxfId="584" totalsRowDxfId="583">
      <calculatedColumnFormula>A7</calculatedColumnFormula>
    </tableColumn>
    <tableColumn id="2" xr3:uid="{C552A44B-F060-4003-BE0D-374F0FFBE757}" name="CULTIVO" dataDxfId="582" totalsRowDxfId="581"/>
    <tableColumn id="3" xr3:uid="{A8BC1CD5-7782-4C0A-93D2-1CF8BDA4F770}" name="ENIS 2022-2023" totalsRowFunction="sum" dataDxfId="580" totalsRowDxfId="579"/>
    <tableColumn id="4" xr3:uid="{1EB25A02-D9AF-4716-B52C-51266D4C387F}" name="AGO" totalsRowFunction="sum" dataDxfId="578" totalsRowDxfId="577"/>
    <tableColumn id="5" xr3:uid="{55AEA790-7FFE-43C0-8011-2F9373CF684D}" name="SEP" totalsRowFunction="sum" dataDxfId="576" totalsRowDxfId="575"/>
    <tableColumn id="6" xr3:uid="{DB89CFDB-6348-4DF7-B811-963FF2D29B1C}" name="OCT" totalsRowFunction="sum" dataDxfId="574" totalsRowDxfId="573"/>
    <tableColumn id="7" xr3:uid="{6F3AF514-6894-442F-87AD-C181BB1BE7CD}" name="NOV" totalsRowFunction="sum" dataDxfId="572" totalsRowDxfId="571"/>
    <tableColumn id="8" xr3:uid="{98282ED6-50E5-4BCA-801D-D681C3E833C7}" name="DIC" totalsRowFunction="sum" dataDxfId="570" totalsRowDxfId="569"/>
    <tableColumn id="9" xr3:uid="{FD2F0CE3-84F7-499C-B1F1-324C57F5B64D}" name="ENE" totalsRowFunction="sum" dataDxfId="568" totalsRowDxfId="567"/>
    <tableColumn id="10" xr3:uid="{83A50923-FEB8-4581-82CF-C16C33AF9EC4}" name="FEB" totalsRowFunction="sum" dataDxfId="566" totalsRowDxfId="565"/>
    <tableColumn id="11" xr3:uid="{916D95E5-8442-4905-B85F-6AA0C929172A}" name="MAR" totalsRowFunction="sum" dataDxfId="564" totalsRowDxfId="563"/>
    <tableColumn id="12" xr3:uid="{D52FD596-6EF6-46F8-8973-53EC8FF46E85}" name="ABR" totalsRowFunction="sum" dataDxfId="562" totalsRowDxfId="561"/>
    <tableColumn id="13" xr3:uid="{36EB0E58-831F-4C67-86A5-48391F2285A1}" name="MAY" totalsRowFunction="sum" dataDxfId="560" totalsRowDxfId="559"/>
    <tableColumn id="14" xr3:uid="{4B758E8E-78C9-4261-B6C2-4D89B79F4C92}" name="JUN" totalsRowFunction="sum" dataDxfId="558" totalsRowDxfId="557"/>
    <tableColumn id="15" xr3:uid="{83547A6A-4FC6-447D-9B07-0166CC82A74E}" name="JUL" totalsRowFunction="sum" dataDxfId="556" totalsRowDxfId="555"/>
    <tableColumn id="16" xr3:uid="{955C88C3-F7B0-4807-94F5-C7F06FE6F9F4}" name="SUPERFICIE SEMBRADA 2021-2022" totalsRowFunction="sum" dataDxfId="554" totalsRowDxfId="553"/>
    <tableColumn id="17" xr3:uid="{78952D4D-3C6C-4B94-B00D-995C30D9B8E6}" name="ENIS 2021-2022" dataDxfId="552" totalsRowDxfId="551">
      <calculatedColumnFormula>Q7</calculatedColumnFormula>
    </tableColumn>
    <tableColumn id="18" xr3:uid="{0F9A81C5-63A7-4327-B067-6CFD94658854}" name="DIF." dataDxfId="550" totalsRowDxfId="549"/>
    <tableColumn id="19" xr3:uid="{D30B16AF-E83F-4C79-A543-0DD0F727DEDD}" name="VAR %" dataDxfId="548" totalsRowDxfId="547" dataCellStyle="Porcentaje" totalsRowCellStyle="Porcentaje"/>
    <tableColumn id="20" xr3:uid="{4B00A058-F1B0-465B-A440-8F242883C1DA}" name="% ENIS" dataDxfId="546" totalsRowDxfId="545" dataCellStyle="Porcentaje" totalsRowCellStyle="Porcentaje"/>
    <tableColumn id="21" xr3:uid="{C567E134-9049-4F2C-9FAA-6EC41E714C0A}" name="%  SUP SEMB" dataDxfId="544" totalsRowDxfId="543" dataCellStyle="Porcentaje" totalsRowCellStyle="Porcentaje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2E8100-52D8-4E82-B420-27C5B5C01875}" name="Tabla5" displayName="Tabla5" ref="A5:U30" totalsRowCount="1" headerRowDxfId="542" dataDxfId="541" totalsRowDxfId="540">
  <tableColumns count="21">
    <tableColumn id="1" xr3:uid="{1374A514-9BE5-44D1-9ADC-B9EE02C900DB}" name="N°" totalsRowLabel="Total" dataDxfId="539" totalsRowDxfId="538"/>
    <tableColumn id="2" xr3:uid="{0F56A51B-FB40-4E73-9ACD-CA9CEC3CB152}" name="CULTIVO" dataDxfId="537" totalsRowDxfId="536"/>
    <tableColumn id="3" xr3:uid="{899D3A41-EE2B-4140-8D11-3DA009786970}" name="ENIS 2022-2023" totalsRowFunction="sum" dataDxfId="535" totalsRowDxfId="534"/>
    <tableColumn id="4" xr3:uid="{78C99CB1-2B98-496C-A83D-0D70EEFFE7C9}" name="AGO" totalsRowFunction="sum" dataDxfId="533" totalsRowDxfId="532"/>
    <tableColumn id="5" xr3:uid="{884F57BE-3BFE-4E1B-8E98-BCB4BB540403}" name="SEP" totalsRowFunction="sum" dataDxfId="531" totalsRowDxfId="530"/>
    <tableColumn id="6" xr3:uid="{BCA63695-A30E-4EF1-B2D7-918DF3B0FD0A}" name="OCT" totalsRowFunction="sum" dataDxfId="529" totalsRowDxfId="528"/>
    <tableColumn id="7" xr3:uid="{51421BDC-A66A-41AD-8A36-FA7EF170C789}" name="NOV" totalsRowFunction="sum" dataDxfId="527" totalsRowDxfId="526"/>
    <tableColumn id="8" xr3:uid="{788C09FC-4964-48C5-A22A-0761DC8D50FF}" name="DIC" totalsRowFunction="sum" dataDxfId="525" totalsRowDxfId="524"/>
    <tableColumn id="9" xr3:uid="{56455A04-CE51-45C6-8483-185B7775E7C0}" name="ENE" totalsRowFunction="sum" dataDxfId="523" totalsRowDxfId="522"/>
    <tableColumn id="10" xr3:uid="{A28D7F69-CEA2-48C5-96C2-11526D259B93}" name="FEB" totalsRowFunction="sum" dataDxfId="521" totalsRowDxfId="520"/>
    <tableColumn id="11" xr3:uid="{9004DC60-2A28-4D0E-962B-457372C3C104}" name="MAR" totalsRowFunction="sum" dataDxfId="519" totalsRowDxfId="518"/>
    <tableColumn id="12" xr3:uid="{E1A38E1E-913E-4021-97B0-C59C0AB603B3}" name="ABR" totalsRowFunction="sum" dataDxfId="517" totalsRowDxfId="516"/>
    <tableColumn id="13" xr3:uid="{166BD711-7AC4-4497-AACA-5A6E46ADE2FA}" name="MAY" totalsRowFunction="sum" dataDxfId="515" totalsRowDxfId="514"/>
    <tableColumn id="14" xr3:uid="{91A568F1-975E-4C6A-B19B-A300FC677ED5}" name="JUN" totalsRowFunction="sum" dataDxfId="513" totalsRowDxfId="512"/>
    <tableColumn id="15" xr3:uid="{9F268FCD-F1C1-4318-AA91-CB05DEEDFFE1}" name="JUL" totalsRowFunction="sum" dataDxfId="511" totalsRowDxfId="510"/>
    <tableColumn id="16" xr3:uid="{28224E2C-65AA-41F5-B647-8604F3EA2C20}" name="SUPERFICIE SEMBRADA 2021-2022" totalsRowFunction="sum" dataDxfId="509" totalsRowDxfId="508"/>
    <tableColumn id="17" xr3:uid="{8376D30A-4327-48F3-9232-BFFC178F0C79}" name="ENIS 2021-2022" totalsRowFunction="sum" dataDxfId="507" totalsRowDxfId="506"/>
    <tableColumn id="18" xr3:uid="{87B44F88-5464-494F-8ABF-12397F949EAA}" name="DIF." totalsRowFunction="sum" dataDxfId="505" totalsRowDxfId="504">
      <calculatedColumnFormula>C6-P6</calculatedColumnFormula>
    </tableColumn>
    <tableColumn id="19" xr3:uid="{B4C7A797-016A-4DFB-A056-D3C52BA6B88B}" name="VAR %" totalsRowFunction="custom" dataDxfId="503" totalsRowDxfId="502" dataCellStyle="Porcentaje" totalsRowCellStyle="Porcentaje">
      <calculatedColumnFormula>(C6-P6)/P6</calculatedColumnFormula>
      <totalsRowFormula>(C30-P30)/P30</totalsRowFormula>
    </tableColumn>
    <tableColumn id="20" xr3:uid="{2B64BB43-4C8C-46F7-98F5-6F2E137D86EA}" name="% ENIS" totalsRowFunction="sum" dataDxfId="501" totalsRowDxfId="500" dataCellStyle="Porcentaje" totalsRowCellStyle="Porcentaje">
      <calculatedColumnFormula>C6/$C$30</calculatedColumnFormula>
    </tableColumn>
    <tableColumn id="21" xr3:uid="{BBE97A99-ACAE-4134-BA5E-F77FC9E8C728}" name="%  SUP SEMB" totalsRowFunction="sum" dataDxfId="499" totalsRowDxfId="498" dataCellStyle="Porcentaje" totalsRowCellStyle="Porcentaje">
      <calculatedColumnFormula>P6/$P$30</calculatedColumnFormula>
    </tableColumn>
  </tableColumns>
  <tableStyleInfo name="TableStyleMedium7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9E8E2C8-47FB-4309-8DDA-CC10C398212B}" name="Tabla15" displayName="Tabla15" ref="A69:U76" totalsRowCount="1" headerRowDxfId="497" dataDxfId="496" totalsRowDxfId="494" tableBorderDxfId="495">
  <tableColumns count="21">
    <tableColumn id="1" xr3:uid="{028CC39D-AEDD-4C63-8638-66477D5A6377}" name="N°" totalsRowLabel="Total" dataDxfId="493" totalsRowDxfId="492">
      <calculatedColumnFormula>A7</calculatedColumnFormula>
    </tableColumn>
    <tableColumn id="2" xr3:uid="{EFE5EA03-28DB-4631-9B51-21171E58E813}" name="CULTIVO" dataDxfId="491" totalsRowDxfId="490"/>
    <tableColumn id="3" xr3:uid="{463D8F51-BD88-4BB6-8D35-3ECD16D8D50F}" name="ENIS 2022-2023" totalsRowFunction="sum" dataDxfId="489" totalsRowDxfId="488"/>
    <tableColumn id="4" xr3:uid="{AEC71138-FDDD-45E6-8C1A-C5A0EB35F8E6}" name="AGO" totalsRowFunction="sum" dataDxfId="487" totalsRowDxfId="486"/>
    <tableColumn id="5" xr3:uid="{BFFD6965-252F-4097-81FA-5EF5B5788FC2}" name="SEP" totalsRowFunction="sum" dataDxfId="485" totalsRowDxfId="484"/>
    <tableColumn id="6" xr3:uid="{CE131588-83C9-4359-96D6-90FE33F07DE3}" name="OCT" totalsRowFunction="sum" dataDxfId="483" totalsRowDxfId="482"/>
    <tableColumn id="7" xr3:uid="{AA9DBF64-BD1B-4CC8-A76A-78D3DB248576}" name="NOV" totalsRowFunction="sum" dataDxfId="481" totalsRowDxfId="480"/>
    <tableColumn id="8" xr3:uid="{87C7078A-D1D4-49F9-9AA0-D07984F0B67C}" name="DIC" totalsRowFunction="sum" dataDxfId="479" totalsRowDxfId="478"/>
    <tableColumn id="9" xr3:uid="{91C870DA-13ED-4FCD-A091-722A4610A8A9}" name="ENE" totalsRowFunction="sum" dataDxfId="477" totalsRowDxfId="476"/>
    <tableColumn id="10" xr3:uid="{C86EBAE5-EA58-46FF-BA18-E590557C9D66}" name="FEB" totalsRowFunction="sum" dataDxfId="475" totalsRowDxfId="474"/>
    <tableColumn id="11" xr3:uid="{8EFF57E1-F4E7-4619-88CB-92670950F044}" name="MAR" totalsRowFunction="sum" dataDxfId="473" totalsRowDxfId="472"/>
    <tableColumn id="12" xr3:uid="{9BB6BB4C-7C8D-444A-B962-FC9EE181AE8B}" name="ABR" totalsRowFunction="sum" dataDxfId="471" totalsRowDxfId="470"/>
    <tableColumn id="13" xr3:uid="{10A9D22B-D781-416E-A046-0ECC5B3DA80A}" name="MAY" totalsRowFunction="sum" dataDxfId="469" totalsRowDxfId="468"/>
    <tableColumn id="14" xr3:uid="{79F89266-BF00-48AF-BB4B-561C83C7932F}" name="JUN" totalsRowFunction="sum" dataDxfId="467" totalsRowDxfId="466"/>
    <tableColumn id="15" xr3:uid="{A9DFD0B2-B921-4A03-A932-F624BC56215B}" name="JUL" totalsRowFunction="sum" dataDxfId="465" totalsRowDxfId="464"/>
    <tableColumn id="16" xr3:uid="{6C9BA67D-6F26-4DCB-9D3C-18E4B5260115}" name="SUPERFICIE SEMBRADA 2021-2022" totalsRowFunction="sum" dataDxfId="463" totalsRowDxfId="462"/>
    <tableColumn id="17" xr3:uid="{BF973805-66E9-4DFF-9D7B-BCB898D93690}" name="ENIS 2021-2022" dataDxfId="461" totalsRowDxfId="460">
      <calculatedColumnFormula>Q7</calculatedColumnFormula>
    </tableColumn>
    <tableColumn id="18" xr3:uid="{AB151114-6845-4A6D-938D-8AE269FAEB7D}" name="DIF." dataDxfId="459" totalsRowDxfId="458"/>
    <tableColumn id="19" xr3:uid="{B39968E8-3A38-4DC3-A580-8C4140A0AF0F}" name="VAR %" dataDxfId="457" totalsRowDxfId="456" dataCellStyle="Porcentaje" totalsRowCellStyle="Porcentaje"/>
    <tableColumn id="20" xr3:uid="{2A994336-6688-45FC-B72A-C26319C12F05}" name="% ENIS" dataDxfId="455" totalsRowDxfId="454" dataCellStyle="Porcentaje" totalsRowCellStyle="Porcentaje"/>
    <tableColumn id="21" xr3:uid="{21BE66F6-FB7A-424D-AE5D-796D95DD64B3}" name="%  SUP SEMB" dataDxfId="453" totalsRowDxfId="452" dataCellStyle="Porcentaje" totalsRowCellStyle="Porcentaje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5B751A-E31B-4F1E-BFC1-0B06F8957A36}" name="Tabla6" displayName="Tabla6" ref="A5:U24" totalsRowCount="1" headerRowDxfId="451" dataDxfId="450" totalsRowDxfId="449">
  <tableColumns count="21">
    <tableColumn id="1" xr3:uid="{557498BA-7013-4275-8743-0696EC3734CA}" name="N°" totalsRowLabel="Total" dataDxfId="448" totalsRowDxfId="447"/>
    <tableColumn id="2" xr3:uid="{8D9615BA-4CD1-4A3C-AF21-8F0BC14B0900}" name="CULTIVO" dataDxfId="446" totalsRowDxfId="445"/>
    <tableColumn id="3" xr3:uid="{88332260-E8BE-4F1E-9A80-BF533EAE3B90}" name="ENIS 2022-2023" totalsRowFunction="sum" dataDxfId="444" totalsRowDxfId="443"/>
    <tableColumn id="4" xr3:uid="{CEE5710B-8773-49E8-9797-C50E455A5003}" name="AGO" totalsRowFunction="sum" dataDxfId="442" totalsRowDxfId="441"/>
    <tableColumn id="5" xr3:uid="{2135B1AC-5675-4818-A181-76837BDD48CC}" name="SEP" totalsRowFunction="sum" dataDxfId="440" totalsRowDxfId="439"/>
    <tableColumn id="6" xr3:uid="{AEA80F89-F663-48FB-9C87-F6E7ECD755FE}" name="OCT" totalsRowFunction="sum" dataDxfId="438" totalsRowDxfId="437"/>
    <tableColumn id="7" xr3:uid="{6107F9AC-BC85-43DC-8683-FB822E218514}" name="NOV" totalsRowFunction="sum" dataDxfId="436" totalsRowDxfId="435"/>
    <tableColumn id="8" xr3:uid="{49DAD62F-05D7-4F41-B0E1-EFA95D09CBB2}" name="DIC" totalsRowFunction="sum" dataDxfId="434" totalsRowDxfId="433"/>
    <tableColumn id="9" xr3:uid="{38F53CA2-FF8A-4CE6-836C-99929A5519F8}" name="ENE" totalsRowFunction="sum" dataDxfId="432" totalsRowDxfId="431"/>
    <tableColumn id="10" xr3:uid="{952018F9-0E72-49C2-BF2E-6C15124791E4}" name="FEB" totalsRowFunction="sum" dataDxfId="430" totalsRowDxfId="429"/>
    <tableColumn id="11" xr3:uid="{6C8C13CD-7387-4789-86E8-1200FE5F675D}" name="MAR" totalsRowFunction="sum" dataDxfId="428" totalsRowDxfId="427"/>
    <tableColumn id="12" xr3:uid="{44C5325A-D447-418F-8FC3-19A80C862DFA}" name="ABR" totalsRowFunction="sum" dataDxfId="426" totalsRowDxfId="425"/>
    <tableColumn id="13" xr3:uid="{D30B82DE-92D6-4294-92C0-2460800A1AF0}" name="MAY" totalsRowFunction="sum" dataDxfId="424" totalsRowDxfId="423"/>
    <tableColumn id="14" xr3:uid="{6E2225D1-F2B0-4560-B8D7-9CBDB1C3A76E}" name="JUN" totalsRowFunction="sum" dataDxfId="422" totalsRowDxfId="421"/>
    <tableColumn id="15" xr3:uid="{B321D59B-900F-4944-B02C-C0149BE4B425}" name="JUL" totalsRowFunction="sum" dataDxfId="420" totalsRowDxfId="419"/>
    <tableColumn id="16" xr3:uid="{BEC95552-774C-427B-BA95-2DFA05AEB847}" name="SUPERFICIE SEMBRADA 2021-2022" totalsRowFunction="sum" dataDxfId="418" totalsRowDxfId="417"/>
    <tableColumn id="17" xr3:uid="{83B741B3-BCDE-4D67-98E2-9539F622858B}" name="ENIS 2021-2022" totalsRowFunction="sum" dataDxfId="416" totalsRowDxfId="415"/>
    <tableColumn id="18" xr3:uid="{DDF9EFC6-CBD5-426B-903C-1BEBBBE7B5D1}" name="DIF." totalsRowFunction="sum" dataDxfId="414" totalsRowDxfId="413">
      <calculatedColumnFormula>C6-P6</calculatedColumnFormula>
    </tableColumn>
    <tableColumn id="19" xr3:uid="{9C7F28D9-ACD3-4415-BA08-2CDD47D9DF2D}" name="VAR %" totalsRowFunction="custom" dataDxfId="412" totalsRowDxfId="411" dataCellStyle="Porcentaje" totalsRowCellStyle="Porcentaje">
      <calculatedColumnFormula>(C6-P6)/P6</calculatedColumnFormula>
      <totalsRowFormula>(C24-P24)/P24</totalsRowFormula>
    </tableColumn>
    <tableColumn id="20" xr3:uid="{EB06E577-77D3-4D58-89F5-0623F0287821}" name="% ENIS" totalsRowFunction="sum" dataDxfId="410" totalsRowDxfId="409" dataCellStyle="Porcentaje">
      <calculatedColumnFormula>C6/$C$24</calculatedColumnFormula>
    </tableColumn>
    <tableColumn id="21" xr3:uid="{42EC6FB9-A13F-41D4-99AE-659A3DACF25B}" name="%  SUP SEMB" totalsRowFunction="sum" dataDxfId="408" totalsRowDxfId="407" dataCellStyle="Porcentaje">
      <calculatedColumnFormula>P6/$P$24</calculatedColumnFormula>
    </tableColumn>
  </tableColumns>
  <tableStyleInfo name="TableStyleMedium7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3902BB-72E5-438C-A9AD-267A8CDADC02}" name="Tabla16" displayName="Tabla16" ref="A68:U75" totalsRowCount="1" headerRowDxfId="406" dataDxfId="405" totalsRowDxfId="403" tableBorderDxfId="404">
  <tableColumns count="21">
    <tableColumn id="1" xr3:uid="{BF2E9E4F-989B-4D16-BD7C-1C3815B21DD5}" name="N°" totalsRowLabel="Total" dataDxfId="402" totalsRowDxfId="401">
      <calculatedColumnFormula>A7</calculatedColumnFormula>
    </tableColumn>
    <tableColumn id="2" xr3:uid="{5D1BC0CA-D94C-4E2E-9F96-8493DC841B19}" name="CULTIVO" dataDxfId="400" totalsRowDxfId="399"/>
    <tableColumn id="3" xr3:uid="{9A8A65CE-D001-4301-807A-A9D3473FA5A4}" name="ENIS 2022-2023" totalsRowFunction="sum" dataDxfId="398" totalsRowDxfId="397"/>
    <tableColumn id="4" xr3:uid="{4E0D8194-96D1-4445-B1CC-EB54CBFC9D8D}" name="AGO" totalsRowFunction="sum" dataDxfId="396" totalsRowDxfId="395"/>
    <tableColumn id="5" xr3:uid="{F2BF6E67-0C85-4913-84E8-E6CF87980204}" name="SEP" totalsRowFunction="sum" dataDxfId="394" totalsRowDxfId="393"/>
    <tableColumn id="6" xr3:uid="{377EBE13-9984-46CC-985F-01988FC51B73}" name="OCT" totalsRowFunction="sum" dataDxfId="392" totalsRowDxfId="391"/>
    <tableColumn id="7" xr3:uid="{DD522A36-418B-422E-966E-12E6DFE7A7B5}" name="NOV" totalsRowFunction="sum" dataDxfId="390" totalsRowDxfId="389"/>
    <tableColumn id="8" xr3:uid="{6267A9F1-5F34-4DB6-B704-D832EF7B0860}" name="DIC" totalsRowFunction="sum" dataDxfId="388" totalsRowDxfId="387"/>
    <tableColumn id="9" xr3:uid="{35F76150-3477-474B-A453-5F2946CA55DC}" name="ENE" totalsRowFunction="sum" dataDxfId="386" totalsRowDxfId="385"/>
    <tableColumn id="10" xr3:uid="{FE7F54D7-B48D-4B79-8297-AD287CA6633F}" name="FEB" totalsRowFunction="sum" dataDxfId="384" totalsRowDxfId="383"/>
    <tableColumn id="11" xr3:uid="{4AF34A45-F02D-4D3B-8FBD-B3B11CAA13E5}" name="MAR" totalsRowFunction="sum" dataDxfId="382" totalsRowDxfId="381"/>
    <tableColumn id="12" xr3:uid="{7C2AB9F3-E441-481F-BEAD-EEB896C3E6CA}" name="ABR" totalsRowFunction="sum" dataDxfId="380" totalsRowDxfId="379"/>
    <tableColumn id="13" xr3:uid="{8511588D-EF29-423D-9C0C-DCAC7A8D415D}" name="MAY" totalsRowFunction="sum" dataDxfId="378" totalsRowDxfId="377"/>
    <tableColumn id="14" xr3:uid="{32F43D72-8C2F-49AA-B95F-0732225D3A6C}" name="JUN" totalsRowFunction="sum" dataDxfId="376" totalsRowDxfId="375"/>
    <tableColumn id="15" xr3:uid="{AD9A281A-FF99-4BD0-B92C-B9B212ADB0B2}" name="JUL" totalsRowFunction="sum" dataDxfId="374" totalsRowDxfId="373"/>
    <tableColumn id="16" xr3:uid="{FBED12D4-2627-405C-B8A5-095A7B039CF1}" name="SUPERFICIE SEMBRADA 2021-2022" totalsRowFunction="sum" dataDxfId="372" totalsRowDxfId="371"/>
    <tableColumn id="17" xr3:uid="{CFFF91D3-04CA-4800-9A5F-15DAA49BA5BC}" name="ENIS 2021-2022" dataDxfId="370" totalsRowDxfId="369">
      <calculatedColumnFormula>Q7</calculatedColumnFormula>
    </tableColumn>
    <tableColumn id="18" xr3:uid="{6FD17432-F4B6-48BB-9ECC-8A4AE8E8C21F}" name="DIF." dataDxfId="368" totalsRowDxfId="367"/>
    <tableColumn id="19" xr3:uid="{708C0FF0-0364-4831-B170-EC847A017937}" name="VAR %" dataDxfId="366" totalsRowDxfId="365" dataCellStyle="Porcentaje" totalsRowCellStyle="Porcentaje"/>
    <tableColumn id="20" xr3:uid="{170AD139-D266-4FC0-BBCE-E2BC43AC1E05}" name="% ENIS" dataDxfId="364" totalsRowDxfId="363" dataCellStyle="Porcentaje" totalsRowCellStyle="Porcentaje"/>
    <tableColumn id="21" xr3:uid="{3148C370-F156-445D-B587-E5FBBB769A97}" name="%  SUP SEMB" dataDxfId="362" totalsRowDxfId="361" dataCellStyle="Porcentaje" totalsRowCellStyle="Porcentaje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6CC1FA-3622-44F4-9BAE-D8AA501F155A}" name="Tabla7" displayName="Tabla7" ref="A5:U26" totalsRowCount="1" headerRowDxfId="360" dataDxfId="359" totalsRowDxfId="358">
  <tableColumns count="21">
    <tableColumn id="1" xr3:uid="{B62AF4B6-C9B6-4985-9098-20A4FFA70DBD}" name="N°" totalsRowLabel="Total" dataDxfId="357" totalsRowDxfId="356"/>
    <tableColumn id="2" xr3:uid="{FA2D40D5-7123-4725-9B2A-6D698D799D2F}" name="CULTIVO" dataDxfId="355" totalsRowDxfId="354"/>
    <tableColumn id="3" xr3:uid="{ABE17A7F-9E67-46A3-82C3-C5ED4AE26AE9}" name="ENIS 2022-2023" totalsRowFunction="sum" dataDxfId="353" totalsRowDxfId="352"/>
    <tableColumn id="4" xr3:uid="{4F060502-4DDF-4E54-B14C-FE6161F852AF}" name="AGO" totalsRowFunction="sum" dataDxfId="351" totalsRowDxfId="350"/>
    <tableColumn id="5" xr3:uid="{E86B7039-35A9-40EF-BBE4-2BB00FE1604D}" name="SEP" totalsRowFunction="sum" dataDxfId="349" totalsRowDxfId="348"/>
    <tableColumn id="6" xr3:uid="{75D8564C-B386-4437-A962-C10622B2CE91}" name="OCT" totalsRowFunction="sum" dataDxfId="347" totalsRowDxfId="346"/>
    <tableColumn id="7" xr3:uid="{D3F2A913-667C-4521-A038-8D49F2524C58}" name="NOV" totalsRowFunction="sum" dataDxfId="345" totalsRowDxfId="344"/>
    <tableColumn id="8" xr3:uid="{58B68EF3-F625-43C3-8758-E0052C37180F}" name="DIC" totalsRowFunction="sum" dataDxfId="343" totalsRowDxfId="342"/>
    <tableColumn id="9" xr3:uid="{68C17B5C-748F-4915-B404-0D26C35D2F46}" name="ENE" totalsRowFunction="sum" dataDxfId="341" totalsRowDxfId="340"/>
    <tableColumn id="10" xr3:uid="{715DBF01-2759-41A4-A169-25DE079F4803}" name="FEB" totalsRowFunction="sum" dataDxfId="339" totalsRowDxfId="338"/>
    <tableColumn id="11" xr3:uid="{D5954656-D4D7-4FF5-9CCD-B2C1FD71A331}" name="MAR" totalsRowFunction="sum" dataDxfId="337" totalsRowDxfId="336"/>
    <tableColumn id="12" xr3:uid="{0D9604FF-78C3-4A4C-8203-4FA54F8DB67E}" name="ABR" totalsRowFunction="sum" dataDxfId="335" totalsRowDxfId="334"/>
    <tableColumn id="13" xr3:uid="{82BCFA40-E624-40FC-97D5-94048F0432FF}" name="MAY" totalsRowFunction="sum" dataDxfId="333" totalsRowDxfId="332"/>
    <tableColumn id="14" xr3:uid="{4962175C-8335-414A-938F-FAC61DDB349D}" name="JUN" totalsRowFunction="sum" dataDxfId="331" totalsRowDxfId="330"/>
    <tableColumn id="15" xr3:uid="{B6EFE05B-D55E-4C12-9D82-5365B26547D7}" name="JUL" totalsRowFunction="sum" dataDxfId="329" totalsRowDxfId="328"/>
    <tableColumn id="16" xr3:uid="{548C9A9A-A368-41C9-B8E8-B6E335FD84B1}" name="SUPERFICIE SEMBRADA 2021-2022" totalsRowFunction="sum" dataDxfId="327" totalsRowDxfId="326"/>
    <tableColumn id="17" xr3:uid="{7AC688AC-4D56-4F7C-B52F-B192E486E55E}" name="ENIS 2021-2022" totalsRowFunction="sum" dataDxfId="325" totalsRowDxfId="324"/>
    <tableColumn id="18" xr3:uid="{7C419BE2-CC9A-4AA4-A72A-7F885E22F59B}" name="DIF." totalsRowFunction="sum" dataDxfId="323" totalsRowDxfId="322">
      <calculatedColumnFormula>C6-P6</calculatedColumnFormula>
    </tableColumn>
    <tableColumn id="19" xr3:uid="{8629750D-3AB7-41D4-B56C-5ED7BA487759}" name="VAR %" totalsRowFunction="custom" dataDxfId="321" totalsRowDxfId="320" dataCellStyle="Porcentaje" totalsRowCellStyle="Porcentaje">
      <calculatedColumnFormula>(C6-P6)/P6</calculatedColumnFormula>
      <totalsRowFormula>(C26-P26)/P26</totalsRowFormula>
    </tableColumn>
    <tableColumn id="20" xr3:uid="{2FFF32EF-0E78-4CD2-B3FC-8F66362458B8}" name="% ENIS" totalsRowFunction="sum" dataDxfId="319" totalsRowDxfId="318" dataCellStyle="Porcentaje" totalsRowCellStyle="Porcentaje">
      <calculatedColumnFormula>C6/$C$26</calculatedColumnFormula>
    </tableColumn>
    <tableColumn id="21" xr3:uid="{1FBAFAE2-6C38-4D61-8181-8133DEB7F563}" name="%  SUP SEMB" totalsRowFunction="sum" dataDxfId="317" totalsRowDxfId="316" dataCellStyle="Porcentaje" totalsRowCellStyle="Porcentaje">
      <calculatedColumnFormula>P6/$P$26</calculatedColumnFormula>
    </tableColumn>
  </tableColumns>
  <tableStyleInfo name="TableStyleMedium7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86B832-26C0-4502-AEB2-62D1DA3CDB8F}" name="Tabla17" displayName="Tabla17" ref="A69:U76" totalsRowCount="1" headerRowDxfId="315" dataDxfId="314" tableBorderDxfId="313">
  <tableColumns count="21">
    <tableColumn id="1" xr3:uid="{46832871-D3F8-436F-91B9-B704C97A860B}" name="N°" totalsRowLabel="Total" dataDxfId="312" totalsRowDxfId="311">
      <calculatedColumnFormula>A7</calculatedColumnFormula>
    </tableColumn>
    <tableColumn id="2" xr3:uid="{FB47DE67-8D8A-427F-BB95-EC02F838F36C}" name="CULTIVO" dataDxfId="310" totalsRowDxfId="309"/>
    <tableColumn id="3" xr3:uid="{7326E2B4-F0B0-4402-8D6E-E8C4BD591901}" name="ENIS 2022-2023" totalsRowFunction="sum" dataDxfId="308" totalsRowDxfId="307"/>
    <tableColumn id="4" xr3:uid="{CB606BB7-5731-4E9A-971A-9FCC5318E4CE}" name="AGO" totalsRowFunction="sum" dataDxfId="306" totalsRowDxfId="305"/>
    <tableColumn id="5" xr3:uid="{5E220B71-4DE4-4FEB-A55F-C5885DA36222}" name="SEP" totalsRowFunction="sum" dataDxfId="304" totalsRowDxfId="303"/>
    <tableColumn id="6" xr3:uid="{C7D3B720-CBC9-4CB3-8F0D-B7C057F98898}" name="OCT" totalsRowFunction="sum" dataDxfId="302" totalsRowDxfId="301"/>
    <tableColumn id="7" xr3:uid="{2669E8A8-6BF8-4675-9821-324FD553DA76}" name="NOV" totalsRowFunction="sum" dataDxfId="300" totalsRowDxfId="299"/>
    <tableColumn id="8" xr3:uid="{268D0A46-A060-4C71-8903-5A96F6A50801}" name="DIC" totalsRowFunction="sum" dataDxfId="298" totalsRowDxfId="297"/>
    <tableColumn id="9" xr3:uid="{14568985-4451-4A9F-8E5A-F7A94F66F63C}" name="ENE" totalsRowFunction="sum" dataDxfId="296" totalsRowDxfId="295"/>
    <tableColumn id="10" xr3:uid="{CB634003-ADB9-42A6-BC1B-EC0F2794C9CE}" name="FEB" totalsRowFunction="sum" dataDxfId="294" totalsRowDxfId="293"/>
    <tableColumn id="11" xr3:uid="{27B8BFA0-F42E-4D5A-BF1C-988FE8B5696B}" name="MAR" totalsRowFunction="sum" dataDxfId="292" totalsRowDxfId="291"/>
    <tableColumn id="12" xr3:uid="{2D7E2BE3-AA2C-4FA3-AF2B-6D0BA1A29F2A}" name="ABR" totalsRowFunction="sum" dataDxfId="290" totalsRowDxfId="289"/>
    <tableColumn id="13" xr3:uid="{4E372EB9-9AD6-4E9D-8956-6B192EF0155E}" name="MAY" totalsRowFunction="sum" dataDxfId="288" totalsRowDxfId="287"/>
    <tableColumn id="14" xr3:uid="{1068AD61-EAA5-4C8A-B81B-EE6C516D3750}" name="JUN" totalsRowFunction="sum" dataDxfId="286" totalsRowDxfId="285"/>
    <tableColumn id="15" xr3:uid="{4ABE01B9-74BB-4235-AF30-BBD8C8CB5A8F}" name="JUL" totalsRowFunction="sum" dataDxfId="284" totalsRowDxfId="283"/>
    <tableColumn id="16" xr3:uid="{EEDF5451-3166-4F7C-9876-B0411CA88595}" name="SUPERFICIE SEMBRADA 2021-2022" totalsRowFunction="sum" dataDxfId="282" totalsRowDxfId="281"/>
    <tableColumn id="17" xr3:uid="{939F1549-5AAE-40B8-9DFF-9BB0B50FF671}" name="ENIS 2021-2022" dataDxfId="280" totalsRowDxfId="279">
      <calculatedColumnFormula>Q7</calculatedColumnFormula>
    </tableColumn>
    <tableColumn id="18" xr3:uid="{AB052DBB-9424-4F8E-B8F4-002FA8792E95}" name="DIF." dataDxfId="278" totalsRowDxfId="277"/>
    <tableColumn id="19" xr3:uid="{6DF91011-A485-4932-B922-205139C66A95}" name="VAR %" dataDxfId="276" totalsRowDxfId="275" dataCellStyle="Porcentaje" totalsRowCellStyle="Porcentaje"/>
    <tableColumn id="20" xr3:uid="{F2D8B177-3B20-4E8A-9F83-70E38BF67115}" name="% ENIS" dataDxfId="274" totalsRowDxfId="273" dataCellStyle="Porcentaje" totalsRowCellStyle="Porcentaje"/>
    <tableColumn id="21" xr3:uid="{8BEB412E-DBB9-4794-B31D-3D716627595C}" name="%  SUP SEMB" dataDxfId="272" totalsRowDxfId="271" dataCellStyle="Porcentaje" totalsRowCellStyle="Porcentaje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65263F-309D-4632-849B-23907C6F7781}" name="Tabla8" displayName="Tabla8" ref="A5:U24" totalsRowCount="1" headerRowDxfId="270" dataDxfId="269" totalsRowDxfId="268">
  <tableColumns count="21">
    <tableColumn id="1" xr3:uid="{4316B284-0731-4247-9042-5F8865B37731}" name="N°" totalsRowLabel="Total" dataDxfId="267" totalsRowDxfId="266"/>
    <tableColumn id="2" xr3:uid="{336FF15F-2CC8-497D-AFE4-90F1A11EE3CB}" name="CULTIVO" dataDxfId="265" totalsRowDxfId="264"/>
    <tableColumn id="3" xr3:uid="{B2BF53B3-08F4-4006-A2CA-E82E51744151}" name="ENIS 2022-2023" totalsRowFunction="sum" dataDxfId="263" totalsRowDxfId="262"/>
    <tableColumn id="4" xr3:uid="{24697F53-6706-4F52-88E3-EC06B37CA4C4}" name="AGO" totalsRowFunction="sum" dataDxfId="261" totalsRowDxfId="260"/>
    <tableColumn id="5" xr3:uid="{8C017F49-C1BD-4F43-9A43-8CAA19D407F0}" name="SEP" totalsRowFunction="sum" dataDxfId="259" totalsRowDxfId="258"/>
    <tableColumn id="6" xr3:uid="{8D9603EC-9260-4D17-A2EA-F054CC7F7855}" name="OCT" totalsRowFunction="sum" dataDxfId="257" totalsRowDxfId="256"/>
    <tableColumn id="7" xr3:uid="{D74F9755-D355-4682-A37C-005D0A8EED98}" name="NOV" totalsRowFunction="sum" dataDxfId="255" totalsRowDxfId="254"/>
    <tableColumn id="8" xr3:uid="{A7385AD8-BF94-4996-ADBE-881AE66268B6}" name="DIC" totalsRowFunction="sum" dataDxfId="253" totalsRowDxfId="252"/>
    <tableColumn id="9" xr3:uid="{8D18C0E4-8A8E-4DEE-8ADC-B8A92D19352A}" name="ENE" totalsRowFunction="sum" dataDxfId="251" totalsRowDxfId="250"/>
    <tableColumn id="10" xr3:uid="{A559D017-BEA6-43DE-965B-2BFC58669DC3}" name="FEB" totalsRowFunction="sum" dataDxfId="249" totalsRowDxfId="248"/>
    <tableColumn id="11" xr3:uid="{59F2413D-86BA-46B2-8409-9F5057D38961}" name="MAR" totalsRowFunction="sum" dataDxfId="247" totalsRowDxfId="246"/>
    <tableColumn id="12" xr3:uid="{EE521B98-5828-4E99-9A79-00F3CACC93D9}" name="ABR" totalsRowFunction="sum" dataDxfId="245" totalsRowDxfId="244"/>
    <tableColumn id="13" xr3:uid="{778316A5-9C1E-47DD-A1C7-9EE4EBAC18EF}" name="MAY" totalsRowFunction="sum" dataDxfId="243" totalsRowDxfId="242"/>
    <tableColumn id="14" xr3:uid="{E7D87BB2-EBF2-4932-AD51-E2A0D967BA79}" name="JUN" totalsRowFunction="sum" dataDxfId="241" totalsRowDxfId="240"/>
    <tableColumn id="15" xr3:uid="{6B202531-BD24-4AEA-AAAA-D5A63FCBCBC4}" name="JUL" totalsRowFunction="sum" dataDxfId="239" totalsRowDxfId="238"/>
    <tableColumn id="16" xr3:uid="{2A11C214-1B73-4C66-AD98-CBE6F1AE4854}" name="SUPERFICIE SEMBRADA 2021-2022" totalsRowFunction="sum" dataDxfId="237" totalsRowDxfId="236"/>
    <tableColumn id="17" xr3:uid="{BDEFBDBD-3F64-49C1-AF8E-B0055ACABF75}" name="ENIS 2021-2022" totalsRowFunction="sum" dataDxfId="235" totalsRowDxfId="234"/>
    <tableColumn id="18" xr3:uid="{687A3584-85A8-469B-A612-1DDDA67C095D}" name="DIF." totalsRowFunction="sum" dataDxfId="233" totalsRowDxfId="232"/>
    <tableColumn id="19" xr3:uid="{B3EDCEFE-0E47-48F8-A0A1-5E6CC4BC32E7}" name="VAR %" totalsRowFunction="custom" dataDxfId="231" totalsRowDxfId="230" dataCellStyle="Porcentaje" totalsRowCellStyle="Porcentaje">
      <totalsRowFormula>(C24-P24)/P24</totalsRowFormula>
    </tableColumn>
    <tableColumn id="20" xr3:uid="{C4B5B433-A34A-4649-A66E-1DDE18E74438}" name="% ENIS" totalsRowFunction="sum" dataDxfId="229" totalsRowDxfId="228" dataCellStyle="Porcentaje"/>
    <tableColumn id="21" xr3:uid="{8FE802AD-4685-410F-8022-39FD4237B0B4}" name="%  SUP SEMB" totalsRowFunction="sum" dataDxfId="227" totalsRowDxfId="226" dataCellStyle="Porcentaje"/>
  </tableColumns>
  <tableStyleInfo name="TableStyleMedium7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AD65DBB-2FCD-4D38-80FE-6E45A32D8165}" name="Tabla18" displayName="Tabla18" ref="A70:U77" totalsRowCount="1" headerRowDxfId="225" dataDxfId="224" totalsRowDxfId="222" tableBorderDxfId="223">
  <tableColumns count="21">
    <tableColumn id="1" xr3:uid="{38192BFA-29E2-4CDD-AF6B-E398096880F7}" name="N°" totalsRowLabel="Total" dataDxfId="221" totalsRowDxfId="220">
      <calculatedColumnFormula>A7</calculatedColumnFormula>
    </tableColumn>
    <tableColumn id="2" xr3:uid="{5194EA99-0F8F-4F05-909E-6E7BE89D9B73}" name="CULTIVO" dataDxfId="219" totalsRowDxfId="218"/>
    <tableColumn id="3" xr3:uid="{1A2CF03A-3C0E-4090-9AD4-E15B6BAB3575}" name="ENIS 2022-2023" totalsRowFunction="sum" dataDxfId="217" totalsRowDxfId="216"/>
    <tableColumn id="4" xr3:uid="{51CACC78-13AB-40FA-BD81-92AD96FB328A}" name="AGO" totalsRowFunction="sum" dataDxfId="215" totalsRowDxfId="214"/>
    <tableColumn id="5" xr3:uid="{467E0C37-74FC-47CF-BC0D-DE812C14CA60}" name="SEP" totalsRowFunction="sum" dataDxfId="213" totalsRowDxfId="212"/>
    <tableColumn id="6" xr3:uid="{CFFD478A-0185-4183-AFF6-A954B286D8FD}" name="OCT" totalsRowFunction="sum" dataDxfId="211" totalsRowDxfId="210"/>
    <tableColumn id="7" xr3:uid="{E8F7355C-DEE0-4783-B49D-B0242C754AAB}" name="NOV" totalsRowFunction="sum" dataDxfId="209" totalsRowDxfId="208"/>
    <tableColumn id="8" xr3:uid="{FE0341AC-9D96-44C7-B026-E328308A507D}" name="DIC" totalsRowFunction="sum" dataDxfId="207" totalsRowDxfId="206"/>
    <tableColumn id="9" xr3:uid="{2FB9EBFF-30F1-4357-8C0F-13F5D0F5801A}" name="ENE" totalsRowFunction="sum" dataDxfId="205" totalsRowDxfId="204"/>
    <tableColumn id="10" xr3:uid="{7F9FBECD-9DF0-4C60-AF7E-3C6AEA3DF50F}" name="FEB" totalsRowFunction="sum" dataDxfId="203" totalsRowDxfId="202"/>
    <tableColumn id="11" xr3:uid="{88D91D2F-7ED0-48D4-B0C0-C1AD11CC9714}" name="MAR" totalsRowFunction="sum" dataDxfId="201" totalsRowDxfId="200"/>
    <tableColumn id="12" xr3:uid="{CE24282A-A98D-4261-886B-79AE5D49E211}" name="ABR" totalsRowFunction="sum" dataDxfId="199" totalsRowDxfId="198"/>
    <tableColumn id="13" xr3:uid="{E1FFAAA3-231D-469D-9937-1346D607DCF8}" name="MAY" totalsRowFunction="sum" dataDxfId="197" totalsRowDxfId="196"/>
    <tableColumn id="14" xr3:uid="{4B7032FC-A460-4C19-917E-9C48421D4657}" name="JUN" totalsRowFunction="sum" dataDxfId="195" totalsRowDxfId="194"/>
    <tableColumn id="15" xr3:uid="{E8D49621-3948-4038-9F18-CE48C83747B1}" name="JUL" totalsRowFunction="sum" dataDxfId="193" totalsRowDxfId="192"/>
    <tableColumn id="16" xr3:uid="{1D4C5FAF-C29A-4C92-8A04-F7D0F8F9332B}" name="SUPERFICIE SEMBRADA 2021-2022" totalsRowFunction="sum" dataDxfId="191" totalsRowDxfId="190"/>
    <tableColumn id="17" xr3:uid="{D6DE3DA6-A5A6-4436-955D-1FECB672E6F4}" name="ENIS 2021-2022" dataDxfId="189" totalsRowDxfId="188">
      <calculatedColumnFormula>Q7</calculatedColumnFormula>
    </tableColumn>
    <tableColumn id="18" xr3:uid="{E4857FD8-B356-4812-AA89-F9A43E8EE95A}" name="DIF." dataDxfId="187" totalsRowDxfId="186"/>
    <tableColumn id="19" xr3:uid="{A449E1D4-0E41-4081-86D9-59EBAACAE2BE}" name="VAR %" dataDxfId="185" totalsRowDxfId="184" dataCellStyle="Porcentaje" totalsRowCellStyle="Porcentaje"/>
    <tableColumn id="20" xr3:uid="{92452834-9739-4E75-9100-6A7B4EF59E42}" name="% ENIS" dataDxfId="183" totalsRowDxfId="182" dataCellStyle="Porcentaje" totalsRowCellStyle="Porcentaje"/>
    <tableColumn id="21" xr3:uid="{9B2B331D-4894-4FF7-B6F5-9E7518112A4A}" name="%  SUP SEMB" dataDxfId="181" totalsRowDxfId="180" dataCellStyle="Porcentaje" totalsRowCellStyle="Porcentaje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82711A-EAA5-426F-849D-916767A9D85E}" name="Tabla9" displayName="Tabla9" ref="A5:U30" totalsRowCount="1" headerRowDxfId="179" dataDxfId="178" totalsRowDxfId="177">
  <tableColumns count="21">
    <tableColumn id="1" xr3:uid="{7758B148-1193-4012-BDA2-8B5A0526AAC2}" name="N°" totalsRowLabel="Total" dataDxfId="176" totalsRowDxfId="175"/>
    <tableColumn id="2" xr3:uid="{F6F1C826-5D6F-40C2-890C-60F6EFA077BD}" name="CULTIVO" dataDxfId="174" totalsRowDxfId="173"/>
    <tableColumn id="3" xr3:uid="{7545E516-EA04-4B9E-A683-1FAC43E5BB21}" name="ENIS 2022-2023" totalsRowFunction="sum" dataDxfId="172" totalsRowDxfId="171"/>
    <tableColumn id="4" xr3:uid="{422787D8-F5BF-4195-B5BC-582D45FCF2EC}" name="AGO" totalsRowFunction="sum" dataDxfId="170" totalsRowDxfId="169"/>
    <tableColumn id="5" xr3:uid="{61920C70-2445-4F0E-9C1E-D65FD3706699}" name="SEP" totalsRowFunction="sum" dataDxfId="168" totalsRowDxfId="167"/>
    <tableColumn id="6" xr3:uid="{B2AAA4D3-89B4-483B-B7C2-B387D04CEF40}" name="OCT" totalsRowFunction="sum" dataDxfId="166" totalsRowDxfId="165"/>
    <tableColumn id="7" xr3:uid="{6DB31377-DFD0-4A3C-A401-1589958AE960}" name="NOV" totalsRowFunction="sum" dataDxfId="164" totalsRowDxfId="163"/>
    <tableColumn id="8" xr3:uid="{415A68A0-6668-42A5-9161-458F395BE15B}" name="DIC" totalsRowFunction="sum" dataDxfId="162" totalsRowDxfId="161"/>
    <tableColumn id="9" xr3:uid="{DD5F1C19-A82C-492E-8604-3957781372F0}" name="ENE" totalsRowFunction="sum" dataDxfId="160" totalsRowDxfId="159"/>
    <tableColumn id="10" xr3:uid="{8B815982-0613-4D42-B9EB-AE31E01511E7}" name="FEB" totalsRowFunction="sum" dataDxfId="158" totalsRowDxfId="157"/>
    <tableColumn id="11" xr3:uid="{9D9ECE01-D9C0-47B0-88FD-5938992388AE}" name="MAR" totalsRowFunction="sum" dataDxfId="156" totalsRowDxfId="155"/>
    <tableColumn id="12" xr3:uid="{BFD0D230-8720-449B-9ECA-1F69E200B2A2}" name="ABR" totalsRowFunction="sum" dataDxfId="154" totalsRowDxfId="153"/>
    <tableColumn id="13" xr3:uid="{8CD47F15-6EEA-42D3-87B6-5405D13675EC}" name="MAY" totalsRowFunction="sum" dataDxfId="152" totalsRowDxfId="151"/>
    <tableColumn id="14" xr3:uid="{99048A92-E8A6-4A2B-9095-DDFAB4959CA4}" name="JUN" totalsRowFunction="sum" dataDxfId="150" totalsRowDxfId="149"/>
    <tableColumn id="15" xr3:uid="{ADC93D56-0F35-48E0-9250-DD0A61A8FB58}" name="JUL" totalsRowFunction="sum" dataDxfId="148" totalsRowDxfId="147"/>
    <tableColumn id="16" xr3:uid="{34C70D05-0F75-4AED-85E7-4DBF557C9915}" name="SUPERFICIE SEMBRADA 2021-2022" totalsRowFunction="sum" dataDxfId="146" totalsRowDxfId="145"/>
    <tableColumn id="17" xr3:uid="{470C3809-B186-4900-AC9F-DB90F216B744}" name="ENIS 2021-2022" totalsRowFunction="sum" dataDxfId="144" totalsRowDxfId="143"/>
    <tableColumn id="18" xr3:uid="{79DEB395-A71D-4C75-B9A7-8BF5093FD55B}" name="DIF." totalsRowFunction="sum" dataDxfId="142" totalsRowDxfId="141"/>
    <tableColumn id="19" xr3:uid="{84AC8B45-E686-471D-AB8B-EDD22FF929A6}" name="VAR %" totalsRowFunction="custom" dataDxfId="140" totalsRowDxfId="139" dataCellStyle="Porcentaje" totalsRowCellStyle="Porcentaje">
      <totalsRowFormula>(C30-P30)/P30</totalsRowFormula>
    </tableColumn>
    <tableColumn id="20" xr3:uid="{9934DDB7-7DEE-45DF-A1D5-2A071AB76DD3}" name="% ENIS" totalsRowFunction="sum" dataDxfId="138" totalsRowDxfId="137" dataCellStyle="Porcentaje"/>
    <tableColumn id="21" xr3:uid="{9AF94A93-A597-4A3E-B4AE-32BAFB97508F}" name="%  SUP SEMB" totalsRowFunction="sum" dataDxfId="136" totalsRowDxfId="135" dataCellStyle="Porcentaje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1C4E4B3-EAD8-4CD1-BFD8-B79FD0E5DD46}" name="Tabla22" displayName="Tabla22" ref="A69:U76" totalsRowCount="1" headerRowDxfId="934" dataDxfId="933">
  <tableColumns count="21">
    <tableColumn id="1" xr3:uid="{4AFDB60C-774B-4131-9D10-11A89057F9E6}" name="N°" totalsRowLabel="Total" dataDxfId="932" totalsRowDxfId="931">
      <calculatedColumnFormula>A7</calculatedColumnFormula>
    </tableColumn>
    <tableColumn id="2" xr3:uid="{7937FEE3-7987-4ED3-9B9A-8D8C5DDA1FE2}" name="CULTIVO" dataDxfId="930" totalsRowDxfId="929"/>
    <tableColumn id="3" xr3:uid="{438FC457-15EE-4492-BD29-F8F072B5DACD}" name="ENIS 2022-2023" totalsRowFunction="sum" dataDxfId="928" totalsRowDxfId="927"/>
    <tableColumn id="4" xr3:uid="{C27C67D9-C394-48F7-8C70-791CA373631D}" name="AGO" totalsRowFunction="sum" dataDxfId="926" totalsRowDxfId="925"/>
    <tableColumn id="5" xr3:uid="{E05576B8-E7B1-4774-9E91-6314F852BFE0}" name="SEP" totalsRowFunction="sum" dataDxfId="924" totalsRowDxfId="923"/>
    <tableColumn id="6" xr3:uid="{41E045A7-0A41-4631-B07C-05229DB8624F}" name="OCT" totalsRowFunction="sum" dataDxfId="922" totalsRowDxfId="921"/>
    <tableColumn id="7" xr3:uid="{CA19DFE3-8BD9-48B1-9A86-F238FB0C4A77}" name="NOV" totalsRowFunction="sum" dataDxfId="920" totalsRowDxfId="919"/>
    <tableColumn id="8" xr3:uid="{F6C9EF9E-655E-405F-9CC8-69EF1E82D90C}" name="DIC" totalsRowFunction="sum" dataDxfId="918" totalsRowDxfId="917"/>
    <tableColumn id="9" xr3:uid="{AD1A0A4E-067D-4AFB-A196-190A1E86D0AE}" name="ENE" totalsRowFunction="sum" dataDxfId="916" totalsRowDxfId="915"/>
    <tableColumn id="10" xr3:uid="{4E7EA767-CE40-402D-AF2E-E8B34DAAFF3E}" name="FEB" totalsRowFunction="sum" dataDxfId="914" totalsRowDxfId="913"/>
    <tableColumn id="11" xr3:uid="{6B6E5898-8D3C-45F6-8163-81E8F620B68F}" name="MAR" totalsRowFunction="sum" dataDxfId="912" totalsRowDxfId="911"/>
    <tableColumn id="12" xr3:uid="{07DB1E93-10C6-4994-BAE8-68B640671535}" name="ABR" totalsRowFunction="sum" dataDxfId="910" totalsRowDxfId="909"/>
    <tableColumn id="13" xr3:uid="{60679E7C-5914-4829-992A-6B6F94C20AAE}" name="MAY" totalsRowFunction="sum" dataDxfId="908" totalsRowDxfId="907"/>
    <tableColumn id="14" xr3:uid="{D5BBD1A2-AF1B-49ED-8575-B6851AB356F2}" name="JUN" totalsRowFunction="sum" dataDxfId="906" totalsRowDxfId="905"/>
    <tableColumn id="15" xr3:uid="{1F7DC947-B098-4801-B846-48790DA0927E}" name="JUL" totalsRowFunction="sum" dataDxfId="904" totalsRowDxfId="903"/>
    <tableColumn id="16" xr3:uid="{16D12A71-024D-41C4-96B6-A5D6642EC2AC}" name="SUPERFICIE SEMBRADA 2021-2022" totalsRowFunction="sum" dataDxfId="902" totalsRowDxfId="901"/>
    <tableColumn id="17" xr3:uid="{2321F9C7-B23B-4BF7-9AA3-431BF866EC16}" name="ENIS 2021-2022" dataDxfId="900" totalsRowDxfId="899">
      <calculatedColumnFormula>Q7</calculatedColumnFormula>
    </tableColumn>
    <tableColumn id="18" xr3:uid="{72A83171-CA19-49BB-B0E7-6398966FA109}" name="DIF." dataDxfId="898" totalsRowDxfId="897">
      <calculatedColumnFormula>R7</calculatedColumnFormula>
    </tableColumn>
    <tableColumn id="19" xr3:uid="{EADFEC43-8889-4D9D-8493-7E14B7B6A7DA}" name="VAR %" dataDxfId="896" totalsRowDxfId="895" dataCellStyle="Porcentaje" totalsRowCellStyle="Porcentaje">
      <calculatedColumnFormula>S7</calculatedColumnFormula>
    </tableColumn>
    <tableColumn id="20" xr3:uid="{F44BFF1A-AE0B-41AB-B92A-21F1078B1EB9}" name="% ENIS" dataDxfId="894" totalsRowDxfId="893" dataCellStyle="Porcentaje" totalsRowCellStyle="Porcentaje">
      <calculatedColumnFormula>T7</calculatedColumnFormula>
    </tableColumn>
    <tableColumn id="21" xr3:uid="{791A9E6E-3A0D-43F7-A5FD-8D2983FE7E70}" name="%  SUP SEMB" dataDxfId="892" totalsRowDxfId="891" dataCellStyle="Porcentaje" totalsRowCellStyle="Porcentaje">
      <calculatedColumnFormula>U7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ED39A3C-42A6-4C50-8F6A-A100FEC93EBC}" name="Tabla19" displayName="Tabla19" ref="A70:U77" totalsRowCount="1" headerRowDxfId="134" dataDxfId="133" tableBorderDxfId="132">
  <tableColumns count="21">
    <tableColumn id="1" xr3:uid="{DAADC8A8-C8B2-4D06-AA6D-2384DCA1EF96}" name="N°" totalsRowLabel="Total" dataDxfId="131" totalsRowDxfId="130">
      <calculatedColumnFormula>A7</calculatedColumnFormula>
    </tableColumn>
    <tableColumn id="2" xr3:uid="{11B07471-22A0-43D7-883B-F9AF5E4C85DE}" name="CULTIVO" dataDxfId="129" totalsRowDxfId="128"/>
    <tableColumn id="3" xr3:uid="{89815627-13DC-4968-BADE-3FAFA397BB4A}" name="ENIS 2022-2023" totalsRowFunction="sum" dataDxfId="127" totalsRowDxfId="126"/>
    <tableColumn id="4" xr3:uid="{2AA26EE4-97DB-442F-AA78-094601D5F499}" name="AGO" totalsRowFunction="sum" dataDxfId="125" totalsRowDxfId="124"/>
    <tableColumn id="5" xr3:uid="{28FE41DF-7B16-4558-B2EC-55966F0EE2F8}" name="SEP" totalsRowFunction="sum" dataDxfId="123" totalsRowDxfId="122"/>
    <tableColumn id="6" xr3:uid="{A720B876-75F9-47E4-9A1B-187FAC8D1CF1}" name="OCT" totalsRowFunction="sum" dataDxfId="121" totalsRowDxfId="120"/>
    <tableColumn id="7" xr3:uid="{D6F9CCB3-E861-4740-A09B-CE1D5BADAC6E}" name="NOV" totalsRowFunction="sum" dataDxfId="119" totalsRowDxfId="118"/>
    <tableColumn id="8" xr3:uid="{C690B422-9D2F-45C7-BF26-0DD2B6D7FE4A}" name="DIC" totalsRowFunction="sum" dataDxfId="117" totalsRowDxfId="116"/>
    <tableColumn id="9" xr3:uid="{540B64A4-BC1F-4C59-AC2C-30BB59284332}" name="ENE" totalsRowFunction="sum" dataDxfId="115" totalsRowDxfId="114"/>
    <tableColumn id="10" xr3:uid="{B5A0C88B-91C5-4F3F-A677-AAC4EA2E0AC4}" name="FEB" totalsRowFunction="sum" dataDxfId="113" totalsRowDxfId="112"/>
    <tableColumn id="11" xr3:uid="{9EF708A3-DDC8-413E-BC9A-23899D8F9098}" name="MAR" totalsRowFunction="sum" dataDxfId="111" totalsRowDxfId="110"/>
    <tableColumn id="12" xr3:uid="{CB8F9FD5-64F6-4F01-AB74-9C070B895A8E}" name="ABR" totalsRowFunction="sum" dataDxfId="109" totalsRowDxfId="108"/>
    <tableColumn id="13" xr3:uid="{443539F9-1FF3-45F0-84A4-109CDA0B6929}" name="MAY" totalsRowFunction="sum" dataDxfId="107" totalsRowDxfId="106"/>
    <tableColumn id="14" xr3:uid="{509BDA80-3625-44D1-900E-92C871E7FC61}" name="JUN" totalsRowFunction="sum" dataDxfId="105" totalsRowDxfId="104"/>
    <tableColumn id="15" xr3:uid="{A7CCBC10-1912-42BA-AF36-79C606732893}" name="JUL" totalsRowFunction="sum" dataDxfId="103" totalsRowDxfId="102"/>
    <tableColumn id="16" xr3:uid="{7B7975B9-C42A-445C-A236-C9D2DB843AD6}" name="SUPERFICIE SEMBRADA 2021-2022" totalsRowFunction="sum" dataDxfId="101" totalsRowDxfId="100"/>
    <tableColumn id="17" xr3:uid="{7AA87FFD-C70D-476D-ABF3-51BB6F700EF2}" name="ENIS 2021-2022" dataDxfId="99" totalsRowDxfId="98">
      <calculatedColumnFormula>Q7</calculatedColumnFormula>
    </tableColumn>
    <tableColumn id="18" xr3:uid="{764B417E-31C6-41AB-8D7F-D2FD7EEA3F4D}" name="DIF." dataDxfId="97" totalsRowDxfId="96"/>
    <tableColumn id="19" xr3:uid="{5481FADA-58B6-478B-8A70-7F79F611F209}" name="VAR %" dataDxfId="95" totalsRowDxfId="94" dataCellStyle="Porcentaje" totalsRowCellStyle="Porcentaje"/>
    <tableColumn id="20" xr3:uid="{6D97C4D9-E155-4B58-87CD-84D84028C115}" name="% ENIS" dataDxfId="93" totalsRowDxfId="92" dataCellStyle="Porcentaje" totalsRowCellStyle="Porcentaje"/>
    <tableColumn id="21" xr3:uid="{6018EBF0-59E1-4A20-BCAC-2DD3D7F55FAC}" name="%  SUP SEMB" dataDxfId="91" totalsRowDxfId="90" dataCellStyle="Porcentaje" totalsRowCellStyle="Porcentaje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09F0B9-4972-44B6-B2D3-6BD5CB7A9A9A}" name="Tabla10" displayName="Tabla10" ref="A5:U26" totalsRowCount="1" headerRowDxfId="89" dataDxfId="88" totalsRowDxfId="87">
  <tableColumns count="21">
    <tableColumn id="1" xr3:uid="{3FBC0BCD-2EB7-4448-B484-8EEE792F34AB}" name="N°" totalsRowLabel="Total" dataDxfId="86" totalsRowDxfId="85"/>
    <tableColumn id="2" xr3:uid="{60D85BFA-A903-46D5-8BBA-2CACF7B74F29}" name="CULTIVO" dataDxfId="84" totalsRowDxfId="83"/>
    <tableColumn id="3" xr3:uid="{F16C8D37-251B-4179-8D39-AF0F5503CCD7}" name="ENIS 2022-2023" totalsRowFunction="sum" dataDxfId="82" totalsRowDxfId="81"/>
    <tableColumn id="4" xr3:uid="{10858EEA-C2B8-4A96-8CA4-394C550D9CF0}" name="AGO" totalsRowFunction="sum" dataDxfId="80" totalsRowDxfId="79"/>
    <tableColumn id="5" xr3:uid="{E8936F72-A501-43BE-8EB1-73192078DB6C}" name="SEP" totalsRowFunction="sum" dataDxfId="78" totalsRowDxfId="77"/>
    <tableColumn id="6" xr3:uid="{CC01B767-0E5C-4E55-8DEE-EAD10B0A0C04}" name="OCT" totalsRowFunction="sum" dataDxfId="76" totalsRowDxfId="75"/>
    <tableColumn id="7" xr3:uid="{FD659360-8B92-442B-A8A1-A8ABE895ADEA}" name="NOV" totalsRowFunction="sum" dataDxfId="74" totalsRowDxfId="73"/>
    <tableColumn id="8" xr3:uid="{8BC41D94-F5E0-44C5-996D-B0AABD91C6EF}" name="DIC" totalsRowFunction="sum" dataDxfId="72" totalsRowDxfId="71"/>
    <tableColumn id="9" xr3:uid="{20D3541A-3E20-4F6F-BA88-FCAE60A4BF87}" name="ENE" totalsRowFunction="sum" dataDxfId="70" totalsRowDxfId="69"/>
    <tableColumn id="10" xr3:uid="{7B3341FC-1DDF-48BB-B00C-1437D98FFE68}" name="FEB" totalsRowFunction="sum" dataDxfId="68" totalsRowDxfId="67"/>
    <tableColumn id="11" xr3:uid="{E8A1B190-0E34-45BE-997C-B97A1B206449}" name="MAR" totalsRowFunction="sum" dataDxfId="66" totalsRowDxfId="65"/>
    <tableColumn id="12" xr3:uid="{4060E5CA-34D3-4696-AC7A-3DA5E3C81E28}" name="ABR" totalsRowFunction="sum" dataDxfId="64" totalsRowDxfId="63"/>
    <tableColumn id="13" xr3:uid="{57DBDF72-BD03-4F5B-A181-DA584C59B575}" name="MAY" totalsRowFunction="sum" dataDxfId="62" totalsRowDxfId="61"/>
    <tableColumn id="14" xr3:uid="{CFDACFB6-C2DF-410A-909E-6C472FB25F02}" name="JUN" totalsRowFunction="sum" dataDxfId="60" totalsRowDxfId="59"/>
    <tableColumn id="15" xr3:uid="{7948824F-F654-48A6-B0B2-22589A21E526}" name="JUL" totalsRowFunction="sum" dataDxfId="58" totalsRowDxfId="57"/>
    <tableColumn id="16" xr3:uid="{E3D9746F-8FFA-41D0-B4D6-1528CCA89193}" name="SUPERFICIE SEMBRADA 2021-2022" totalsRowFunction="sum" dataDxfId="56" totalsRowDxfId="55"/>
    <tableColumn id="17" xr3:uid="{31FCB518-749B-4292-8C9A-3398B04E9218}" name="ENIS 2021-2022" totalsRowFunction="sum" dataDxfId="54" totalsRowDxfId="53"/>
    <tableColumn id="18" xr3:uid="{9761413F-853B-4ADB-BFA0-BDE296F75883}" name="DIF." totalsRowFunction="sum" dataDxfId="52" totalsRowDxfId="51">
      <calculatedColumnFormula>C6-P6</calculatedColumnFormula>
    </tableColumn>
    <tableColumn id="19" xr3:uid="{AFBC387D-8CC6-492D-ACC1-B7C184AEB301}" name="VAR %" totalsRowFunction="custom" dataDxfId="50" totalsRowDxfId="49" dataCellStyle="Porcentaje" totalsRowCellStyle="Porcentaje">
      <calculatedColumnFormula>(C6-P6)/P6</calculatedColumnFormula>
      <totalsRowFormula>(C26-P26)/P26</totalsRowFormula>
    </tableColumn>
    <tableColumn id="20" xr3:uid="{B1469C3A-E14D-4E41-B4BE-C46EA52E723D}" name="% ENIS" totalsRowFunction="sum" dataDxfId="48" totalsRowDxfId="47" dataCellStyle="Porcentaje">
      <calculatedColumnFormula>C6/$C$26</calculatedColumnFormula>
    </tableColumn>
    <tableColumn id="21" xr3:uid="{6576B6DA-F76B-43DD-A4B0-9ACBA2C56743}" name="%  SUP SEMB" totalsRowFunction="sum" dataDxfId="46" totalsRowDxfId="45" dataCellStyle="Porcentaje">
      <calculatedColumnFormula>P6/$P$26</calculatedColumnFormula>
    </tableColumn>
  </tableColumns>
  <tableStyleInfo name="TableStyleMedium7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7A038-7CD0-4046-9725-103DAE781CE9}" name="Tabla21" displayName="Tabla21" ref="A69:U76" totalsRowCount="1" headerRowDxfId="44" dataDxfId="43" tableBorderDxfId="42">
  <tableColumns count="21">
    <tableColumn id="1" xr3:uid="{4661CC88-3FCF-4159-A92B-8270F2885E02}" name="N°" totalsRowLabel="Total" dataDxfId="41" totalsRowDxfId="40">
      <calculatedColumnFormula>A7</calculatedColumnFormula>
    </tableColumn>
    <tableColumn id="2" xr3:uid="{3B4E1DE8-9486-48AD-961C-0E86DC57E818}" name="CULTIVO" dataDxfId="39" totalsRowDxfId="38"/>
    <tableColumn id="3" xr3:uid="{C353ECC0-C3B1-45B7-9A45-3FF0ED1B088F}" name="ENIS 2022-2023" totalsRowFunction="sum" dataDxfId="37" totalsRowDxfId="36"/>
    <tableColumn id="4" xr3:uid="{6D6FF442-6B68-4EAD-86BB-60CC8D062BD2}" name="AGO" totalsRowFunction="sum" dataDxfId="35" totalsRowDxfId="34"/>
    <tableColumn id="5" xr3:uid="{5D644C5E-E2BF-4BAE-8B50-C9A5ACF3F802}" name="SEP" totalsRowFunction="sum" dataDxfId="33" totalsRowDxfId="32"/>
    <tableColumn id="6" xr3:uid="{A7385906-0400-480F-90C0-9D3AC2D7912E}" name="OCT" totalsRowFunction="sum" dataDxfId="31" totalsRowDxfId="30"/>
    <tableColumn id="7" xr3:uid="{FCA47597-A6A8-4663-B0A8-315F83C04A09}" name="NOV" totalsRowFunction="sum" dataDxfId="29" totalsRowDxfId="28"/>
    <tableColumn id="8" xr3:uid="{10DBCA51-6E63-4429-ACF7-52452006F677}" name="DIC" totalsRowFunction="sum" dataDxfId="27" totalsRowDxfId="26"/>
    <tableColumn id="9" xr3:uid="{C34AA416-D98D-4A04-B853-1FAFA2FD498E}" name="ENE" totalsRowFunction="sum" dataDxfId="25" totalsRowDxfId="24"/>
    <tableColumn id="10" xr3:uid="{065205D5-DC3E-4B2F-996A-2087066ED7DA}" name="FEB" totalsRowFunction="sum" dataDxfId="23" totalsRowDxfId="22"/>
    <tableColumn id="11" xr3:uid="{5C16C654-BF4D-4D04-8AF9-984E8A1D9BBE}" name="MAR" totalsRowFunction="sum" dataDxfId="21" totalsRowDxfId="20"/>
    <tableColumn id="12" xr3:uid="{39F0F768-E6E9-4A99-95DA-BBE0D885572F}" name="ABR" totalsRowFunction="sum" dataDxfId="19" totalsRowDxfId="18"/>
    <tableColumn id="13" xr3:uid="{AFD419AA-66E1-450F-B3AE-9E708E8193F7}" name="MAY" totalsRowFunction="sum" dataDxfId="17" totalsRowDxfId="16"/>
    <tableColumn id="14" xr3:uid="{6C249EC3-4628-4FE9-86EB-2DF7F1BD3C64}" name="JUN" totalsRowFunction="sum" dataDxfId="15" totalsRowDxfId="14"/>
    <tableColumn id="15" xr3:uid="{8774574E-3CB1-4DE9-BA27-901EFC28E7F6}" name="JUL" totalsRowFunction="sum" dataDxfId="13" totalsRowDxfId="12"/>
    <tableColumn id="16" xr3:uid="{56ACB448-5ABB-4CCF-BA68-C652C5B88C6D}" name="SUPERFICIE SEMBRADA 2021-2022" totalsRowFunction="sum" dataDxfId="11" totalsRowDxfId="10"/>
    <tableColumn id="17" xr3:uid="{BEB0D59F-AFF5-43DD-A39B-AFC004DB5E14}" name="ENIS 2021-2022" dataDxfId="9" totalsRowDxfId="8">
      <calculatedColumnFormula>Q7</calculatedColumnFormula>
    </tableColumn>
    <tableColumn id="18" xr3:uid="{099ED802-9798-494D-8244-F7F976B0D058}" name="DIF." dataDxfId="7" totalsRowDxfId="6"/>
    <tableColumn id="19" xr3:uid="{80D7C1BE-E733-4E51-BDF7-3B6A51BA6882}" name="VAR %" dataDxfId="5" totalsRowDxfId="4" dataCellStyle="Porcentaje" totalsRowCellStyle="Porcentaje"/>
    <tableColumn id="20" xr3:uid="{88E2CF26-75BE-46CF-8B69-EC7276AB7067}" name="% ENIS" dataDxfId="3" totalsRowDxfId="2" dataCellStyle="Porcentaje" totalsRowCellStyle="Porcentaje"/>
    <tableColumn id="21" xr3:uid="{3D27A07D-20DF-41F1-A72A-82C54B68416F}" name="%  SUP SEMB" dataDxfId="1" totalsRowDxfId="0" dataCellStyle="Porcentaje" totalsRowCellStyle="Porcentaj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225BA6E-95FC-4450-8BC7-2A630F990BEB}" name="Tabla20" displayName="Tabla20" ref="A5:U24" totalsRowCount="1" headerRowDxfId="890" dataDxfId="889" totalsRowDxfId="887" tableBorderDxfId="888">
  <tableColumns count="21">
    <tableColumn id="1" xr3:uid="{983E148E-DB7F-4594-BB2A-3A4571A66231}" name="N°" totalsRowLabel="Total" dataDxfId="886" totalsRowDxfId="885"/>
    <tableColumn id="2" xr3:uid="{F996BF67-8F12-41B2-9388-7961AD1AE551}" name="CULTIVO" dataDxfId="884" totalsRowDxfId="883"/>
    <tableColumn id="3" xr3:uid="{EB01F2F0-7C8F-42E1-9D7C-1E65E37B7F60}" name="ENIS 2022-2023" totalsRowFunction="sum" dataDxfId="882" totalsRowDxfId="881"/>
    <tableColumn id="4" xr3:uid="{B16CD8EF-18DF-4811-B715-235063BBE1C2}" name="AGO" totalsRowFunction="sum" dataDxfId="880" totalsRowDxfId="879"/>
    <tableColumn id="5" xr3:uid="{406CAABC-BEF9-4BCA-B78E-18131FD569CF}" name="SEP" totalsRowFunction="sum" dataDxfId="878" totalsRowDxfId="877"/>
    <tableColumn id="6" xr3:uid="{1134CDC6-4C20-4EBB-9EC5-7BACC2FD9C3B}" name="OCT" totalsRowFunction="sum" dataDxfId="876" totalsRowDxfId="875"/>
    <tableColumn id="7" xr3:uid="{9345921A-A009-42F5-9618-06B9FCD969D5}" name="NOV" totalsRowFunction="sum" dataDxfId="874" totalsRowDxfId="873"/>
    <tableColumn id="8" xr3:uid="{508EDE26-37A6-4AB5-A599-A430929BBE45}" name="DIC" totalsRowFunction="sum" dataDxfId="872" totalsRowDxfId="871"/>
    <tableColumn id="9" xr3:uid="{62A6E747-051D-4D37-B4AA-E2A70FA0E529}" name="ENE" totalsRowFunction="sum" dataDxfId="870" totalsRowDxfId="869"/>
    <tableColumn id="10" xr3:uid="{E437A3EB-09EE-44C1-9B99-B7F74250D141}" name="FEB" totalsRowFunction="sum" dataDxfId="868" totalsRowDxfId="867"/>
    <tableColumn id="11" xr3:uid="{A009580D-0792-4E0B-9C84-314E2547361E}" name="MAR" totalsRowFunction="sum" dataDxfId="866" totalsRowDxfId="865"/>
    <tableColumn id="12" xr3:uid="{C0149344-E8FB-49C0-8BE3-799E5F8D2156}" name="ABR" totalsRowFunction="sum" dataDxfId="864" totalsRowDxfId="863"/>
    <tableColumn id="13" xr3:uid="{A3454C19-ACE0-4499-8F17-CD6FDA83E2E0}" name="MAY" totalsRowFunction="sum" dataDxfId="862" totalsRowDxfId="861"/>
    <tableColumn id="14" xr3:uid="{A59E89F3-0927-4496-9A34-007455B39609}" name="JUN" totalsRowFunction="sum" dataDxfId="860" totalsRowDxfId="859"/>
    <tableColumn id="15" xr3:uid="{BED40182-4BA6-466C-B36D-52DC8F8F2690}" name="JUL" totalsRowFunction="sum" dataDxfId="858" totalsRowDxfId="857"/>
    <tableColumn id="16" xr3:uid="{BA5A5937-84C4-4942-859C-5AAD95917073}" name="SUPERFICIE SEMBRADA 2021-2022" totalsRowFunction="sum" dataDxfId="856" totalsRowDxfId="855"/>
    <tableColumn id="17" xr3:uid="{58900763-0F40-4892-B1AB-8306C5E13089}" name="ENIS 2021-2022" totalsRowFunction="sum" dataDxfId="854" totalsRowDxfId="853"/>
    <tableColumn id="18" xr3:uid="{6DBC1AF2-62EF-44B7-A4CB-FBBAB862F607}" name="DIF." totalsRowFunction="sum" dataDxfId="852" totalsRowDxfId="851">
      <calculatedColumnFormula>C6-P6</calculatedColumnFormula>
    </tableColumn>
    <tableColumn id="19" xr3:uid="{52075E74-DED1-4147-B415-1E46D0C62CB3}" name="VAR %" totalsRowFunction="custom" dataDxfId="850" totalsRowDxfId="849" dataCellStyle="Porcentaje" totalsRowCellStyle="Porcentaje">
      <calculatedColumnFormula>(C6-P6)/P6</calculatedColumnFormula>
      <totalsRowFormula>(C24-P24)/P24</totalsRowFormula>
    </tableColumn>
    <tableColumn id="20" xr3:uid="{C5C606F8-2E63-447C-9C61-7B68D23C04F4}" name="% ENIS" totalsRowFunction="sum" dataDxfId="848" totalsRowDxfId="847" dataCellStyle="Porcentaje" totalsRowCellStyle="Porcentaje">
      <calculatedColumnFormula>C6/$C$24</calculatedColumnFormula>
    </tableColumn>
    <tableColumn id="21" xr3:uid="{7AED8E48-78B8-42B8-82AF-756D0DF875CE}" name="%  SUP SEMB" totalsRowFunction="sum" dataDxfId="846" totalsRowDxfId="845" dataCellStyle="Porcentaje" totalsRowCellStyle="Porcentaje">
      <calculatedColumnFormula>P6/$P$24</calculatedColumnFormula>
    </tableColumn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C69E34-E129-4D19-B841-A0FBE913EA3C}" name="Tabla11" displayName="Tabla11" ref="A69:U76" totalsRowCount="1" headerRowDxfId="844" dataDxfId="843" tableBorderDxfId="842">
  <tableColumns count="21">
    <tableColumn id="1" xr3:uid="{287CF5E7-FB7D-4A3A-ADF0-85B0AF852476}" name="N°" totalsRowLabel="Total" dataDxfId="841" totalsRowDxfId="840">
      <calculatedColumnFormula>A7</calculatedColumnFormula>
    </tableColumn>
    <tableColumn id="2" xr3:uid="{285F12E0-04B6-4744-93DA-8ADE94CDA44A}" name="CULTIVO" dataDxfId="839" totalsRowDxfId="838"/>
    <tableColumn id="3" xr3:uid="{E75A79EF-E509-47E9-8110-A22751624F35}" name="ENIS 2022-2023" totalsRowFunction="sum" dataDxfId="837" totalsRowDxfId="836"/>
    <tableColumn id="4" xr3:uid="{FAA950CD-58EC-42CB-9078-2ED20E4B6F0B}" name="AGO" totalsRowFunction="sum" dataDxfId="835" totalsRowDxfId="834"/>
    <tableColumn id="5" xr3:uid="{ADAB946C-1003-45D5-B43D-DDF72582194C}" name="SEP" totalsRowFunction="sum" dataDxfId="833" totalsRowDxfId="832"/>
    <tableColumn id="6" xr3:uid="{6CE4C4A2-3DA1-4A83-BDC8-654A49374088}" name="OCT" totalsRowFunction="sum" dataDxfId="831" totalsRowDxfId="830"/>
    <tableColumn id="7" xr3:uid="{35771A60-2D7F-4307-AC48-7184C8A89F35}" name="NOV" totalsRowFunction="sum" dataDxfId="829" totalsRowDxfId="828"/>
    <tableColumn id="8" xr3:uid="{50364F21-0129-4269-B0BA-6AAFBD3958EB}" name="DIC" totalsRowFunction="sum" dataDxfId="827" totalsRowDxfId="826"/>
    <tableColumn id="9" xr3:uid="{836F984E-BF0E-4FDB-8B64-B728B5887BBF}" name="ENE" totalsRowFunction="sum" dataDxfId="825" totalsRowDxfId="824"/>
    <tableColumn id="10" xr3:uid="{874B6FC2-2A1C-40B3-B096-F005EFDF460C}" name="FEB" totalsRowFunction="sum" dataDxfId="823" totalsRowDxfId="822"/>
    <tableColumn id="11" xr3:uid="{9D56005F-3BFC-4EA1-B9B1-3551F4599AFC}" name="MAR" totalsRowFunction="sum" dataDxfId="821" totalsRowDxfId="820"/>
    <tableColumn id="12" xr3:uid="{9143BB05-1B8A-4C24-9737-D0D6DFCA8CBB}" name="ABR" totalsRowFunction="sum" dataDxfId="819" totalsRowDxfId="818"/>
    <tableColumn id="13" xr3:uid="{70123AED-95F3-45DC-844A-AACCF191FB83}" name="MAY" totalsRowFunction="sum" dataDxfId="817" totalsRowDxfId="816"/>
    <tableColumn id="14" xr3:uid="{321A2DC2-A6B8-437F-803A-1DA02EFB6469}" name="JUN" totalsRowFunction="sum" dataDxfId="815" totalsRowDxfId="814"/>
    <tableColumn id="15" xr3:uid="{D96E102B-9820-4F5C-9F65-589DE6B3FA1F}" name="JUL" totalsRowFunction="sum" dataDxfId="813" totalsRowDxfId="812"/>
    <tableColumn id="16" xr3:uid="{45B0CDDD-1524-416C-91AF-5103E72082F6}" name="SUPERFICIE SEMBRADA 2021-2022" totalsRowFunction="sum" dataDxfId="811" totalsRowDxfId="810"/>
    <tableColumn id="17" xr3:uid="{09D51CA7-E003-46E4-BA25-61C7D4DE7EB6}" name="ENIS 2021-2022" dataDxfId="809" totalsRowDxfId="808">
      <calculatedColumnFormula>Q7</calculatedColumnFormula>
    </tableColumn>
    <tableColumn id="18" xr3:uid="{4A7BBC71-9EBE-44C3-9153-92091D9FCC7B}" name="DIF." dataDxfId="807" totalsRowDxfId="806">
      <calculatedColumnFormula>C70-P70</calculatedColumnFormula>
    </tableColumn>
    <tableColumn id="19" xr3:uid="{8DBAED3E-3CA5-4411-AC2D-4F3E4CEEF6F8}" name="VAR %" dataDxfId="805" totalsRowDxfId="804">
      <calculatedColumnFormula>(C70-P70)/P70</calculatedColumnFormula>
    </tableColumn>
    <tableColumn id="20" xr3:uid="{8433FF79-3C7B-4A91-963A-4135FC8C1294}" name="% ENIS" dataDxfId="803" totalsRowDxfId="802">
      <calculatedColumnFormula>C70/$C$24</calculatedColumnFormula>
    </tableColumn>
    <tableColumn id="21" xr3:uid="{595B2E16-E7CD-4CFE-8043-4ED4916DABA2}" name="%  SUP SEMB" dataDxfId="801" totalsRowDxfId="800">
      <calculatedColumnFormula>P70/$P$24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131A3-39B3-4738-811F-F6DBF3F6AED9}" name="Tabla1" displayName="Tabla1" ref="A5:U20" totalsRowCount="1" headerRowDxfId="799" dataDxfId="798" totalsRowDxfId="797">
  <tableColumns count="21">
    <tableColumn id="1" xr3:uid="{80C4FB51-E863-4456-B651-757DD7263141}" name="N°" totalsRowLabel="Total" dataDxfId="796" totalsRowDxfId="795"/>
    <tableColumn id="2" xr3:uid="{93200E82-D9F0-4996-99B1-E6022A393345}" name="CULTIVO" dataDxfId="794" totalsRowDxfId="793"/>
    <tableColumn id="3" xr3:uid="{8469E29D-17E5-455A-BDC2-1FF5DF6BE6F4}" name="ENIS 2022-2023" totalsRowFunction="sum" dataDxfId="792" totalsRowDxfId="791"/>
    <tableColumn id="4" xr3:uid="{79116C05-6F42-4F95-9FE4-F95835213642}" name="AGO" totalsRowFunction="sum" dataDxfId="790" totalsRowDxfId="789"/>
    <tableColumn id="5" xr3:uid="{95EB1662-33B7-4EFF-AAE6-A7D23AB23800}" name="SEP" totalsRowFunction="sum" dataDxfId="788" totalsRowDxfId="787"/>
    <tableColumn id="6" xr3:uid="{F3A6B225-13C9-4F69-AD8E-E7B66C1B6ED1}" name="OCT" totalsRowFunction="sum" dataDxfId="786" totalsRowDxfId="785"/>
    <tableColumn id="7" xr3:uid="{BA914BEF-AA10-4C70-B67A-731DA6336A75}" name="NOV" totalsRowFunction="sum" dataDxfId="784" totalsRowDxfId="783"/>
    <tableColumn id="8" xr3:uid="{17CD5A63-803B-4BA8-A33F-69D92D0EBD79}" name="DIC" totalsRowFunction="sum" dataDxfId="782" totalsRowDxfId="781"/>
    <tableColumn id="9" xr3:uid="{3A777C8C-CB31-4EB5-81AC-FDA6CCEC3B8F}" name="ENE" totalsRowFunction="sum" dataDxfId="780" totalsRowDxfId="779"/>
    <tableColumn id="10" xr3:uid="{5875AEAB-008E-4DF7-99F5-233A98ABC550}" name="FEB" totalsRowFunction="sum" dataDxfId="778" totalsRowDxfId="777"/>
    <tableColumn id="11" xr3:uid="{973C5426-B940-430F-8A3E-3781898F177A}" name="MAR" totalsRowFunction="sum" dataDxfId="776" totalsRowDxfId="775"/>
    <tableColumn id="12" xr3:uid="{43ED6C53-587D-48DF-BE0C-94B9AC977DD1}" name="ABR" totalsRowFunction="sum" dataDxfId="774" totalsRowDxfId="773"/>
    <tableColumn id="13" xr3:uid="{03FE47D0-7F72-49FD-90AB-5C85E47A9AAB}" name="MAY" totalsRowFunction="sum" dataDxfId="772" totalsRowDxfId="771"/>
    <tableColumn id="14" xr3:uid="{EE87BF7A-4CA1-42F3-860A-98AE416F2447}" name="JUN" totalsRowFunction="sum" dataDxfId="770" totalsRowDxfId="769"/>
    <tableColumn id="15" xr3:uid="{7C463941-243D-4346-A014-695B7B8D6A99}" name="JUL" totalsRowFunction="sum" dataDxfId="768" totalsRowDxfId="767"/>
    <tableColumn id="16" xr3:uid="{BAC6F43E-5606-458E-A767-0822A01D5D59}" name="SUPERFICIE SEMBRADA 2021-2022" totalsRowFunction="sum" dataDxfId="766" totalsRowDxfId="765"/>
    <tableColumn id="17" xr3:uid="{DD45A8BB-6237-49E7-9C7E-9800CCA6217B}" name="ENIS 2021-2022" totalsRowFunction="sum" dataDxfId="764" totalsRowDxfId="763"/>
    <tableColumn id="18" xr3:uid="{0A055B80-780B-4DB5-9709-8173ACBB712E}" name="DIF." totalsRowFunction="sum" dataDxfId="762" totalsRowDxfId="761">
      <calculatedColumnFormula>C6-P6</calculatedColumnFormula>
    </tableColumn>
    <tableColumn id="19" xr3:uid="{82991894-E46B-45C1-9E9E-BFE9E44933F1}" name="VAR %" totalsRowFunction="custom" dataDxfId="760" totalsRowDxfId="759" dataCellStyle="Porcentaje">
      <calculatedColumnFormula>(C6-P6)/P6</calculatedColumnFormula>
      <totalsRowFormula>(C20-P20)/P20</totalsRowFormula>
    </tableColumn>
    <tableColumn id="20" xr3:uid="{2A5D941F-F13D-4476-972B-E57AD246DDB2}" name="% ENIS" totalsRowFunction="sum" dataDxfId="758" totalsRowDxfId="757" dataCellStyle="Porcentaje">
      <calculatedColumnFormula>C6/#REF!</calculatedColumnFormula>
    </tableColumn>
    <tableColumn id="21" xr3:uid="{C657953C-9854-438B-9842-2A2B181393AC}" name="%  SUP SEMB" totalsRowFunction="sum" dataDxfId="756" totalsRowDxfId="755" dataCellStyle="Porcentaje">
      <calculatedColumnFormula>P6/#REF!</calculatedColumnFormula>
    </tableColumn>
  </tableColumns>
  <tableStyleInfo name="TableStyleMedium7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0CBE29-C141-46EB-BC5B-AFA3838A9595}" name="Tabla12" displayName="Tabla12" ref="A70:U77" totalsRowCount="1" headerRowDxfId="754" dataDxfId="753" tableBorderDxfId="752">
  <tableColumns count="21">
    <tableColumn id="1" xr3:uid="{8E92CFDA-755E-4EB8-90B5-260F5A667B0A}" name="N°" totalsRowLabel="Total" dataDxfId="751" totalsRowDxfId="750">
      <calculatedColumnFormula>A7</calculatedColumnFormula>
    </tableColumn>
    <tableColumn id="2" xr3:uid="{D3F6F925-1640-4497-AB6F-08B53CF799D5}" name="CULTIVO" dataDxfId="749" totalsRowDxfId="748"/>
    <tableColumn id="3" xr3:uid="{67328FC1-818F-4FB9-B26E-FB4245A5E868}" name="ENIS 2022-2023" totalsRowFunction="sum" dataDxfId="747" totalsRowDxfId="746"/>
    <tableColumn id="4" xr3:uid="{5133E24F-2EE4-4D3E-9929-E47047EBB185}" name="AGO" totalsRowFunction="sum" dataDxfId="745" totalsRowDxfId="744"/>
    <tableColumn id="5" xr3:uid="{5FCFCD4B-7F32-44B7-BEAB-49BE7C731957}" name="SEP" totalsRowFunction="sum" dataDxfId="743" totalsRowDxfId="742"/>
    <tableColumn id="6" xr3:uid="{F7C86511-C0C9-4AF8-BAC2-AE5815DD082C}" name="OCT" totalsRowFunction="sum" dataDxfId="741" totalsRowDxfId="740"/>
    <tableColumn id="7" xr3:uid="{F06633AD-F56E-4420-9B77-3DFBDF355716}" name="NOV" totalsRowFunction="sum" dataDxfId="739" totalsRowDxfId="738"/>
    <tableColumn id="8" xr3:uid="{291CFEF2-5F4A-4757-9333-828ECDE8591B}" name="DIC" totalsRowFunction="sum" dataDxfId="737" totalsRowDxfId="736"/>
    <tableColumn id="9" xr3:uid="{BC464C73-AAE2-473D-9F00-9D9BFD9EF117}" name="ENE" totalsRowFunction="sum" dataDxfId="735" totalsRowDxfId="734"/>
    <tableColumn id="10" xr3:uid="{0F0C2E1F-3B0F-4AF9-B1EB-5C15DD9212C3}" name="FEB" totalsRowFunction="sum" dataDxfId="733" totalsRowDxfId="732"/>
    <tableColumn id="11" xr3:uid="{7F71E4E6-E3F9-4387-AB7E-16D4AB8BD6A3}" name="MAR" totalsRowFunction="sum" dataDxfId="731" totalsRowDxfId="730"/>
    <tableColumn id="12" xr3:uid="{79CEE1DC-C2FC-42E8-9002-D60FE1D21130}" name="ABR" totalsRowFunction="sum" dataDxfId="729" totalsRowDxfId="728"/>
    <tableColumn id="13" xr3:uid="{9204C36F-547C-42C6-98D1-3B6693EC2A75}" name="MAY" totalsRowFunction="sum" dataDxfId="727" totalsRowDxfId="726"/>
    <tableColumn id="14" xr3:uid="{A7114995-D470-49FE-8168-B3EFB7E06796}" name="JUN" totalsRowFunction="sum" dataDxfId="725" totalsRowDxfId="724"/>
    <tableColumn id="15" xr3:uid="{33C7058C-E29A-4294-8BC5-8F0FB51C5DF0}" name="JUL" totalsRowFunction="sum" dataDxfId="723" totalsRowDxfId="722"/>
    <tableColumn id="16" xr3:uid="{16A7CAC0-C6E5-449E-B923-019A1FB8BDB7}" name="SUPERFICIE SEMBRADA 2021-2022" totalsRowFunction="sum" dataDxfId="721" totalsRowDxfId="720"/>
    <tableColumn id="17" xr3:uid="{28034148-6258-4FFF-A5FE-1D066E7D1F76}" name="ENIS 2021-2022" dataDxfId="719" totalsRowDxfId="718">
      <calculatedColumnFormula>Q7</calculatedColumnFormula>
    </tableColumn>
    <tableColumn id="18" xr3:uid="{66FB2223-ECF4-4B01-84D5-B03F55568F1B}" name="DIF." dataDxfId="717" totalsRowDxfId="716">
      <calculatedColumnFormula>C71-P71</calculatedColumnFormula>
    </tableColumn>
    <tableColumn id="19" xr3:uid="{65ACFFCD-0A4F-46CE-95EC-DA3F4039CF7A}" name="VAR %" dataDxfId="715" totalsRowDxfId="714" dataCellStyle="Porcentaje">
      <calculatedColumnFormula>(C71-P71)/P71</calculatedColumnFormula>
    </tableColumn>
    <tableColumn id="20" xr3:uid="{2A8E719E-ABC4-4F51-AEC4-FD4E88C882D9}" name="% ENIS" dataDxfId="713" totalsRowDxfId="712" dataCellStyle="Porcentaje">
      <calculatedColumnFormula>C71/$C$20</calculatedColumnFormula>
    </tableColumn>
    <tableColumn id="21" xr3:uid="{E7DF02FA-53FB-4B30-8542-CB84A2603746}" name="%  SUP SEMB" dataDxfId="711" totalsRowDxfId="710" dataCellStyle="Porcentaje">
      <calculatedColumnFormula>P71/$P$20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78218D-A50F-452D-8BDA-CB7968DAB21D}" name="Tabla2" displayName="Tabla2" ref="A5:U30" totalsRowCount="1" headerRowDxfId="709" dataDxfId="708" totalsRowDxfId="707">
  <tableColumns count="21">
    <tableColumn id="1" xr3:uid="{9C837814-9C9C-401E-B293-6BAF141979BC}" name="N°" totalsRowLabel="Total" dataDxfId="706" totalsRowDxfId="705"/>
    <tableColumn id="2" xr3:uid="{A0EDF583-CF47-4D5A-94CE-8014CA722EC3}" name="CULTIVO" dataDxfId="704" totalsRowDxfId="703"/>
    <tableColumn id="3" xr3:uid="{37F58528-04E4-4823-B588-68B7F2A5BD83}" name="ENIS 2022-2023" totalsRowFunction="sum" dataDxfId="702"/>
    <tableColumn id="4" xr3:uid="{74ACA9AB-8CE6-4B7E-AB7F-4F7A40ACCDE4}" name="AGO" totalsRowFunction="sum" dataDxfId="701"/>
    <tableColumn id="5" xr3:uid="{E030C5A4-E7BC-4689-899A-E6BAA4FA564E}" name="SEP" totalsRowFunction="sum" dataDxfId="700"/>
    <tableColumn id="6" xr3:uid="{81F23A9F-4B4F-4B8B-B8D3-929F4CCFB196}" name="OCT" totalsRowFunction="sum" dataDxfId="699"/>
    <tableColumn id="7" xr3:uid="{740C1991-8217-4369-BD55-444F2DD421CF}" name="NOV" totalsRowFunction="sum" dataDxfId="698"/>
    <tableColumn id="8" xr3:uid="{7D7B115C-7742-4A4B-83DA-0DE250BF0079}" name="DIC" totalsRowFunction="sum" dataDxfId="697"/>
    <tableColumn id="9" xr3:uid="{AC561A62-CD86-440D-95BE-EF7BF960AB8A}" name="ENE" totalsRowFunction="sum" dataDxfId="696"/>
    <tableColumn id="10" xr3:uid="{F27687A2-6FD1-4789-AB66-432BD9720583}" name="FEB" totalsRowFunction="sum" dataDxfId="695"/>
    <tableColumn id="11" xr3:uid="{13A33560-6B6A-4733-AADF-C53EC325FE3D}" name="MAR" totalsRowFunction="sum" dataDxfId="694"/>
    <tableColumn id="12" xr3:uid="{D4BE7B73-0F6B-4F3B-A299-0CD2C040688C}" name="ABR" totalsRowFunction="sum" dataDxfId="693"/>
    <tableColumn id="13" xr3:uid="{633C5446-1B03-4F13-98C7-7B4E0C7EC491}" name="MAY" totalsRowFunction="sum" dataDxfId="692"/>
    <tableColumn id="14" xr3:uid="{70151A29-9918-4953-A87E-AC19EC48FAC2}" name="JUN" totalsRowFunction="sum" dataDxfId="691"/>
    <tableColumn id="15" xr3:uid="{9E218B7F-707A-4D5A-BE79-8CA1F7C6FD62}" name="JUL" totalsRowFunction="sum" dataDxfId="690"/>
    <tableColumn id="16" xr3:uid="{EFEF2B44-6C1D-4B39-ABB8-FD0C7B5ECB78}" name="SUPERFICIE SEMBRADA 2021-2022" totalsRowFunction="sum" dataDxfId="689"/>
    <tableColumn id="17" xr3:uid="{02941BBB-160B-4F79-AE2F-C8FBDE229B9F}" name="ENIS 2021-2022" totalsRowFunction="sum" dataDxfId="688" totalsRowDxfId="687"/>
    <tableColumn id="18" xr3:uid="{5E8B6601-EB23-4DA8-A86F-1051E3F27BFE}" name="DIF." totalsRowFunction="sum" dataDxfId="686" totalsRowDxfId="685">
      <calculatedColumnFormula>(C6-P6)/P6</calculatedColumnFormula>
    </tableColumn>
    <tableColumn id="19" xr3:uid="{14CD2FD2-DDC7-46F8-8B2B-ED92DC2EB280}" name="VAR %" totalsRowFunction="custom" dataDxfId="684" totalsRowDxfId="683" dataCellStyle="Porcentaje">
      <calculatedColumnFormula>C6*100/#REF!</calculatedColumnFormula>
      <totalsRowFormula>(C30-P30)/P30</totalsRowFormula>
    </tableColumn>
    <tableColumn id="20" xr3:uid="{9EC92046-78CE-42EE-87D1-F92920265549}" name="% ENIS" totalsRowFunction="sum" dataDxfId="682" totalsRowDxfId="681" dataCellStyle="Porcentaje">
      <calculatedColumnFormula>C6-P6</calculatedColumnFormula>
    </tableColumn>
    <tableColumn id="21" xr3:uid="{92A58CD3-F41A-4161-952C-BE0C2183BDD1}" name="%  SUP SEMB" totalsRowFunction="sum" dataDxfId="680" totalsRowDxfId="679" dataCellStyle="Porcentaje"/>
  </tableColumns>
  <tableStyleInfo name="TableStyleMedium7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5ECBEF-AB72-482C-8DAC-23A9C90F46E1}" name="Tabla13" displayName="Tabla13" ref="A69:U76" totalsRowCount="1" headerRowDxfId="678" dataDxfId="677" tableBorderDxfId="676">
  <tableColumns count="21">
    <tableColumn id="1" xr3:uid="{1B907CEE-A952-4D3E-8F0D-8A2DBF15AC70}" name="N°" totalsRowFunction="sum" dataDxfId="675" totalsRowDxfId="674">
      <calculatedColumnFormula>A7</calculatedColumnFormula>
    </tableColumn>
    <tableColumn id="2" xr3:uid="{C70487BF-C5CE-4451-B4CF-814B70920FBD}" name="CULTIVO" totalsRowFunction="sum" dataDxfId="673" totalsRowDxfId="672"/>
    <tableColumn id="3" xr3:uid="{99E3EC2C-B7D9-4DC9-BD7E-5B00291160D9}" name="ENIS 2022-2023" totalsRowFunction="sum" dataDxfId="671" totalsRowDxfId="670"/>
    <tableColumn id="4" xr3:uid="{E9802487-B3B9-453D-9746-84A0A6CFBC72}" name="AGO" totalsRowFunction="sum" dataDxfId="669" totalsRowDxfId="668"/>
    <tableColumn id="5" xr3:uid="{0ED5E4D7-C305-4ABC-BA49-F434BD252D01}" name="SEP" totalsRowFunction="sum" dataDxfId="667" totalsRowDxfId="666"/>
    <tableColumn id="6" xr3:uid="{E8129CFE-A113-44F1-84D4-82EF122BB905}" name="OCT" totalsRowFunction="sum" dataDxfId="665" totalsRowDxfId="664"/>
    <tableColumn id="7" xr3:uid="{BEB6C1F7-A9F3-4A32-8168-6578747E9DA8}" name="NOV" totalsRowFunction="sum" dataDxfId="663" totalsRowDxfId="662"/>
    <tableColumn id="8" xr3:uid="{3E556EC1-9A43-4DF6-8229-8A518D802EBB}" name="DIC" totalsRowFunction="sum" dataDxfId="661" totalsRowDxfId="660"/>
    <tableColumn id="9" xr3:uid="{FD0E0162-E56E-4D0C-B491-F09ABCED8BA4}" name="ENE" totalsRowFunction="sum" dataDxfId="659" totalsRowDxfId="658"/>
    <tableColumn id="10" xr3:uid="{8CF54F77-8218-4ED5-9B24-C83DA16C8768}" name="FEB" totalsRowFunction="sum" dataDxfId="657" totalsRowDxfId="656"/>
    <tableColumn id="11" xr3:uid="{30FEB50C-436E-4462-9202-CB54F71FDEF6}" name="MAR" totalsRowFunction="sum" dataDxfId="655" totalsRowDxfId="654"/>
    <tableColumn id="12" xr3:uid="{4B148D9B-278C-491E-A5A8-D5DA0BE6EAE3}" name="ABR" totalsRowFunction="sum" dataDxfId="653" totalsRowDxfId="652"/>
    <tableColumn id="13" xr3:uid="{542BB550-67EA-4613-B1E2-353D8118F1CC}" name="MAY" totalsRowFunction="sum" dataDxfId="651" totalsRowDxfId="650"/>
    <tableColumn id="14" xr3:uid="{23112616-F000-49E4-8C23-2E102B5403FC}" name="JUN" totalsRowFunction="sum" dataDxfId="649" totalsRowDxfId="648"/>
    <tableColumn id="15" xr3:uid="{19CABFBC-00C6-4EE9-BE2F-6FC4812D5DA5}" name="JUL" totalsRowFunction="sum" dataDxfId="647" totalsRowDxfId="646"/>
    <tableColumn id="16" xr3:uid="{FD242B7D-C860-4F1D-8757-B33684919178}" name="SUPERFICIE SEMBRADA 2021-2022" totalsRowFunction="sum" dataDxfId="645" totalsRowDxfId="644"/>
    <tableColumn id="17" xr3:uid="{F9145CD1-D893-4ED2-B720-85F55F8131D8}" name="ENIS 2021-2022" dataDxfId="643" totalsRowDxfId="642">
      <calculatedColumnFormula>Q7</calculatedColumnFormula>
    </tableColumn>
    <tableColumn id="18" xr3:uid="{715AD34B-42FF-45E0-952D-0C2A728D5D6C}" name="DIF." dataDxfId="641" totalsRowDxfId="640"/>
    <tableColumn id="19" xr3:uid="{FC1E88C1-00B2-4493-9AC9-35C3A5955924}" name="VAR %" dataDxfId="639" totalsRowDxfId="638"/>
    <tableColumn id="20" xr3:uid="{98CEEFAB-CF5B-4299-BE9E-69C6AA6B5623}" name="% ENIS" dataDxfId="637" totalsRowDxfId="636"/>
    <tableColumn id="21" xr3:uid="{B9AA356F-6DBD-4E20-8D30-4A2B028C6E81}" name="%  SUP SEMB" dataDxfId="635" totalsRowDxfId="6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04E054-E4AA-4835-B429-8015A7D04A18}" name="Tabla4" displayName="Tabla4" ref="A5:U32" totalsRowCount="1" headerRowDxfId="633" dataDxfId="632" totalsRowDxfId="631">
  <tableColumns count="21">
    <tableColumn id="1" xr3:uid="{8A19246B-F1EC-4B14-A302-4C14A5DF0E1E}" name="N°" totalsRowLabel="Total" dataDxfId="630" totalsRowDxfId="629"/>
    <tableColumn id="2" xr3:uid="{9224C725-C8D7-417C-880A-7EF2ADA2A0C8}" name="CULTIVO" dataDxfId="628" totalsRowDxfId="627"/>
    <tableColumn id="3" xr3:uid="{9F786241-FABE-4B70-B656-CC6F079843ED}" name="ENIS 2022-2023" totalsRowFunction="sum" dataDxfId="626" totalsRowDxfId="625"/>
    <tableColumn id="4" xr3:uid="{37EEC9A1-09B7-403A-80B9-88E38F9F8247}" name="AGO" totalsRowFunction="sum" dataDxfId="624" totalsRowDxfId="623"/>
    <tableColumn id="5" xr3:uid="{EFFE9021-CF0C-448B-A14E-569AA7D2408A}" name="SEP" totalsRowFunction="sum" dataDxfId="622" totalsRowDxfId="621"/>
    <tableColumn id="6" xr3:uid="{BD5994BA-9035-408B-A0A6-F67F9CCBAE0D}" name="OCT" totalsRowFunction="sum" dataDxfId="620" totalsRowDxfId="619"/>
    <tableColumn id="7" xr3:uid="{72283859-48C0-4F0C-99B9-447E3333AB94}" name="NOV" totalsRowFunction="sum" dataDxfId="618" totalsRowDxfId="617"/>
    <tableColumn id="8" xr3:uid="{4805341D-9045-4193-B574-321D85FAF55F}" name="DIC" totalsRowFunction="sum" dataDxfId="616" totalsRowDxfId="615"/>
    <tableColumn id="9" xr3:uid="{299F8397-2425-428E-8D78-21B330CD6C55}" name="ENE" totalsRowFunction="sum" dataDxfId="614" totalsRowDxfId="613"/>
    <tableColumn id="10" xr3:uid="{C8AABE73-5C6F-4BD2-B18D-68BF92E328DF}" name="FEB" totalsRowFunction="sum" dataDxfId="612" totalsRowDxfId="611"/>
    <tableColumn id="11" xr3:uid="{F108FD19-812E-42EE-AEAA-A383BA558610}" name="MAR" totalsRowFunction="sum" dataDxfId="610" totalsRowDxfId="609"/>
    <tableColumn id="12" xr3:uid="{44DF3B9D-1034-4EB4-9185-BE2011A870A3}" name="ABR" totalsRowFunction="sum" dataDxfId="608" totalsRowDxfId="607"/>
    <tableColumn id="13" xr3:uid="{36EE4B53-A6FC-487B-9371-2C4EF06FFDC2}" name="MAY" totalsRowFunction="sum" dataDxfId="606" totalsRowDxfId="605"/>
    <tableColumn id="14" xr3:uid="{06132BFE-F2DD-4BBD-ADB9-D57178FBA4EA}" name="JUN" totalsRowFunction="sum" dataDxfId="604" totalsRowDxfId="603"/>
    <tableColumn id="15" xr3:uid="{3553115F-BF56-40AD-8EF5-996EF760F106}" name="JUL" totalsRowFunction="sum" dataDxfId="602" totalsRowDxfId="601"/>
    <tableColumn id="16" xr3:uid="{F98270E5-1BEB-4812-87FD-87710CB9D07C}" name="SUPERFICIE SEMBRADA 2021-2022" totalsRowFunction="sum" dataDxfId="600" totalsRowDxfId="599"/>
    <tableColumn id="17" xr3:uid="{51607D29-467F-4ED0-9FCD-5E94E9963EAA}" name="ENIS 2021-2022" totalsRowFunction="sum" dataDxfId="598" totalsRowDxfId="597"/>
    <tableColumn id="18" xr3:uid="{F5210248-D965-4000-9D2D-2804B5F3CB62}" name="DIF." totalsRowFunction="sum" dataDxfId="596" totalsRowDxfId="595">
      <calculatedColumnFormula>C6-P6</calculatedColumnFormula>
    </tableColumn>
    <tableColumn id="19" xr3:uid="{BBCE003F-2938-4434-A87C-1B1A66A7BFAB}" name="VAR %" totalsRowFunction="custom" dataDxfId="594" totalsRowDxfId="593" dataCellStyle="Porcentaje" totalsRowCellStyle="Porcentaje">
      <calculatedColumnFormula>(C6-P6)/P6</calculatedColumnFormula>
      <totalsRowFormula>(C32-P32)/P32</totalsRowFormula>
    </tableColumn>
    <tableColumn id="20" xr3:uid="{6824BF4E-DDE1-4820-95B0-091D55132A03}" name="% ENIS" totalsRowFunction="sum" dataDxfId="592" totalsRowDxfId="591" dataCellStyle="Porcentaje" totalsRowCellStyle="Porcentaje">
      <calculatedColumnFormula>C6/$C$32</calculatedColumnFormula>
    </tableColumn>
    <tableColumn id="21" xr3:uid="{D352CAC7-E3B6-42B4-8F2B-F6679508C1A3}" name="%  SUP SEMB" totalsRowFunction="sum" dataDxfId="590" totalsRowDxfId="589" dataCellStyle="Porcentaje" totalsRowCellStyle="Porcentaje">
      <calculatedColumnFormula>P6/$P$32</calculatedColumnFormula>
    </tableColumn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3" dT="2022-08-10T17:40:08.78" personId="{D2D8EB2C-C7BE-448B-8F09-AE54598A55B3}" id="{F8C5E733-E9D7-4A45-9872-559F74732853}">
    <text>En matemáticas, el concepto de la variación porcentual se utiliza para describir la relación entre un valor pasado y uno presente. De manera específica, la variación porcentual representa la diferencia entre un valor pasado y uno presente en términos de un porcentaje del valor pasado. La ecuación a utilizar es ((V2 - V1) / V1) × 100 en la cual V1 representa al valor pasado o inicial y V2 representa al valor presente o final. Si el número es positivo, entonces hay un incremento porcentual. Si es negativo, hay un decremento o disminución porcentual. Si prefieres evitar trabajar con números negativos, puedes usar una fórmula modificada para determinar la disminución porcentual.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E989"/>
  <sheetViews>
    <sheetView showGridLines="0" workbookViewId="0">
      <selection activeCell="G14" sqref="G14"/>
    </sheetView>
  </sheetViews>
  <sheetFormatPr baseColWidth="10" defaultColWidth="11.42578125" defaultRowHeight="12.75" x14ac:dyDescent="0.2"/>
  <cols>
    <col min="1" max="1" width="4" style="2" bestFit="1" customWidth="1"/>
    <col min="2" max="2" width="24.5703125" style="2" bestFit="1" customWidth="1"/>
    <col min="3" max="3" width="31.28515625" style="2" bestFit="1" customWidth="1"/>
    <col min="4" max="4" width="36.42578125" style="2" customWidth="1"/>
    <col min="5" max="5" width="31.5703125" style="2" bestFit="1" customWidth="1"/>
    <col min="6" max="16384" width="11.42578125" style="2"/>
  </cols>
  <sheetData>
    <row r="1" spans="1:5" ht="13.5" customHeight="1" x14ac:dyDescent="0.2">
      <c r="A1" s="1">
        <v>10</v>
      </c>
      <c r="B1" s="1"/>
      <c r="C1" s="1"/>
      <c r="D1" s="1"/>
      <c r="E1" s="1"/>
    </row>
    <row r="2" spans="1:5" x14ac:dyDescent="0.2">
      <c r="A2" s="136" t="s">
        <v>1250</v>
      </c>
      <c r="B2" s="136"/>
      <c r="C2" s="136"/>
      <c r="D2" s="136"/>
      <c r="E2" s="136"/>
    </row>
    <row r="3" spans="1:5" x14ac:dyDescent="0.2">
      <c r="A3" s="136" t="s">
        <v>788</v>
      </c>
      <c r="B3" s="136"/>
      <c r="C3" s="136"/>
      <c r="D3" s="136"/>
      <c r="E3" s="136"/>
    </row>
    <row r="4" spans="1:5" ht="3.75" customHeight="1" x14ac:dyDescent="0.2">
      <c r="A4" s="1"/>
      <c r="B4" s="1"/>
      <c r="C4" s="1"/>
      <c r="D4" s="1"/>
      <c r="E4" s="1"/>
    </row>
    <row r="5" spans="1:5" ht="11.25" customHeight="1" x14ac:dyDescent="0.2">
      <c r="A5" s="137" t="s">
        <v>59</v>
      </c>
      <c r="B5" s="137" t="s">
        <v>47</v>
      </c>
      <c r="C5" s="137" t="s">
        <v>204</v>
      </c>
      <c r="D5" s="137" t="s">
        <v>205</v>
      </c>
      <c r="E5" s="137" t="s">
        <v>206</v>
      </c>
    </row>
    <row r="6" spans="1:5" ht="11.25" customHeight="1" x14ac:dyDescent="0.2">
      <c r="A6" s="138"/>
      <c r="B6" s="138"/>
      <c r="C6" s="138"/>
      <c r="D6" s="138"/>
      <c r="E6" s="138"/>
    </row>
    <row r="7" spans="1:5" x14ac:dyDescent="0.2">
      <c r="A7" s="3">
        <v>1</v>
      </c>
      <c r="B7" s="3" t="s">
        <v>48</v>
      </c>
      <c r="C7" s="3" t="s">
        <v>62</v>
      </c>
      <c r="D7" s="3" t="s">
        <v>207</v>
      </c>
      <c r="E7" s="3" t="s">
        <v>208</v>
      </c>
    </row>
    <row r="8" spans="1:5" x14ac:dyDescent="0.2">
      <c r="A8" s="3">
        <v>2</v>
      </c>
      <c r="B8" s="3" t="s">
        <v>48</v>
      </c>
      <c r="C8" s="3" t="s">
        <v>62</v>
      </c>
      <c r="D8" s="3" t="s">
        <v>209</v>
      </c>
      <c r="E8" s="3" t="s">
        <v>208</v>
      </c>
    </row>
    <row r="9" spans="1:5" x14ac:dyDescent="0.2">
      <c r="A9" s="3">
        <v>3</v>
      </c>
      <c r="B9" s="3" t="s">
        <v>48</v>
      </c>
      <c r="C9" s="3" t="s">
        <v>62</v>
      </c>
      <c r="D9" s="3" t="s">
        <v>210</v>
      </c>
      <c r="E9" s="3" t="s">
        <v>208</v>
      </c>
    </row>
    <row r="10" spans="1:5" x14ac:dyDescent="0.2">
      <c r="A10" s="3">
        <v>4</v>
      </c>
      <c r="B10" s="3" t="s">
        <v>48</v>
      </c>
      <c r="C10" s="3" t="s">
        <v>62</v>
      </c>
      <c r="D10" s="3" t="s">
        <v>213</v>
      </c>
      <c r="E10" s="3" t="s">
        <v>214</v>
      </c>
    </row>
    <row r="11" spans="1:5" x14ac:dyDescent="0.2">
      <c r="A11" s="3">
        <v>5</v>
      </c>
      <c r="B11" s="3" t="s">
        <v>48</v>
      </c>
      <c r="C11" s="3" t="s">
        <v>62</v>
      </c>
      <c r="D11" s="3" t="s">
        <v>211</v>
      </c>
      <c r="E11" s="3" t="s">
        <v>212</v>
      </c>
    </row>
    <row r="12" spans="1:5" x14ac:dyDescent="0.2">
      <c r="A12" s="3">
        <v>6</v>
      </c>
      <c r="B12" s="3" t="s">
        <v>48</v>
      </c>
      <c r="C12" s="3" t="s">
        <v>62</v>
      </c>
      <c r="D12" s="3" t="s">
        <v>216</v>
      </c>
      <c r="E12" s="3" t="s">
        <v>217</v>
      </c>
    </row>
    <row r="13" spans="1:5" x14ac:dyDescent="0.2">
      <c r="A13" s="3">
        <v>7</v>
      </c>
      <c r="B13" s="3" t="s">
        <v>48</v>
      </c>
      <c r="C13" s="3" t="s">
        <v>62</v>
      </c>
      <c r="D13" s="3" t="s">
        <v>215</v>
      </c>
      <c r="E13" s="3" t="s">
        <v>212</v>
      </c>
    </row>
    <row r="14" spans="1:5" x14ac:dyDescent="0.2">
      <c r="A14" s="3">
        <v>8</v>
      </c>
      <c r="B14" s="3" t="s">
        <v>48</v>
      </c>
      <c r="C14" s="3" t="s">
        <v>62</v>
      </c>
      <c r="D14" s="3" t="s">
        <v>218</v>
      </c>
      <c r="E14" s="3" t="s">
        <v>789</v>
      </c>
    </row>
    <row r="15" spans="1:5" x14ac:dyDescent="0.2">
      <c r="A15" s="3">
        <v>9</v>
      </c>
      <c r="B15" s="3" t="s">
        <v>48</v>
      </c>
      <c r="C15" s="3" t="s">
        <v>62</v>
      </c>
      <c r="D15" s="3" t="s">
        <v>841</v>
      </c>
      <c r="E15" s="3" t="s">
        <v>212</v>
      </c>
    </row>
    <row r="16" spans="1:5" x14ac:dyDescent="0.2">
      <c r="A16" s="3">
        <v>10</v>
      </c>
      <c r="B16" s="3" t="s">
        <v>48</v>
      </c>
      <c r="C16" s="3" t="s">
        <v>64</v>
      </c>
      <c r="D16" s="3" t="s">
        <v>842</v>
      </c>
      <c r="E16" s="3" t="s">
        <v>208</v>
      </c>
    </row>
    <row r="17" spans="1:5" x14ac:dyDescent="0.2">
      <c r="A17" s="3">
        <v>11</v>
      </c>
      <c r="B17" s="3" t="s">
        <v>48</v>
      </c>
      <c r="C17" s="3" t="s">
        <v>64</v>
      </c>
      <c r="D17" s="3" t="s">
        <v>843</v>
      </c>
      <c r="E17" s="3" t="s">
        <v>791</v>
      </c>
    </row>
    <row r="18" spans="1:5" x14ac:dyDescent="0.2">
      <c r="A18" s="3">
        <v>12</v>
      </c>
      <c r="B18" s="3" t="s">
        <v>48</v>
      </c>
      <c r="C18" s="3" t="s">
        <v>64</v>
      </c>
      <c r="D18" s="3" t="s">
        <v>844</v>
      </c>
      <c r="E18" s="3" t="s">
        <v>212</v>
      </c>
    </row>
    <row r="19" spans="1:5" x14ac:dyDescent="0.2">
      <c r="A19" s="3">
        <v>13</v>
      </c>
      <c r="B19" s="3" t="s">
        <v>48</v>
      </c>
      <c r="C19" s="3" t="s">
        <v>64</v>
      </c>
      <c r="D19" s="3" t="s">
        <v>219</v>
      </c>
      <c r="E19" s="3" t="s">
        <v>208</v>
      </c>
    </row>
    <row r="20" spans="1:5" x14ac:dyDescent="0.2">
      <c r="A20" s="3">
        <v>14</v>
      </c>
      <c r="B20" s="3" t="s">
        <v>48</v>
      </c>
      <c r="C20" s="3" t="s">
        <v>64</v>
      </c>
      <c r="D20" s="3" t="s">
        <v>845</v>
      </c>
      <c r="E20" s="3" t="s">
        <v>212</v>
      </c>
    </row>
    <row r="21" spans="1:5" x14ac:dyDescent="0.2">
      <c r="A21" s="3">
        <v>15</v>
      </c>
      <c r="B21" s="3" t="s">
        <v>48</v>
      </c>
      <c r="C21" s="3" t="s">
        <v>64</v>
      </c>
      <c r="D21" s="3" t="s">
        <v>846</v>
      </c>
      <c r="E21" s="3" t="s">
        <v>212</v>
      </c>
    </row>
    <row r="22" spans="1:5" x14ac:dyDescent="0.2">
      <c r="A22" s="3">
        <v>16</v>
      </c>
      <c r="B22" s="3" t="s">
        <v>48</v>
      </c>
      <c r="C22" s="3" t="s">
        <v>64</v>
      </c>
      <c r="D22" s="3" t="s">
        <v>847</v>
      </c>
      <c r="E22" s="3" t="s">
        <v>212</v>
      </c>
    </row>
    <row r="23" spans="1:5" x14ac:dyDescent="0.2">
      <c r="A23" s="3">
        <v>17</v>
      </c>
      <c r="B23" s="3" t="s">
        <v>48</v>
      </c>
      <c r="C23" s="3" t="s">
        <v>64</v>
      </c>
      <c r="D23" s="3" t="s">
        <v>220</v>
      </c>
      <c r="E23" s="3" t="s">
        <v>208</v>
      </c>
    </row>
    <row r="24" spans="1:5" x14ac:dyDescent="0.2">
      <c r="A24" s="3">
        <v>18</v>
      </c>
      <c r="B24" s="3" t="s">
        <v>48</v>
      </c>
      <c r="C24" s="3" t="s">
        <v>64</v>
      </c>
      <c r="D24" s="3" t="s">
        <v>848</v>
      </c>
      <c r="E24" s="3" t="s">
        <v>212</v>
      </c>
    </row>
    <row r="25" spans="1:5" x14ac:dyDescent="0.2">
      <c r="A25" s="3">
        <v>19</v>
      </c>
      <c r="B25" s="3" t="s">
        <v>48</v>
      </c>
      <c r="C25" s="3" t="s">
        <v>64</v>
      </c>
      <c r="D25" s="3" t="s">
        <v>849</v>
      </c>
      <c r="E25" s="3" t="s">
        <v>212</v>
      </c>
    </row>
    <row r="26" spans="1:5" x14ac:dyDescent="0.2">
      <c r="A26" s="3">
        <v>20</v>
      </c>
      <c r="B26" s="3" t="s">
        <v>48</v>
      </c>
      <c r="C26" s="3" t="s">
        <v>64</v>
      </c>
      <c r="D26" s="3" t="s">
        <v>222</v>
      </c>
      <c r="E26" s="3" t="s">
        <v>212</v>
      </c>
    </row>
    <row r="27" spans="1:5" x14ac:dyDescent="0.2">
      <c r="A27" s="3">
        <v>21</v>
      </c>
      <c r="B27" s="3" t="s">
        <v>48</v>
      </c>
      <c r="C27" s="3" t="s">
        <v>64</v>
      </c>
      <c r="D27" s="3" t="s">
        <v>850</v>
      </c>
      <c r="E27" s="3" t="s">
        <v>212</v>
      </c>
    </row>
    <row r="28" spans="1:5" x14ac:dyDescent="0.2">
      <c r="A28" s="3">
        <v>22</v>
      </c>
      <c r="B28" s="3" t="s">
        <v>48</v>
      </c>
      <c r="C28" s="3" t="s">
        <v>64</v>
      </c>
      <c r="D28" s="3" t="s">
        <v>851</v>
      </c>
      <c r="E28" s="3" t="s">
        <v>212</v>
      </c>
    </row>
    <row r="29" spans="1:5" x14ac:dyDescent="0.2">
      <c r="A29" s="3">
        <v>23</v>
      </c>
      <c r="B29" s="3" t="s">
        <v>48</v>
      </c>
      <c r="C29" s="3" t="s">
        <v>64</v>
      </c>
      <c r="D29" s="3" t="s">
        <v>221</v>
      </c>
      <c r="E29" s="3" t="s">
        <v>791</v>
      </c>
    </row>
    <row r="30" spans="1:5" x14ac:dyDescent="0.2">
      <c r="A30" s="3">
        <v>24</v>
      </c>
      <c r="B30" s="3" t="s">
        <v>48</v>
      </c>
      <c r="C30" s="3" t="s">
        <v>64</v>
      </c>
      <c r="D30" s="3" t="s">
        <v>790</v>
      </c>
      <c r="E30" s="3" t="s">
        <v>791</v>
      </c>
    </row>
    <row r="31" spans="1:5" x14ac:dyDescent="0.2">
      <c r="A31" s="3">
        <v>25</v>
      </c>
      <c r="B31" s="3" t="s">
        <v>48</v>
      </c>
      <c r="C31" s="3" t="s">
        <v>64</v>
      </c>
      <c r="D31" s="3" t="s">
        <v>852</v>
      </c>
      <c r="E31" s="3" t="s">
        <v>212</v>
      </c>
    </row>
    <row r="32" spans="1:5" x14ac:dyDescent="0.2">
      <c r="A32" s="3">
        <v>26</v>
      </c>
      <c r="B32" s="3" t="s">
        <v>48</v>
      </c>
      <c r="C32" s="3" t="s">
        <v>64</v>
      </c>
      <c r="D32" s="3" t="s">
        <v>223</v>
      </c>
      <c r="E32" s="3" t="s">
        <v>212</v>
      </c>
    </row>
    <row r="33" spans="1:5" x14ac:dyDescent="0.2">
      <c r="A33" s="3">
        <v>27</v>
      </c>
      <c r="B33" s="3" t="s">
        <v>48</v>
      </c>
      <c r="C33" s="3" t="s">
        <v>64</v>
      </c>
      <c r="D33" s="3" t="s">
        <v>224</v>
      </c>
      <c r="E33" s="3" t="s">
        <v>212</v>
      </c>
    </row>
    <row r="34" spans="1:5" x14ac:dyDescent="0.2">
      <c r="A34" s="3">
        <v>28</v>
      </c>
      <c r="B34" s="3" t="s">
        <v>48</v>
      </c>
      <c r="C34" s="3" t="s">
        <v>64</v>
      </c>
      <c r="D34" s="3" t="s">
        <v>225</v>
      </c>
      <c r="E34" s="3" t="s">
        <v>212</v>
      </c>
    </row>
    <row r="35" spans="1:5" x14ac:dyDescent="0.2">
      <c r="A35" s="3">
        <v>29</v>
      </c>
      <c r="B35" s="3" t="s">
        <v>48</v>
      </c>
      <c r="C35" s="3" t="s">
        <v>64</v>
      </c>
      <c r="D35" s="3" t="s">
        <v>853</v>
      </c>
      <c r="E35" s="3" t="s">
        <v>212</v>
      </c>
    </row>
    <row r="36" spans="1:5" x14ac:dyDescent="0.2">
      <c r="A36" s="3">
        <v>30</v>
      </c>
      <c r="B36" s="3" t="s">
        <v>48</v>
      </c>
      <c r="C36" s="3" t="s">
        <v>64</v>
      </c>
      <c r="D36" s="3" t="s">
        <v>854</v>
      </c>
      <c r="E36" s="3" t="s">
        <v>212</v>
      </c>
    </row>
    <row r="37" spans="1:5" x14ac:dyDescent="0.2">
      <c r="A37" s="3">
        <v>31</v>
      </c>
      <c r="B37" s="3" t="s">
        <v>48</v>
      </c>
      <c r="C37" s="3" t="s">
        <v>64</v>
      </c>
      <c r="D37" s="3" t="s">
        <v>226</v>
      </c>
      <c r="E37" s="3" t="s">
        <v>208</v>
      </c>
    </row>
    <row r="38" spans="1:5" x14ac:dyDescent="0.2">
      <c r="A38" s="3">
        <v>32</v>
      </c>
      <c r="B38" s="3" t="s">
        <v>48</v>
      </c>
      <c r="C38" s="3" t="s">
        <v>64</v>
      </c>
      <c r="D38" s="3" t="s">
        <v>855</v>
      </c>
      <c r="E38" s="3" t="s">
        <v>212</v>
      </c>
    </row>
    <row r="39" spans="1:5" x14ac:dyDescent="0.2">
      <c r="A39" s="3">
        <v>33</v>
      </c>
      <c r="B39" s="3" t="s">
        <v>48</v>
      </c>
      <c r="C39" s="3" t="s">
        <v>64</v>
      </c>
      <c r="D39" s="3" t="s">
        <v>856</v>
      </c>
      <c r="E39" s="3" t="s">
        <v>212</v>
      </c>
    </row>
    <row r="40" spans="1:5" x14ac:dyDescent="0.2">
      <c r="A40" s="3">
        <v>34</v>
      </c>
      <c r="B40" s="3" t="s">
        <v>48</v>
      </c>
      <c r="C40" s="3" t="s">
        <v>64</v>
      </c>
      <c r="D40" s="3" t="s">
        <v>228</v>
      </c>
      <c r="E40" s="3" t="s">
        <v>208</v>
      </c>
    </row>
    <row r="41" spans="1:5" x14ac:dyDescent="0.2">
      <c r="A41" s="3">
        <v>35</v>
      </c>
      <c r="B41" s="3" t="s">
        <v>48</v>
      </c>
      <c r="C41" s="3" t="s">
        <v>64</v>
      </c>
      <c r="D41" s="3" t="s">
        <v>229</v>
      </c>
      <c r="E41" s="3" t="s">
        <v>230</v>
      </c>
    </row>
    <row r="42" spans="1:5" x14ac:dyDescent="0.2">
      <c r="A42" s="3">
        <v>36</v>
      </c>
      <c r="B42" s="3" t="s">
        <v>48</v>
      </c>
      <c r="C42" s="3" t="s">
        <v>64</v>
      </c>
      <c r="D42" s="3" t="s">
        <v>227</v>
      </c>
      <c r="E42" s="3" t="s">
        <v>212</v>
      </c>
    </row>
    <row r="43" spans="1:5" x14ac:dyDescent="0.2">
      <c r="A43" s="3">
        <v>37</v>
      </c>
      <c r="B43" s="3" t="s">
        <v>48</v>
      </c>
      <c r="C43" s="3" t="s">
        <v>67</v>
      </c>
      <c r="D43" s="3" t="s">
        <v>233</v>
      </c>
      <c r="E43" s="3" t="s">
        <v>587</v>
      </c>
    </row>
    <row r="44" spans="1:5" x14ac:dyDescent="0.2">
      <c r="A44" s="3">
        <v>38</v>
      </c>
      <c r="B44" s="3" t="s">
        <v>48</v>
      </c>
      <c r="C44" s="3" t="s">
        <v>67</v>
      </c>
      <c r="D44" s="3" t="s">
        <v>231</v>
      </c>
      <c r="E44" s="3" t="s">
        <v>212</v>
      </c>
    </row>
    <row r="45" spans="1:5" x14ac:dyDescent="0.2">
      <c r="A45" s="3">
        <v>39</v>
      </c>
      <c r="B45" s="3" t="s">
        <v>48</v>
      </c>
      <c r="C45" s="3" t="s">
        <v>67</v>
      </c>
      <c r="D45" s="3" t="s">
        <v>232</v>
      </c>
      <c r="E45" s="3" t="s">
        <v>208</v>
      </c>
    </row>
    <row r="46" spans="1:5" x14ac:dyDescent="0.2">
      <c r="A46" s="3">
        <v>40</v>
      </c>
      <c r="B46" s="3" t="s">
        <v>48</v>
      </c>
      <c r="C46" s="3" t="s">
        <v>67</v>
      </c>
      <c r="D46" s="3" t="s">
        <v>857</v>
      </c>
      <c r="E46" s="3" t="s">
        <v>212</v>
      </c>
    </row>
    <row r="47" spans="1:5" x14ac:dyDescent="0.2">
      <c r="A47" s="3">
        <v>41</v>
      </c>
      <c r="B47" s="3" t="s">
        <v>48</v>
      </c>
      <c r="C47" s="3" t="s">
        <v>67</v>
      </c>
      <c r="D47" s="3" t="s">
        <v>236</v>
      </c>
      <c r="E47" s="3" t="s">
        <v>208</v>
      </c>
    </row>
    <row r="48" spans="1:5" x14ac:dyDescent="0.2">
      <c r="A48" s="3">
        <v>42</v>
      </c>
      <c r="B48" s="3" t="s">
        <v>48</v>
      </c>
      <c r="C48" s="3" t="s">
        <v>67</v>
      </c>
      <c r="D48" s="3" t="s">
        <v>234</v>
      </c>
      <c r="E48" s="3" t="s">
        <v>235</v>
      </c>
    </row>
    <row r="49" spans="1:5" x14ac:dyDescent="0.2">
      <c r="A49" s="3">
        <v>43</v>
      </c>
      <c r="B49" s="3" t="s">
        <v>48</v>
      </c>
      <c r="C49" s="3" t="s">
        <v>67</v>
      </c>
      <c r="D49" s="3" t="s">
        <v>237</v>
      </c>
      <c r="E49" s="3" t="s">
        <v>230</v>
      </c>
    </row>
    <row r="50" spans="1:5" x14ac:dyDescent="0.2">
      <c r="A50" s="3">
        <v>44</v>
      </c>
      <c r="B50" s="3" t="s">
        <v>48</v>
      </c>
      <c r="C50" s="3" t="s">
        <v>67</v>
      </c>
      <c r="D50" s="3" t="s">
        <v>858</v>
      </c>
      <c r="E50" s="3" t="s">
        <v>212</v>
      </c>
    </row>
    <row r="51" spans="1:5" x14ac:dyDescent="0.2">
      <c r="A51" s="3">
        <v>45</v>
      </c>
      <c r="B51" s="3" t="s">
        <v>48</v>
      </c>
      <c r="C51" s="3" t="s">
        <v>67</v>
      </c>
      <c r="D51" s="3" t="s">
        <v>239</v>
      </c>
      <c r="E51" s="3" t="s">
        <v>208</v>
      </c>
    </row>
    <row r="52" spans="1:5" x14ac:dyDescent="0.2">
      <c r="A52" s="3">
        <v>46</v>
      </c>
      <c r="B52" s="3" t="s">
        <v>48</v>
      </c>
      <c r="C52" s="3" t="s">
        <v>67</v>
      </c>
      <c r="D52" s="3" t="s">
        <v>859</v>
      </c>
      <c r="E52" s="3" t="s">
        <v>235</v>
      </c>
    </row>
    <row r="53" spans="1:5" x14ac:dyDescent="0.2">
      <c r="A53" s="3">
        <v>47</v>
      </c>
      <c r="B53" s="3" t="s">
        <v>48</v>
      </c>
      <c r="C53" s="3" t="s">
        <v>67</v>
      </c>
      <c r="D53" s="3" t="s">
        <v>240</v>
      </c>
      <c r="E53" s="3" t="s">
        <v>212</v>
      </c>
    </row>
    <row r="54" spans="1:5" x14ac:dyDescent="0.2">
      <c r="A54" s="3">
        <v>48</v>
      </c>
      <c r="B54" s="3" t="s">
        <v>48</v>
      </c>
      <c r="C54" s="3" t="s">
        <v>67</v>
      </c>
      <c r="D54" s="3" t="s">
        <v>241</v>
      </c>
      <c r="E54" s="3" t="s">
        <v>242</v>
      </c>
    </row>
    <row r="55" spans="1:5" x14ac:dyDescent="0.2">
      <c r="A55" s="3">
        <v>49</v>
      </c>
      <c r="B55" s="3" t="s">
        <v>48</v>
      </c>
      <c r="C55" s="3" t="s">
        <v>68</v>
      </c>
      <c r="D55" s="3" t="s">
        <v>243</v>
      </c>
      <c r="E55" s="3" t="s">
        <v>208</v>
      </c>
    </row>
    <row r="56" spans="1:5" x14ac:dyDescent="0.2">
      <c r="A56" s="3">
        <v>50</v>
      </c>
      <c r="B56" s="3" t="s">
        <v>48</v>
      </c>
      <c r="C56" s="3" t="s">
        <v>68</v>
      </c>
      <c r="D56" s="3" t="s">
        <v>860</v>
      </c>
      <c r="E56" s="3" t="s">
        <v>212</v>
      </c>
    </row>
    <row r="57" spans="1:5" x14ac:dyDescent="0.2">
      <c r="A57" s="3">
        <v>51</v>
      </c>
      <c r="B57" s="3" t="s">
        <v>48</v>
      </c>
      <c r="C57" s="3" t="s">
        <v>68</v>
      </c>
      <c r="D57" s="3" t="s">
        <v>245</v>
      </c>
      <c r="E57" s="3" t="s">
        <v>217</v>
      </c>
    </row>
    <row r="58" spans="1:5" x14ac:dyDescent="0.2">
      <c r="A58" s="3">
        <v>52</v>
      </c>
      <c r="B58" s="3" t="s">
        <v>48</v>
      </c>
      <c r="C58" s="3" t="s">
        <v>68</v>
      </c>
      <c r="D58" s="3" t="s">
        <v>244</v>
      </c>
      <c r="E58" s="3" t="s">
        <v>212</v>
      </c>
    </row>
    <row r="59" spans="1:5" x14ac:dyDescent="0.2">
      <c r="A59" s="3">
        <v>53</v>
      </c>
      <c r="B59" s="3" t="s">
        <v>48</v>
      </c>
      <c r="C59" s="3" t="s">
        <v>68</v>
      </c>
      <c r="D59" s="3" t="s">
        <v>861</v>
      </c>
      <c r="E59" s="3" t="s">
        <v>212</v>
      </c>
    </row>
    <row r="60" spans="1:5" x14ac:dyDescent="0.2">
      <c r="A60" s="3">
        <v>54</v>
      </c>
      <c r="B60" s="3" t="s">
        <v>48</v>
      </c>
      <c r="C60" s="3" t="s">
        <v>68</v>
      </c>
      <c r="D60" s="3" t="s">
        <v>862</v>
      </c>
      <c r="E60" s="3" t="s">
        <v>212</v>
      </c>
    </row>
    <row r="61" spans="1:5" x14ac:dyDescent="0.2">
      <c r="A61" s="3">
        <v>55</v>
      </c>
      <c r="B61" s="3" t="s">
        <v>48</v>
      </c>
      <c r="C61" s="3" t="s">
        <v>70</v>
      </c>
      <c r="D61" s="3" t="s">
        <v>863</v>
      </c>
      <c r="E61" s="3" t="s">
        <v>208</v>
      </c>
    </row>
    <row r="62" spans="1:5" x14ac:dyDescent="0.2">
      <c r="A62" s="3">
        <v>56</v>
      </c>
      <c r="B62" s="3" t="s">
        <v>48</v>
      </c>
      <c r="C62" s="3" t="s">
        <v>70</v>
      </c>
      <c r="D62" s="3" t="s">
        <v>864</v>
      </c>
      <c r="E62" s="3" t="s">
        <v>217</v>
      </c>
    </row>
    <row r="63" spans="1:5" x14ac:dyDescent="0.2">
      <c r="A63" s="3">
        <v>57</v>
      </c>
      <c r="B63" s="3" t="s">
        <v>48</v>
      </c>
      <c r="C63" s="3" t="s">
        <v>70</v>
      </c>
      <c r="D63" s="3" t="s">
        <v>865</v>
      </c>
      <c r="E63" s="3" t="s">
        <v>246</v>
      </c>
    </row>
    <row r="64" spans="1:5" x14ac:dyDescent="0.2">
      <c r="A64" s="3">
        <v>58</v>
      </c>
      <c r="B64" s="3" t="s">
        <v>48</v>
      </c>
      <c r="C64" s="3" t="s">
        <v>70</v>
      </c>
      <c r="D64" s="3" t="s">
        <v>866</v>
      </c>
      <c r="E64" s="3" t="s">
        <v>208</v>
      </c>
    </row>
    <row r="65" spans="1:5" x14ac:dyDescent="0.2">
      <c r="A65" s="3">
        <v>59</v>
      </c>
      <c r="B65" s="3" t="s">
        <v>48</v>
      </c>
      <c r="C65" s="3" t="s">
        <v>70</v>
      </c>
      <c r="D65" s="3" t="s">
        <v>867</v>
      </c>
      <c r="E65" s="3" t="s">
        <v>249</v>
      </c>
    </row>
    <row r="66" spans="1:5" x14ac:dyDescent="0.2">
      <c r="A66" s="3">
        <v>60</v>
      </c>
      <c r="B66" s="3" t="s">
        <v>48</v>
      </c>
      <c r="C66" s="3" t="s">
        <v>70</v>
      </c>
      <c r="D66" s="3" t="s">
        <v>247</v>
      </c>
      <c r="E66" s="3" t="s">
        <v>248</v>
      </c>
    </row>
    <row r="67" spans="1:5" x14ac:dyDescent="0.2">
      <c r="A67" s="3">
        <v>61</v>
      </c>
      <c r="B67" s="3" t="s">
        <v>48</v>
      </c>
      <c r="C67" s="3" t="s">
        <v>70</v>
      </c>
      <c r="D67" s="3" t="s">
        <v>253</v>
      </c>
      <c r="E67" s="3" t="s">
        <v>208</v>
      </c>
    </row>
    <row r="68" spans="1:5" x14ac:dyDescent="0.2">
      <c r="A68" s="3">
        <v>62</v>
      </c>
      <c r="B68" s="3" t="s">
        <v>48</v>
      </c>
      <c r="C68" s="3" t="s">
        <v>70</v>
      </c>
      <c r="D68" s="3" t="s">
        <v>252</v>
      </c>
      <c r="E68" s="3" t="s">
        <v>825</v>
      </c>
    </row>
    <row r="69" spans="1:5" x14ac:dyDescent="0.2">
      <c r="A69" s="3">
        <v>63</v>
      </c>
      <c r="B69" s="3" t="s">
        <v>48</v>
      </c>
      <c r="C69" s="3" t="s">
        <v>70</v>
      </c>
      <c r="D69" s="3" t="s">
        <v>868</v>
      </c>
      <c r="E69" s="3" t="s">
        <v>792</v>
      </c>
    </row>
    <row r="70" spans="1:5" x14ac:dyDescent="0.2">
      <c r="A70" s="3">
        <v>64</v>
      </c>
      <c r="B70" s="3" t="s">
        <v>48</v>
      </c>
      <c r="C70" s="3" t="s">
        <v>70</v>
      </c>
      <c r="D70" s="3" t="s">
        <v>255</v>
      </c>
      <c r="E70" s="3" t="s">
        <v>208</v>
      </c>
    </row>
    <row r="71" spans="1:5" x14ac:dyDescent="0.2">
      <c r="A71" s="3">
        <v>65</v>
      </c>
      <c r="B71" s="3" t="s">
        <v>48</v>
      </c>
      <c r="C71" s="3" t="s">
        <v>70</v>
      </c>
      <c r="D71" s="3" t="s">
        <v>254</v>
      </c>
      <c r="E71" s="3" t="s">
        <v>791</v>
      </c>
    </row>
    <row r="72" spans="1:5" x14ac:dyDescent="0.2">
      <c r="A72" s="3">
        <v>66</v>
      </c>
      <c r="B72" s="3" t="s">
        <v>48</v>
      </c>
      <c r="C72" s="3" t="s">
        <v>70</v>
      </c>
      <c r="D72" s="3" t="s">
        <v>256</v>
      </c>
      <c r="E72" s="3" t="s">
        <v>208</v>
      </c>
    </row>
    <row r="73" spans="1:5" x14ac:dyDescent="0.2">
      <c r="A73" s="3">
        <v>67</v>
      </c>
      <c r="B73" s="3" t="s">
        <v>48</v>
      </c>
      <c r="C73" s="3" t="s">
        <v>70</v>
      </c>
      <c r="D73" s="3" t="s">
        <v>869</v>
      </c>
      <c r="E73" s="3" t="s">
        <v>792</v>
      </c>
    </row>
    <row r="74" spans="1:5" x14ac:dyDescent="0.2">
      <c r="A74" s="3">
        <v>68</v>
      </c>
      <c r="B74" s="3" t="s">
        <v>48</v>
      </c>
      <c r="C74" s="3" t="s">
        <v>70</v>
      </c>
      <c r="D74" s="3" t="s">
        <v>258</v>
      </c>
      <c r="E74" s="3" t="s">
        <v>217</v>
      </c>
    </row>
    <row r="75" spans="1:5" x14ac:dyDescent="0.2">
      <c r="A75" s="3">
        <v>69</v>
      </c>
      <c r="B75" s="3" t="s">
        <v>48</v>
      </c>
      <c r="C75" s="3" t="s">
        <v>70</v>
      </c>
      <c r="D75" s="3" t="s">
        <v>870</v>
      </c>
      <c r="E75" s="3" t="s">
        <v>208</v>
      </c>
    </row>
    <row r="76" spans="1:5" x14ac:dyDescent="0.2">
      <c r="A76" s="3">
        <v>70</v>
      </c>
      <c r="B76" s="3" t="s">
        <v>48</v>
      </c>
      <c r="C76" s="3" t="s">
        <v>70</v>
      </c>
      <c r="D76" s="3" t="s">
        <v>257</v>
      </c>
      <c r="E76" s="3" t="s">
        <v>214</v>
      </c>
    </row>
    <row r="77" spans="1:5" x14ac:dyDescent="0.2">
      <c r="A77" s="3">
        <v>71</v>
      </c>
      <c r="B77" s="3" t="s">
        <v>48</v>
      </c>
      <c r="C77" s="3" t="s">
        <v>70</v>
      </c>
      <c r="D77" s="3" t="s">
        <v>871</v>
      </c>
      <c r="E77" s="3" t="s">
        <v>217</v>
      </c>
    </row>
    <row r="78" spans="1:5" x14ac:dyDescent="0.2">
      <c r="A78" s="3">
        <v>72</v>
      </c>
      <c r="B78" s="3" t="s">
        <v>48</v>
      </c>
      <c r="C78" s="3" t="s">
        <v>70</v>
      </c>
      <c r="D78" s="3" t="s">
        <v>259</v>
      </c>
      <c r="E78" s="3" t="s">
        <v>212</v>
      </c>
    </row>
    <row r="79" spans="1:5" x14ac:dyDescent="0.2">
      <c r="A79" s="3">
        <v>73</v>
      </c>
      <c r="B79" s="3" t="s">
        <v>48</v>
      </c>
      <c r="C79" s="3" t="s">
        <v>70</v>
      </c>
      <c r="D79" s="3" t="s">
        <v>872</v>
      </c>
      <c r="E79" s="3" t="s">
        <v>230</v>
      </c>
    </row>
    <row r="80" spans="1:5" x14ac:dyDescent="0.2">
      <c r="A80" s="3">
        <v>74</v>
      </c>
      <c r="B80" s="3" t="s">
        <v>48</v>
      </c>
      <c r="C80" s="3" t="s">
        <v>70</v>
      </c>
      <c r="D80" s="3" t="s">
        <v>260</v>
      </c>
      <c r="E80" s="3" t="s">
        <v>792</v>
      </c>
    </row>
    <row r="81" spans="1:5" x14ac:dyDescent="0.2">
      <c r="A81" s="3">
        <v>75</v>
      </c>
      <c r="B81" s="3" t="s">
        <v>48</v>
      </c>
      <c r="C81" s="3" t="s">
        <v>70</v>
      </c>
      <c r="D81" s="3" t="s">
        <v>873</v>
      </c>
      <c r="E81" s="3" t="s">
        <v>793</v>
      </c>
    </row>
    <row r="82" spans="1:5" x14ac:dyDescent="0.2">
      <c r="A82" s="3">
        <v>76</v>
      </c>
      <c r="B82" s="3" t="s">
        <v>48</v>
      </c>
      <c r="C82" s="3" t="s">
        <v>70</v>
      </c>
      <c r="D82" s="3" t="s">
        <v>261</v>
      </c>
      <c r="E82" s="3" t="s">
        <v>208</v>
      </c>
    </row>
    <row r="83" spans="1:5" x14ac:dyDescent="0.2">
      <c r="A83" s="3">
        <v>77</v>
      </c>
      <c r="B83" s="3" t="s">
        <v>48</v>
      </c>
      <c r="C83" s="3" t="s">
        <v>70</v>
      </c>
      <c r="D83" s="3" t="s">
        <v>262</v>
      </c>
      <c r="E83" s="3" t="s">
        <v>208</v>
      </c>
    </row>
    <row r="84" spans="1:5" x14ac:dyDescent="0.2">
      <c r="A84" s="3">
        <v>78</v>
      </c>
      <c r="B84" s="3" t="s">
        <v>48</v>
      </c>
      <c r="C84" s="3" t="s">
        <v>70</v>
      </c>
      <c r="D84" s="3" t="s">
        <v>874</v>
      </c>
      <c r="E84" s="3" t="s">
        <v>208</v>
      </c>
    </row>
    <row r="85" spans="1:5" x14ac:dyDescent="0.2">
      <c r="A85" s="3">
        <v>79</v>
      </c>
      <c r="B85" s="3" t="s">
        <v>48</v>
      </c>
      <c r="C85" s="3" t="s">
        <v>70</v>
      </c>
      <c r="D85" s="3" t="s">
        <v>266</v>
      </c>
      <c r="E85" s="3" t="s">
        <v>792</v>
      </c>
    </row>
    <row r="86" spans="1:5" x14ac:dyDescent="0.2">
      <c r="A86" s="3">
        <v>80</v>
      </c>
      <c r="B86" s="3" t="s">
        <v>48</v>
      </c>
      <c r="C86" s="3" t="s">
        <v>70</v>
      </c>
      <c r="D86" s="3" t="s">
        <v>264</v>
      </c>
      <c r="E86" s="3" t="s">
        <v>208</v>
      </c>
    </row>
    <row r="87" spans="1:5" x14ac:dyDescent="0.2">
      <c r="A87" s="3">
        <v>81</v>
      </c>
      <c r="B87" s="3" t="s">
        <v>48</v>
      </c>
      <c r="C87" s="3" t="s">
        <v>70</v>
      </c>
      <c r="D87" s="3" t="s">
        <v>265</v>
      </c>
      <c r="E87" s="3" t="s">
        <v>212</v>
      </c>
    </row>
    <row r="88" spans="1:5" x14ac:dyDescent="0.2">
      <c r="A88" s="3">
        <v>82</v>
      </c>
      <c r="B88" s="3" t="s">
        <v>48</v>
      </c>
      <c r="C88" s="3" t="s">
        <v>70</v>
      </c>
      <c r="D88" s="3" t="s">
        <v>263</v>
      </c>
      <c r="E88" s="3" t="s">
        <v>235</v>
      </c>
    </row>
    <row r="89" spans="1:5" x14ac:dyDescent="0.2">
      <c r="A89" s="3">
        <v>83</v>
      </c>
      <c r="B89" s="3" t="s">
        <v>48</v>
      </c>
      <c r="C89" s="3" t="s">
        <v>70</v>
      </c>
      <c r="D89" s="3" t="s">
        <v>267</v>
      </c>
      <c r="E89" s="3" t="s">
        <v>212</v>
      </c>
    </row>
    <row r="90" spans="1:5" x14ac:dyDescent="0.2">
      <c r="A90" s="3">
        <v>84</v>
      </c>
      <c r="B90" s="3" t="s">
        <v>48</v>
      </c>
      <c r="C90" s="3" t="s">
        <v>70</v>
      </c>
      <c r="D90" s="3" t="s">
        <v>270</v>
      </c>
      <c r="E90" s="3" t="s">
        <v>212</v>
      </c>
    </row>
    <row r="91" spans="1:5" x14ac:dyDescent="0.2">
      <c r="A91" s="3">
        <v>85</v>
      </c>
      <c r="B91" s="3" t="s">
        <v>48</v>
      </c>
      <c r="C91" s="3" t="s">
        <v>70</v>
      </c>
      <c r="D91" s="3" t="s">
        <v>269</v>
      </c>
      <c r="E91" s="3" t="s">
        <v>217</v>
      </c>
    </row>
    <row r="92" spans="1:5" x14ac:dyDescent="0.2">
      <c r="A92" s="3">
        <v>86</v>
      </c>
      <c r="B92" s="3" t="s">
        <v>48</v>
      </c>
      <c r="C92" s="3" t="s">
        <v>70</v>
      </c>
      <c r="D92" s="3" t="s">
        <v>268</v>
      </c>
      <c r="E92" s="3" t="s">
        <v>208</v>
      </c>
    </row>
    <row r="93" spans="1:5" x14ac:dyDescent="0.2">
      <c r="A93" s="3">
        <v>87</v>
      </c>
      <c r="B93" s="3" t="s">
        <v>48</v>
      </c>
      <c r="C93" s="3" t="s">
        <v>70</v>
      </c>
      <c r="D93" s="3" t="s">
        <v>271</v>
      </c>
      <c r="E93" s="3" t="s">
        <v>212</v>
      </c>
    </row>
    <row r="94" spans="1:5" x14ac:dyDescent="0.2">
      <c r="A94" s="3">
        <v>88</v>
      </c>
      <c r="B94" s="3" t="s">
        <v>48</v>
      </c>
      <c r="C94" s="3" t="s">
        <v>70</v>
      </c>
      <c r="D94" s="3" t="s">
        <v>875</v>
      </c>
      <c r="E94" s="3" t="s">
        <v>230</v>
      </c>
    </row>
    <row r="95" spans="1:5" x14ac:dyDescent="0.2">
      <c r="A95" s="3">
        <v>89</v>
      </c>
      <c r="B95" s="3" t="s">
        <v>48</v>
      </c>
      <c r="C95" s="3" t="s">
        <v>70</v>
      </c>
      <c r="D95" s="3" t="s">
        <v>876</v>
      </c>
      <c r="E95" s="3" t="s">
        <v>235</v>
      </c>
    </row>
    <row r="96" spans="1:5" x14ac:dyDescent="0.2">
      <c r="A96" s="3">
        <v>90</v>
      </c>
      <c r="B96" s="3" t="s">
        <v>48</v>
      </c>
      <c r="C96" s="3" t="s">
        <v>70</v>
      </c>
      <c r="D96" s="3" t="s">
        <v>272</v>
      </c>
      <c r="E96" s="3" t="s">
        <v>208</v>
      </c>
    </row>
    <row r="97" spans="1:5" x14ac:dyDescent="0.2">
      <c r="A97" s="3">
        <v>91</v>
      </c>
      <c r="B97" s="3" t="s">
        <v>48</v>
      </c>
      <c r="C97" s="3" t="s">
        <v>70</v>
      </c>
      <c r="D97" s="3" t="s">
        <v>250</v>
      </c>
      <c r="E97" s="3" t="s">
        <v>208</v>
      </c>
    </row>
    <row r="98" spans="1:5" x14ac:dyDescent="0.2">
      <c r="A98" s="3">
        <v>92</v>
      </c>
      <c r="B98" s="3" t="s">
        <v>48</v>
      </c>
      <c r="C98" s="3" t="s">
        <v>70</v>
      </c>
      <c r="D98" s="3" t="s">
        <v>251</v>
      </c>
      <c r="E98" s="3" t="s">
        <v>246</v>
      </c>
    </row>
    <row r="99" spans="1:5" x14ac:dyDescent="0.2">
      <c r="A99" s="3">
        <v>93</v>
      </c>
      <c r="B99" s="3" t="s">
        <v>48</v>
      </c>
      <c r="C99" s="3" t="s">
        <v>70</v>
      </c>
      <c r="D99" s="3" t="s">
        <v>877</v>
      </c>
      <c r="E99" s="3" t="s">
        <v>791</v>
      </c>
    </row>
    <row r="100" spans="1:5" x14ac:dyDescent="0.2">
      <c r="A100" s="3">
        <v>94</v>
      </c>
      <c r="B100" s="3" t="s">
        <v>48</v>
      </c>
      <c r="C100" s="3" t="s">
        <v>72</v>
      </c>
      <c r="D100" s="3" t="s">
        <v>274</v>
      </c>
      <c r="E100" s="3" t="s">
        <v>208</v>
      </c>
    </row>
    <row r="101" spans="1:5" x14ac:dyDescent="0.2">
      <c r="A101" s="3">
        <v>95</v>
      </c>
      <c r="B101" s="3" t="s">
        <v>48</v>
      </c>
      <c r="C101" s="3" t="s">
        <v>72</v>
      </c>
      <c r="D101" s="3" t="s">
        <v>273</v>
      </c>
      <c r="E101" s="3" t="s">
        <v>794</v>
      </c>
    </row>
    <row r="102" spans="1:5" x14ac:dyDescent="0.2">
      <c r="A102" s="3">
        <v>96</v>
      </c>
      <c r="B102" s="3" t="s">
        <v>48</v>
      </c>
      <c r="C102" s="3" t="s">
        <v>72</v>
      </c>
      <c r="D102" s="3" t="s">
        <v>275</v>
      </c>
      <c r="E102" s="3" t="s">
        <v>794</v>
      </c>
    </row>
    <row r="103" spans="1:5" x14ac:dyDescent="0.2">
      <c r="A103" s="3">
        <v>97</v>
      </c>
      <c r="B103" s="3" t="s">
        <v>48</v>
      </c>
      <c r="C103" s="3" t="s">
        <v>72</v>
      </c>
      <c r="D103" s="3" t="s">
        <v>276</v>
      </c>
      <c r="E103" s="3" t="s">
        <v>794</v>
      </c>
    </row>
    <row r="104" spans="1:5" x14ac:dyDescent="0.2">
      <c r="A104" s="3">
        <v>98</v>
      </c>
      <c r="B104" s="3" t="s">
        <v>48</v>
      </c>
      <c r="C104" s="3" t="s">
        <v>72</v>
      </c>
      <c r="D104" s="3" t="s">
        <v>277</v>
      </c>
      <c r="E104" s="3" t="s">
        <v>208</v>
      </c>
    </row>
    <row r="105" spans="1:5" x14ac:dyDescent="0.2">
      <c r="A105" s="3">
        <v>99</v>
      </c>
      <c r="B105" s="3" t="s">
        <v>48</v>
      </c>
      <c r="C105" s="3" t="s">
        <v>72</v>
      </c>
      <c r="D105" s="3" t="s">
        <v>279</v>
      </c>
      <c r="E105" s="3" t="s">
        <v>214</v>
      </c>
    </row>
    <row r="106" spans="1:5" x14ac:dyDescent="0.2">
      <c r="A106" s="3">
        <v>100</v>
      </c>
      <c r="B106" s="3" t="s">
        <v>48</v>
      </c>
      <c r="C106" s="3" t="s">
        <v>72</v>
      </c>
      <c r="D106" s="3" t="s">
        <v>278</v>
      </c>
      <c r="E106" s="3" t="s">
        <v>794</v>
      </c>
    </row>
    <row r="107" spans="1:5" x14ac:dyDescent="0.2">
      <c r="A107" s="3">
        <v>101</v>
      </c>
      <c r="B107" s="3" t="s">
        <v>48</v>
      </c>
      <c r="C107" s="3" t="s">
        <v>72</v>
      </c>
      <c r="D107" s="3" t="s">
        <v>878</v>
      </c>
      <c r="E107" s="3" t="s">
        <v>794</v>
      </c>
    </row>
    <row r="108" spans="1:5" x14ac:dyDescent="0.2">
      <c r="A108" s="3">
        <v>102</v>
      </c>
      <c r="B108" s="3" t="s">
        <v>48</v>
      </c>
      <c r="C108" s="3" t="s">
        <v>72</v>
      </c>
      <c r="D108" s="3" t="s">
        <v>280</v>
      </c>
      <c r="E108" s="3" t="s">
        <v>794</v>
      </c>
    </row>
    <row r="109" spans="1:5" x14ac:dyDescent="0.2">
      <c r="A109" s="3">
        <v>103</v>
      </c>
      <c r="B109" s="3" t="s">
        <v>48</v>
      </c>
      <c r="C109" s="3" t="s">
        <v>72</v>
      </c>
      <c r="D109" s="3" t="s">
        <v>281</v>
      </c>
      <c r="E109" s="3" t="s">
        <v>794</v>
      </c>
    </row>
    <row r="110" spans="1:5" x14ac:dyDescent="0.2">
      <c r="A110" s="3">
        <v>104</v>
      </c>
      <c r="B110" s="3" t="s">
        <v>48</v>
      </c>
      <c r="C110" s="3" t="s">
        <v>72</v>
      </c>
      <c r="D110" s="3" t="s">
        <v>282</v>
      </c>
      <c r="E110" s="3" t="s">
        <v>801</v>
      </c>
    </row>
    <row r="111" spans="1:5" x14ac:dyDescent="0.2">
      <c r="A111" s="3">
        <v>105</v>
      </c>
      <c r="B111" s="3" t="s">
        <v>48</v>
      </c>
      <c r="C111" s="3" t="s">
        <v>72</v>
      </c>
      <c r="D111" s="3" t="s">
        <v>283</v>
      </c>
      <c r="E111" s="3" t="s">
        <v>794</v>
      </c>
    </row>
    <row r="112" spans="1:5" x14ac:dyDescent="0.2">
      <c r="A112" s="3">
        <v>106</v>
      </c>
      <c r="B112" s="3" t="s">
        <v>48</v>
      </c>
      <c r="C112" s="3" t="s">
        <v>72</v>
      </c>
      <c r="D112" s="3" t="s">
        <v>284</v>
      </c>
      <c r="E112" s="3" t="s">
        <v>794</v>
      </c>
    </row>
    <row r="113" spans="1:5" x14ac:dyDescent="0.2">
      <c r="A113" s="3">
        <v>107</v>
      </c>
      <c r="B113" s="3" t="s">
        <v>48</v>
      </c>
      <c r="C113" s="3" t="s">
        <v>72</v>
      </c>
      <c r="D113" s="3" t="s">
        <v>286</v>
      </c>
      <c r="E113" s="3" t="s">
        <v>208</v>
      </c>
    </row>
    <row r="114" spans="1:5" x14ac:dyDescent="0.2">
      <c r="A114" s="3">
        <v>108</v>
      </c>
      <c r="B114" s="3" t="s">
        <v>48</v>
      </c>
      <c r="C114" s="3" t="s">
        <v>72</v>
      </c>
      <c r="D114" s="3" t="s">
        <v>285</v>
      </c>
      <c r="E114" s="3" t="s">
        <v>794</v>
      </c>
    </row>
    <row r="115" spans="1:5" x14ac:dyDescent="0.2">
      <c r="A115" s="3">
        <v>109</v>
      </c>
      <c r="B115" s="3" t="s">
        <v>48</v>
      </c>
      <c r="C115" s="3" t="s">
        <v>72</v>
      </c>
      <c r="D115" s="3" t="s">
        <v>287</v>
      </c>
      <c r="E115" s="3" t="s">
        <v>794</v>
      </c>
    </row>
    <row r="116" spans="1:5" x14ac:dyDescent="0.2">
      <c r="A116" s="3">
        <v>110</v>
      </c>
      <c r="B116" s="3" t="s">
        <v>48</v>
      </c>
      <c r="C116" s="3" t="s">
        <v>72</v>
      </c>
      <c r="D116" s="3" t="s">
        <v>288</v>
      </c>
      <c r="E116" s="3" t="s">
        <v>794</v>
      </c>
    </row>
    <row r="117" spans="1:5" x14ac:dyDescent="0.2">
      <c r="A117" s="3">
        <v>111</v>
      </c>
      <c r="B117" s="3" t="s">
        <v>48</v>
      </c>
      <c r="C117" s="3" t="s">
        <v>72</v>
      </c>
      <c r="D117" s="3" t="s">
        <v>289</v>
      </c>
      <c r="E117" s="3" t="s">
        <v>794</v>
      </c>
    </row>
    <row r="118" spans="1:5" x14ac:dyDescent="0.2">
      <c r="A118" s="3">
        <v>112</v>
      </c>
      <c r="B118" s="3" t="s">
        <v>48</v>
      </c>
      <c r="C118" s="3" t="s">
        <v>72</v>
      </c>
      <c r="D118" s="3" t="s">
        <v>290</v>
      </c>
      <c r="E118" s="3" t="s">
        <v>794</v>
      </c>
    </row>
    <row r="119" spans="1:5" x14ac:dyDescent="0.2">
      <c r="A119" s="3">
        <v>113</v>
      </c>
      <c r="B119" s="3" t="s">
        <v>48</v>
      </c>
      <c r="C119" s="3" t="s">
        <v>72</v>
      </c>
      <c r="D119" s="3" t="s">
        <v>291</v>
      </c>
      <c r="E119" s="3" t="s">
        <v>794</v>
      </c>
    </row>
    <row r="120" spans="1:5" x14ac:dyDescent="0.2">
      <c r="A120" s="3">
        <v>114</v>
      </c>
      <c r="B120" s="3" t="s">
        <v>48</v>
      </c>
      <c r="C120" s="3" t="s">
        <v>72</v>
      </c>
      <c r="D120" s="3" t="s">
        <v>292</v>
      </c>
      <c r="E120" s="3" t="s">
        <v>208</v>
      </c>
    </row>
    <row r="121" spans="1:5" x14ac:dyDescent="0.2">
      <c r="A121" s="3">
        <v>115</v>
      </c>
      <c r="B121" s="3" t="s">
        <v>48</v>
      </c>
      <c r="C121" s="3" t="s">
        <v>74</v>
      </c>
      <c r="D121" s="3" t="s">
        <v>879</v>
      </c>
      <c r="E121" s="3" t="s">
        <v>249</v>
      </c>
    </row>
    <row r="122" spans="1:5" x14ac:dyDescent="0.2">
      <c r="A122" s="3">
        <v>116</v>
      </c>
      <c r="B122" s="3" t="s">
        <v>48</v>
      </c>
      <c r="C122" s="3" t="s">
        <v>74</v>
      </c>
      <c r="D122" s="3" t="s">
        <v>880</v>
      </c>
      <c r="E122" s="3" t="s">
        <v>212</v>
      </c>
    </row>
    <row r="123" spans="1:5" x14ac:dyDescent="0.2">
      <c r="A123" s="3">
        <v>117</v>
      </c>
      <c r="B123" s="3" t="s">
        <v>48</v>
      </c>
      <c r="C123" s="3" t="s">
        <v>74</v>
      </c>
      <c r="D123" s="3" t="s">
        <v>881</v>
      </c>
      <c r="E123" s="3" t="s">
        <v>212</v>
      </c>
    </row>
    <row r="124" spans="1:5" x14ac:dyDescent="0.2">
      <c r="A124" s="3">
        <v>118</v>
      </c>
      <c r="B124" s="3" t="s">
        <v>48</v>
      </c>
      <c r="C124" s="3" t="s">
        <v>74</v>
      </c>
      <c r="D124" s="3" t="s">
        <v>293</v>
      </c>
      <c r="E124" s="3" t="s">
        <v>794</v>
      </c>
    </row>
    <row r="125" spans="1:5" x14ac:dyDescent="0.2">
      <c r="A125" s="3">
        <v>119</v>
      </c>
      <c r="B125" s="3" t="s">
        <v>48</v>
      </c>
      <c r="C125" s="3" t="s">
        <v>74</v>
      </c>
      <c r="D125" s="3" t="s">
        <v>294</v>
      </c>
      <c r="E125" s="3" t="s">
        <v>587</v>
      </c>
    </row>
    <row r="126" spans="1:5" x14ac:dyDescent="0.2">
      <c r="A126" s="3">
        <v>120</v>
      </c>
      <c r="B126" s="3" t="s">
        <v>48</v>
      </c>
      <c r="C126" s="3" t="s">
        <v>74</v>
      </c>
      <c r="D126" s="3" t="s">
        <v>882</v>
      </c>
      <c r="E126" s="3" t="s">
        <v>208</v>
      </c>
    </row>
    <row r="127" spans="1:5" x14ac:dyDescent="0.2">
      <c r="A127" s="3">
        <v>121</v>
      </c>
      <c r="B127" s="3" t="s">
        <v>48</v>
      </c>
      <c r="C127" s="3" t="s">
        <v>74</v>
      </c>
      <c r="D127" s="3" t="s">
        <v>883</v>
      </c>
      <c r="E127" s="3" t="s">
        <v>249</v>
      </c>
    </row>
    <row r="128" spans="1:5" x14ac:dyDescent="0.2">
      <c r="A128" s="3">
        <v>122</v>
      </c>
      <c r="B128" s="3" t="s">
        <v>48</v>
      </c>
      <c r="C128" s="3" t="s">
        <v>74</v>
      </c>
      <c r="D128" s="3" t="s">
        <v>295</v>
      </c>
      <c r="E128" s="3" t="s">
        <v>212</v>
      </c>
    </row>
    <row r="129" spans="1:5" x14ac:dyDescent="0.2">
      <c r="A129" s="3">
        <v>123</v>
      </c>
      <c r="B129" s="3" t="s">
        <v>48</v>
      </c>
      <c r="C129" s="3" t="s">
        <v>74</v>
      </c>
      <c r="D129" s="3" t="s">
        <v>884</v>
      </c>
      <c r="E129" s="3" t="s">
        <v>212</v>
      </c>
    </row>
    <row r="130" spans="1:5" x14ac:dyDescent="0.2">
      <c r="A130" s="3">
        <v>124</v>
      </c>
      <c r="B130" s="3" t="s">
        <v>48</v>
      </c>
      <c r="C130" s="3" t="s">
        <v>5</v>
      </c>
      <c r="D130" s="3" t="s">
        <v>296</v>
      </c>
      <c r="E130" s="3" t="s">
        <v>817</v>
      </c>
    </row>
    <row r="131" spans="1:5" x14ac:dyDescent="0.2">
      <c r="A131" s="3">
        <v>125</v>
      </c>
      <c r="B131" s="3" t="s">
        <v>48</v>
      </c>
      <c r="C131" s="3" t="s">
        <v>5</v>
      </c>
      <c r="D131" s="3" t="s">
        <v>297</v>
      </c>
      <c r="E131" s="3" t="s">
        <v>587</v>
      </c>
    </row>
    <row r="132" spans="1:5" x14ac:dyDescent="0.2">
      <c r="A132" s="3">
        <v>126</v>
      </c>
      <c r="B132" s="3" t="s">
        <v>48</v>
      </c>
      <c r="C132" s="3" t="s">
        <v>5</v>
      </c>
      <c r="D132" s="3" t="s">
        <v>885</v>
      </c>
      <c r="E132" s="3" t="s">
        <v>796</v>
      </c>
    </row>
    <row r="133" spans="1:5" x14ac:dyDescent="0.2">
      <c r="A133" s="3">
        <v>127</v>
      </c>
      <c r="B133" s="3" t="s">
        <v>48</v>
      </c>
      <c r="C133" s="3" t="s">
        <v>5</v>
      </c>
      <c r="D133" s="3" t="s">
        <v>298</v>
      </c>
      <c r="E133" s="3" t="s">
        <v>299</v>
      </c>
    </row>
    <row r="134" spans="1:5" x14ac:dyDescent="0.2">
      <c r="A134" s="3">
        <v>128</v>
      </c>
      <c r="B134" s="3" t="s">
        <v>48</v>
      </c>
      <c r="C134" s="3" t="s">
        <v>5</v>
      </c>
      <c r="D134" s="3" t="s">
        <v>300</v>
      </c>
      <c r="E134" s="3" t="s">
        <v>795</v>
      </c>
    </row>
    <row r="135" spans="1:5" x14ac:dyDescent="0.2">
      <c r="A135" s="3">
        <v>129</v>
      </c>
      <c r="B135" s="3" t="s">
        <v>48</v>
      </c>
      <c r="C135" s="3" t="s">
        <v>5</v>
      </c>
      <c r="D135" s="3" t="s">
        <v>301</v>
      </c>
      <c r="E135" s="3" t="s">
        <v>795</v>
      </c>
    </row>
    <row r="136" spans="1:5" x14ac:dyDescent="0.2">
      <c r="A136" s="3">
        <v>130</v>
      </c>
      <c r="B136" s="3" t="s">
        <v>48</v>
      </c>
      <c r="C136" s="3" t="s">
        <v>76</v>
      </c>
      <c r="D136" s="3" t="s">
        <v>302</v>
      </c>
      <c r="E136" s="3" t="s">
        <v>212</v>
      </c>
    </row>
    <row r="137" spans="1:5" x14ac:dyDescent="0.2">
      <c r="A137" s="3">
        <v>131</v>
      </c>
      <c r="B137" s="3" t="s">
        <v>48</v>
      </c>
      <c r="C137" s="3" t="s">
        <v>76</v>
      </c>
      <c r="D137" s="3" t="s">
        <v>886</v>
      </c>
      <c r="E137" s="3" t="s">
        <v>208</v>
      </c>
    </row>
    <row r="138" spans="1:5" x14ac:dyDescent="0.2">
      <c r="A138" s="3">
        <v>132</v>
      </c>
      <c r="B138" s="3" t="s">
        <v>48</v>
      </c>
      <c r="C138" s="3" t="s">
        <v>76</v>
      </c>
      <c r="D138" s="3" t="s">
        <v>304</v>
      </c>
      <c r="E138" s="3" t="s">
        <v>208</v>
      </c>
    </row>
    <row r="139" spans="1:5" x14ac:dyDescent="0.2">
      <c r="A139" s="3">
        <v>133</v>
      </c>
      <c r="B139" s="3" t="s">
        <v>48</v>
      </c>
      <c r="C139" s="3" t="s">
        <v>76</v>
      </c>
      <c r="D139" s="3" t="s">
        <v>303</v>
      </c>
      <c r="E139" s="3" t="s">
        <v>212</v>
      </c>
    </row>
    <row r="140" spans="1:5" x14ac:dyDescent="0.2">
      <c r="A140" s="3">
        <v>134</v>
      </c>
      <c r="B140" s="3" t="s">
        <v>48</v>
      </c>
      <c r="C140" s="3" t="s">
        <v>76</v>
      </c>
      <c r="D140" s="3" t="s">
        <v>305</v>
      </c>
      <c r="E140" s="3" t="s">
        <v>212</v>
      </c>
    </row>
    <row r="141" spans="1:5" x14ac:dyDescent="0.2">
      <c r="A141" s="3">
        <v>135</v>
      </c>
      <c r="B141" s="3" t="s">
        <v>48</v>
      </c>
      <c r="C141" s="3" t="s">
        <v>76</v>
      </c>
      <c r="D141" s="3" t="s">
        <v>307</v>
      </c>
      <c r="E141" s="3" t="s">
        <v>212</v>
      </c>
    </row>
    <row r="142" spans="1:5" x14ac:dyDescent="0.2">
      <c r="A142" s="3">
        <v>136</v>
      </c>
      <c r="B142" s="3" t="s">
        <v>48</v>
      </c>
      <c r="C142" s="3" t="s">
        <v>76</v>
      </c>
      <c r="D142" s="3" t="s">
        <v>887</v>
      </c>
      <c r="E142" s="3" t="s">
        <v>212</v>
      </c>
    </row>
    <row r="143" spans="1:5" x14ac:dyDescent="0.2">
      <c r="A143" s="3">
        <v>137</v>
      </c>
      <c r="B143" s="3" t="s">
        <v>48</v>
      </c>
      <c r="C143" s="3" t="s">
        <v>76</v>
      </c>
      <c r="D143" s="3" t="s">
        <v>306</v>
      </c>
      <c r="E143" s="3" t="s">
        <v>212</v>
      </c>
    </row>
    <row r="144" spans="1:5" x14ac:dyDescent="0.2">
      <c r="A144" s="3">
        <v>138</v>
      </c>
      <c r="B144" s="3" t="s">
        <v>48</v>
      </c>
      <c r="C144" s="3" t="s">
        <v>77</v>
      </c>
      <c r="D144" s="3" t="s">
        <v>888</v>
      </c>
      <c r="E144" s="3" t="s">
        <v>217</v>
      </c>
    </row>
    <row r="145" spans="1:5" x14ac:dyDescent="0.2">
      <c r="A145" s="3">
        <v>139</v>
      </c>
      <c r="B145" s="3" t="s">
        <v>48</v>
      </c>
      <c r="C145" s="3" t="s">
        <v>77</v>
      </c>
      <c r="D145" s="3" t="s">
        <v>889</v>
      </c>
      <c r="E145" s="3" t="s">
        <v>308</v>
      </c>
    </row>
    <row r="146" spans="1:5" x14ac:dyDescent="0.2">
      <c r="A146" s="3">
        <v>140</v>
      </c>
      <c r="B146" s="3" t="s">
        <v>48</v>
      </c>
      <c r="C146" s="3" t="s">
        <v>79</v>
      </c>
      <c r="D146" s="3" t="s">
        <v>797</v>
      </c>
      <c r="E146" s="3" t="s">
        <v>208</v>
      </c>
    </row>
    <row r="147" spans="1:5" x14ac:dyDescent="0.2">
      <c r="A147" s="3">
        <v>141</v>
      </c>
      <c r="B147" s="3" t="s">
        <v>48</v>
      </c>
      <c r="C147" s="3" t="s">
        <v>79</v>
      </c>
      <c r="D147" s="3" t="s">
        <v>309</v>
      </c>
      <c r="E147" s="3" t="s">
        <v>212</v>
      </c>
    </row>
    <row r="148" spans="1:5" x14ac:dyDescent="0.2">
      <c r="A148" s="3">
        <v>142</v>
      </c>
      <c r="B148" s="3" t="s">
        <v>48</v>
      </c>
      <c r="C148" s="3" t="s">
        <v>79</v>
      </c>
      <c r="D148" s="3" t="s">
        <v>310</v>
      </c>
      <c r="E148" s="3" t="s">
        <v>208</v>
      </c>
    </row>
    <row r="149" spans="1:5" x14ac:dyDescent="0.2">
      <c r="A149" s="3">
        <v>143</v>
      </c>
      <c r="B149" s="3" t="s">
        <v>48</v>
      </c>
      <c r="C149" s="3" t="s">
        <v>79</v>
      </c>
      <c r="D149" s="3" t="s">
        <v>314</v>
      </c>
      <c r="E149" s="3" t="s">
        <v>217</v>
      </c>
    </row>
    <row r="150" spans="1:5" x14ac:dyDescent="0.2">
      <c r="A150" s="3">
        <v>144</v>
      </c>
      <c r="B150" s="3" t="s">
        <v>48</v>
      </c>
      <c r="C150" s="3" t="s">
        <v>79</v>
      </c>
      <c r="D150" s="3" t="s">
        <v>312</v>
      </c>
      <c r="E150" s="3" t="s">
        <v>212</v>
      </c>
    </row>
    <row r="151" spans="1:5" x14ac:dyDescent="0.2">
      <c r="A151" s="3">
        <v>145</v>
      </c>
      <c r="B151" s="3" t="s">
        <v>48</v>
      </c>
      <c r="C151" s="3" t="s">
        <v>79</v>
      </c>
      <c r="D151" s="3" t="s">
        <v>311</v>
      </c>
      <c r="E151" s="3" t="s">
        <v>212</v>
      </c>
    </row>
    <row r="152" spans="1:5" x14ac:dyDescent="0.2">
      <c r="A152" s="3">
        <v>146</v>
      </c>
      <c r="B152" s="3" t="s">
        <v>48</v>
      </c>
      <c r="C152" s="3" t="s">
        <v>63</v>
      </c>
      <c r="D152" s="3" t="s">
        <v>890</v>
      </c>
      <c r="E152" s="3" t="s">
        <v>212</v>
      </c>
    </row>
    <row r="153" spans="1:5" x14ac:dyDescent="0.2">
      <c r="A153" s="3">
        <v>147</v>
      </c>
      <c r="B153" s="3" t="s">
        <v>48</v>
      </c>
      <c r="C153" s="3" t="s">
        <v>63</v>
      </c>
      <c r="D153" s="3" t="s">
        <v>891</v>
      </c>
      <c r="E153" s="3" t="s">
        <v>212</v>
      </c>
    </row>
    <row r="154" spans="1:5" x14ac:dyDescent="0.2">
      <c r="A154" s="3">
        <v>148</v>
      </c>
      <c r="B154" s="3" t="s">
        <v>48</v>
      </c>
      <c r="C154" s="3" t="s">
        <v>63</v>
      </c>
      <c r="D154" s="3" t="s">
        <v>892</v>
      </c>
      <c r="E154" s="3" t="s">
        <v>212</v>
      </c>
    </row>
    <row r="155" spans="1:5" x14ac:dyDescent="0.2">
      <c r="A155" s="3">
        <v>149</v>
      </c>
      <c r="B155" s="3" t="s">
        <v>48</v>
      </c>
      <c r="C155" s="3" t="s">
        <v>63</v>
      </c>
      <c r="D155" s="3" t="s">
        <v>893</v>
      </c>
      <c r="E155" s="3" t="s">
        <v>315</v>
      </c>
    </row>
    <row r="156" spans="1:5" x14ac:dyDescent="0.2">
      <c r="A156" s="3">
        <v>150</v>
      </c>
      <c r="B156" s="3" t="s">
        <v>48</v>
      </c>
      <c r="C156" s="3" t="s">
        <v>63</v>
      </c>
      <c r="D156" s="3" t="s">
        <v>894</v>
      </c>
      <c r="E156" s="3" t="s">
        <v>212</v>
      </c>
    </row>
    <row r="157" spans="1:5" x14ac:dyDescent="0.2">
      <c r="A157" s="3">
        <v>151</v>
      </c>
      <c r="B157" s="3" t="s">
        <v>48</v>
      </c>
      <c r="C157" s="3" t="s">
        <v>63</v>
      </c>
      <c r="D157" s="3" t="s">
        <v>316</v>
      </c>
      <c r="E157" s="3" t="s">
        <v>212</v>
      </c>
    </row>
    <row r="158" spans="1:5" x14ac:dyDescent="0.2">
      <c r="A158" s="3">
        <v>152</v>
      </c>
      <c r="B158" s="3" t="s">
        <v>48</v>
      </c>
      <c r="C158" s="3" t="s">
        <v>63</v>
      </c>
      <c r="D158" s="3" t="s">
        <v>318</v>
      </c>
      <c r="E158" s="3" t="s">
        <v>798</v>
      </c>
    </row>
    <row r="159" spans="1:5" x14ac:dyDescent="0.2">
      <c r="A159" s="3">
        <v>153</v>
      </c>
      <c r="B159" s="3" t="s">
        <v>48</v>
      </c>
      <c r="C159" s="3" t="s">
        <v>63</v>
      </c>
      <c r="D159" s="3" t="s">
        <v>317</v>
      </c>
      <c r="E159" s="3" t="s">
        <v>212</v>
      </c>
    </row>
    <row r="160" spans="1:5" x14ac:dyDescent="0.2">
      <c r="A160" s="3">
        <v>154</v>
      </c>
      <c r="B160" s="3" t="s">
        <v>48</v>
      </c>
      <c r="C160" s="3" t="s">
        <v>63</v>
      </c>
      <c r="D160" s="3" t="s">
        <v>319</v>
      </c>
      <c r="E160" s="3" t="s">
        <v>212</v>
      </c>
    </row>
    <row r="161" spans="1:5" x14ac:dyDescent="0.2">
      <c r="A161" s="3">
        <v>155</v>
      </c>
      <c r="B161" s="3" t="s">
        <v>48</v>
      </c>
      <c r="C161" s="3" t="s">
        <v>63</v>
      </c>
      <c r="D161" s="3" t="s">
        <v>320</v>
      </c>
      <c r="E161" s="3" t="s">
        <v>212</v>
      </c>
    </row>
    <row r="162" spans="1:5" x14ac:dyDescent="0.2">
      <c r="A162" s="3">
        <v>156</v>
      </c>
      <c r="B162" s="3" t="s">
        <v>48</v>
      </c>
      <c r="C162" s="3" t="s">
        <v>63</v>
      </c>
      <c r="D162" s="3" t="s">
        <v>321</v>
      </c>
      <c r="E162" s="3" t="s">
        <v>212</v>
      </c>
    </row>
    <row r="163" spans="1:5" x14ac:dyDescent="0.2">
      <c r="A163" s="3">
        <v>157</v>
      </c>
      <c r="B163" s="3" t="s">
        <v>48</v>
      </c>
      <c r="C163" s="3" t="s">
        <v>63</v>
      </c>
      <c r="D163" s="3" t="s">
        <v>322</v>
      </c>
      <c r="E163" s="3" t="s">
        <v>212</v>
      </c>
    </row>
    <row r="164" spans="1:5" x14ac:dyDescent="0.2">
      <c r="A164" s="3">
        <v>158</v>
      </c>
      <c r="B164" s="3" t="s">
        <v>48</v>
      </c>
      <c r="C164" s="3" t="s">
        <v>63</v>
      </c>
      <c r="D164" s="3" t="s">
        <v>324</v>
      </c>
      <c r="E164" s="3" t="s">
        <v>208</v>
      </c>
    </row>
    <row r="165" spans="1:5" x14ac:dyDescent="0.2">
      <c r="A165" s="3">
        <v>159</v>
      </c>
      <c r="B165" s="3" t="s">
        <v>48</v>
      </c>
      <c r="C165" s="3" t="s">
        <v>63</v>
      </c>
      <c r="D165" s="3" t="s">
        <v>323</v>
      </c>
      <c r="E165" s="3" t="s">
        <v>212</v>
      </c>
    </row>
    <row r="166" spans="1:5" x14ac:dyDescent="0.2">
      <c r="A166" s="3">
        <v>160</v>
      </c>
      <c r="B166" s="3" t="s">
        <v>48</v>
      </c>
      <c r="C166" s="3" t="s">
        <v>65</v>
      </c>
      <c r="D166" s="3" t="s">
        <v>326</v>
      </c>
      <c r="E166" s="3" t="s">
        <v>208</v>
      </c>
    </row>
    <row r="167" spans="1:5" x14ac:dyDescent="0.2">
      <c r="A167" s="3">
        <v>161</v>
      </c>
      <c r="B167" s="3" t="s">
        <v>48</v>
      </c>
      <c r="C167" s="3" t="s">
        <v>65</v>
      </c>
      <c r="D167" s="3" t="s">
        <v>325</v>
      </c>
      <c r="E167" s="3" t="s">
        <v>794</v>
      </c>
    </row>
    <row r="168" spans="1:5" x14ac:dyDescent="0.2">
      <c r="A168" s="3">
        <v>162</v>
      </c>
      <c r="B168" s="3" t="s">
        <v>48</v>
      </c>
      <c r="C168" s="3" t="s">
        <v>65</v>
      </c>
      <c r="D168" s="3" t="s">
        <v>327</v>
      </c>
      <c r="E168" s="3" t="s">
        <v>794</v>
      </c>
    </row>
    <row r="169" spans="1:5" x14ac:dyDescent="0.2">
      <c r="A169" s="3">
        <v>163</v>
      </c>
      <c r="B169" s="3" t="s">
        <v>48</v>
      </c>
      <c r="C169" s="3" t="s">
        <v>65</v>
      </c>
      <c r="D169" s="3" t="s">
        <v>895</v>
      </c>
      <c r="E169" s="3" t="s">
        <v>794</v>
      </c>
    </row>
    <row r="170" spans="1:5" x14ac:dyDescent="0.2">
      <c r="A170" s="3">
        <v>164</v>
      </c>
      <c r="B170" s="3" t="s">
        <v>48</v>
      </c>
      <c r="C170" s="3" t="s">
        <v>65</v>
      </c>
      <c r="D170" s="3" t="s">
        <v>328</v>
      </c>
      <c r="E170" s="3" t="s">
        <v>794</v>
      </c>
    </row>
    <row r="171" spans="1:5" x14ac:dyDescent="0.2">
      <c r="A171" s="3">
        <v>165</v>
      </c>
      <c r="B171" s="3" t="s">
        <v>48</v>
      </c>
      <c r="C171" s="3" t="s">
        <v>65</v>
      </c>
      <c r="D171" s="3" t="s">
        <v>329</v>
      </c>
      <c r="E171" s="3" t="s">
        <v>208</v>
      </c>
    </row>
    <row r="172" spans="1:5" x14ac:dyDescent="0.2">
      <c r="A172" s="3">
        <v>166</v>
      </c>
      <c r="B172" s="3" t="s">
        <v>48</v>
      </c>
      <c r="C172" s="3" t="s">
        <v>65</v>
      </c>
      <c r="D172" s="3" t="s">
        <v>330</v>
      </c>
      <c r="E172" s="3" t="s">
        <v>208</v>
      </c>
    </row>
    <row r="173" spans="1:5" x14ac:dyDescent="0.2">
      <c r="A173" s="3">
        <v>167</v>
      </c>
      <c r="B173" s="3" t="s">
        <v>48</v>
      </c>
      <c r="C173" s="3" t="s">
        <v>65</v>
      </c>
      <c r="D173" s="3" t="s">
        <v>896</v>
      </c>
      <c r="E173" s="3" t="s">
        <v>794</v>
      </c>
    </row>
    <row r="174" spans="1:5" x14ac:dyDescent="0.2">
      <c r="A174" s="3">
        <v>168</v>
      </c>
      <c r="B174" s="3" t="s">
        <v>48</v>
      </c>
      <c r="C174" s="3" t="s">
        <v>65</v>
      </c>
      <c r="D174" s="3" t="s">
        <v>897</v>
      </c>
      <c r="E174" s="3" t="s">
        <v>208</v>
      </c>
    </row>
    <row r="175" spans="1:5" x14ac:dyDescent="0.2">
      <c r="A175" s="3">
        <v>169</v>
      </c>
      <c r="B175" s="3" t="s">
        <v>48</v>
      </c>
      <c r="C175" s="3" t="s">
        <v>65</v>
      </c>
      <c r="D175" s="3" t="s">
        <v>331</v>
      </c>
      <c r="E175" s="3" t="s">
        <v>794</v>
      </c>
    </row>
    <row r="176" spans="1:5" x14ac:dyDescent="0.2">
      <c r="A176" s="3">
        <v>170</v>
      </c>
      <c r="B176" s="3" t="s">
        <v>48</v>
      </c>
      <c r="C176" s="3" t="s">
        <v>65</v>
      </c>
      <c r="D176" s="3" t="s">
        <v>333</v>
      </c>
      <c r="E176" s="3" t="s">
        <v>217</v>
      </c>
    </row>
    <row r="177" spans="1:5" x14ac:dyDescent="0.2">
      <c r="A177" s="3">
        <v>171</v>
      </c>
      <c r="B177" s="3" t="s">
        <v>48</v>
      </c>
      <c r="C177" s="3" t="s">
        <v>65</v>
      </c>
      <c r="D177" s="3" t="s">
        <v>332</v>
      </c>
      <c r="E177" s="3" t="s">
        <v>794</v>
      </c>
    </row>
    <row r="178" spans="1:5" x14ac:dyDescent="0.2">
      <c r="A178" s="3">
        <v>172</v>
      </c>
      <c r="B178" s="3" t="s">
        <v>48</v>
      </c>
      <c r="C178" s="3" t="s">
        <v>65</v>
      </c>
      <c r="D178" s="3" t="s">
        <v>898</v>
      </c>
      <c r="E178" s="3" t="s">
        <v>208</v>
      </c>
    </row>
    <row r="179" spans="1:5" x14ac:dyDescent="0.2">
      <c r="A179" s="3">
        <v>173</v>
      </c>
      <c r="B179" s="3" t="s">
        <v>48</v>
      </c>
      <c r="C179" s="3" t="s">
        <v>65</v>
      </c>
      <c r="D179" s="3" t="s">
        <v>899</v>
      </c>
      <c r="E179" s="3" t="s">
        <v>794</v>
      </c>
    </row>
    <row r="180" spans="1:5" x14ac:dyDescent="0.2">
      <c r="A180" s="3">
        <v>174</v>
      </c>
      <c r="B180" s="3" t="s">
        <v>48</v>
      </c>
      <c r="C180" s="3" t="s">
        <v>65</v>
      </c>
      <c r="D180" s="3" t="s">
        <v>334</v>
      </c>
      <c r="E180" s="3" t="s">
        <v>794</v>
      </c>
    </row>
    <row r="181" spans="1:5" x14ac:dyDescent="0.2">
      <c r="A181" s="3">
        <v>175</v>
      </c>
      <c r="B181" s="3" t="s">
        <v>48</v>
      </c>
      <c r="C181" s="3" t="s">
        <v>65</v>
      </c>
      <c r="D181" s="3" t="s">
        <v>335</v>
      </c>
      <c r="E181" s="3" t="s">
        <v>794</v>
      </c>
    </row>
    <row r="182" spans="1:5" x14ac:dyDescent="0.2">
      <c r="A182" s="3">
        <v>176</v>
      </c>
      <c r="B182" s="3" t="s">
        <v>48</v>
      </c>
      <c r="C182" s="3" t="s">
        <v>65</v>
      </c>
      <c r="D182" s="3" t="s">
        <v>900</v>
      </c>
      <c r="E182" s="3" t="s">
        <v>208</v>
      </c>
    </row>
    <row r="183" spans="1:5" x14ac:dyDescent="0.2">
      <c r="A183" s="3">
        <v>177</v>
      </c>
      <c r="B183" s="3" t="s">
        <v>48</v>
      </c>
      <c r="C183" s="3" t="s">
        <v>65</v>
      </c>
      <c r="D183" s="3" t="s">
        <v>901</v>
      </c>
      <c r="E183" s="3" t="s">
        <v>208</v>
      </c>
    </row>
    <row r="184" spans="1:5" x14ac:dyDescent="0.2">
      <c r="A184" s="3">
        <v>178</v>
      </c>
      <c r="B184" s="3" t="s">
        <v>48</v>
      </c>
      <c r="C184" s="3" t="s">
        <v>65</v>
      </c>
      <c r="D184" s="3" t="s">
        <v>336</v>
      </c>
      <c r="E184" s="3" t="s">
        <v>794</v>
      </c>
    </row>
    <row r="185" spans="1:5" x14ac:dyDescent="0.2">
      <c r="A185" s="3">
        <v>179</v>
      </c>
      <c r="B185" s="3" t="s">
        <v>48</v>
      </c>
      <c r="C185" s="3" t="s">
        <v>65</v>
      </c>
      <c r="D185" s="3" t="s">
        <v>337</v>
      </c>
      <c r="E185" s="3" t="s">
        <v>794</v>
      </c>
    </row>
    <row r="186" spans="1:5" x14ac:dyDescent="0.2">
      <c r="A186" s="3">
        <v>180</v>
      </c>
      <c r="B186" s="3" t="s">
        <v>48</v>
      </c>
      <c r="C186" s="3" t="s">
        <v>66</v>
      </c>
      <c r="D186" s="3" t="s">
        <v>902</v>
      </c>
      <c r="E186" s="3" t="s">
        <v>208</v>
      </c>
    </row>
    <row r="187" spans="1:5" x14ac:dyDescent="0.2">
      <c r="A187" s="3">
        <v>181</v>
      </c>
      <c r="B187" s="3" t="s">
        <v>48</v>
      </c>
      <c r="C187" s="3" t="s">
        <v>66</v>
      </c>
      <c r="D187" s="3" t="s">
        <v>903</v>
      </c>
      <c r="E187" s="3" t="s">
        <v>338</v>
      </c>
    </row>
    <row r="188" spans="1:5" x14ac:dyDescent="0.2">
      <c r="A188" s="3">
        <v>182</v>
      </c>
      <c r="B188" s="3" t="s">
        <v>48</v>
      </c>
      <c r="C188" s="3" t="s">
        <v>66</v>
      </c>
      <c r="D188" s="3" t="s">
        <v>904</v>
      </c>
      <c r="E188" s="3" t="s">
        <v>208</v>
      </c>
    </row>
    <row r="189" spans="1:5" x14ac:dyDescent="0.2">
      <c r="A189" s="3">
        <v>183</v>
      </c>
      <c r="B189" s="3" t="s">
        <v>48</v>
      </c>
      <c r="C189" s="3" t="s">
        <v>66</v>
      </c>
      <c r="D189" s="3" t="s">
        <v>339</v>
      </c>
      <c r="E189" s="3" t="s">
        <v>212</v>
      </c>
    </row>
    <row r="190" spans="1:5" x14ac:dyDescent="0.2">
      <c r="A190" s="3">
        <v>184</v>
      </c>
      <c r="B190" s="3" t="s">
        <v>48</v>
      </c>
      <c r="C190" s="3" t="s">
        <v>66</v>
      </c>
      <c r="D190" s="3" t="s">
        <v>905</v>
      </c>
      <c r="E190" s="3" t="s">
        <v>214</v>
      </c>
    </row>
    <row r="191" spans="1:5" x14ac:dyDescent="0.2">
      <c r="A191" s="3">
        <v>185</v>
      </c>
      <c r="B191" s="3" t="s">
        <v>48</v>
      </c>
      <c r="C191" s="3" t="s">
        <v>66</v>
      </c>
      <c r="D191" s="3" t="s">
        <v>906</v>
      </c>
      <c r="E191" s="3" t="s">
        <v>208</v>
      </c>
    </row>
    <row r="192" spans="1:5" x14ac:dyDescent="0.2">
      <c r="A192" s="3">
        <v>186</v>
      </c>
      <c r="B192" s="3" t="s">
        <v>48</v>
      </c>
      <c r="C192" s="3" t="s">
        <v>66</v>
      </c>
      <c r="D192" s="3" t="s">
        <v>340</v>
      </c>
      <c r="E192" s="3" t="s">
        <v>212</v>
      </c>
    </row>
    <row r="193" spans="1:5" x14ac:dyDescent="0.2">
      <c r="A193" s="3">
        <v>187</v>
      </c>
      <c r="B193" s="3" t="s">
        <v>48</v>
      </c>
      <c r="C193" s="3" t="s">
        <v>66</v>
      </c>
      <c r="D193" s="3" t="s">
        <v>907</v>
      </c>
      <c r="E193" s="3" t="s">
        <v>212</v>
      </c>
    </row>
    <row r="194" spans="1:5" x14ac:dyDescent="0.2">
      <c r="A194" s="3">
        <v>188</v>
      </c>
      <c r="B194" s="3" t="s">
        <v>48</v>
      </c>
      <c r="C194" s="3" t="s">
        <v>66</v>
      </c>
      <c r="D194" s="3" t="s">
        <v>341</v>
      </c>
      <c r="E194" s="3" t="s">
        <v>212</v>
      </c>
    </row>
    <row r="195" spans="1:5" x14ac:dyDescent="0.2">
      <c r="A195" s="3">
        <v>189</v>
      </c>
      <c r="B195" s="3" t="s">
        <v>48</v>
      </c>
      <c r="C195" s="3" t="s">
        <v>66</v>
      </c>
      <c r="D195" s="3" t="s">
        <v>342</v>
      </c>
      <c r="E195" s="3" t="s">
        <v>208</v>
      </c>
    </row>
    <row r="196" spans="1:5" x14ac:dyDescent="0.2">
      <c r="A196" s="3">
        <v>190</v>
      </c>
      <c r="B196" s="3" t="s">
        <v>48</v>
      </c>
      <c r="C196" s="3" t="s">
        <v>66</v>
      </c>
      <c r="D196" s="3" t="s">
        <v>908</v>
      </c>
      <c r="E196" s="3" t="s">
        <v>308</v>
      </c>
    </row>
    <row r="197" spans="1:5" x14ac:dyDescent="0.2">
      <c r="A197" s="3">
        <v>191</v>
      </c>
      <c r="B197" s="3" t="s">
        <v>48</v>
      </c>
      <c r="C197" s="3" t="s">
        <v>66</v>
      </c>
      <c r="D197" s="3" t="s">
        <v>343</v>
      </c>
      <c r="E197" s="3" t="s">
        <v>208</v>
      </c>
    </row>
    <row r="198" spans="1:5" x14ac:dyDescent="0.2">
      <c r="A198" s="3">
        <v>192</v>
      </c>
      <c r="B198" s="3" t="s">
        <v>48</v>
      </c>
      <c r="C198" s="3" t="s">
        <v>66</v>
      </c>
      <c r="D198" s="3" t="s">
        <v>909</v>
      </c>
      <c r="E198" s="3" t="s">
        <v>212</v>
      </c>
    </row>
    <row r="199" spans="1:5" x14ac:dyDescent="0.2">
      <c r="A199" s="3">
        <v>193</v>
      </c>
      <c r="B199" s="3" t="s">
        <v>48</v>
      </c>
      <c r="C199" s="3" t="s">
        <v>66</v>
      </c>
      <c r="D199" s="3" t="s">
        <v>344</v>
      </c>
      <c r="E199" s="3" t="s">
        <v>208</v>
      </c>
    </row>
    <row r="200" spans="1:5" x14ac:dyDescent="0.2">
      <c r="A200" s="3">
        <v>194</v>
      </c>
      <c r="B200" s="3" t="s">
        <v>48</v>
      </c>
      <c r="C200" s="3" t="s">
        <v>66</v>
      </c>
      <c r="D200" s="3" t="s">
        <v>910</v>
      </c>
      <c r="E200" s="3" t="s">
        <v>235</v>
      </c>
    </row>
    <row r="201" spans="1:5" x14ac:dyDescent="0.2">
      <c r="A201" s="3">
        <v>195</v>
      </c>
      <c r="B201" s="3" t="s">
        <v>48</v>
      </c>
      <c r="C201" s="3" t="s">
        <v>66</v>
      </c>
      <c r="D201" s="3" t="s">
        <v>345</v>
      </c>
      <c r="E201" s="3" t="s">
        <v>212</v>
      </c>
    </row>
    <row r="202" spans="1:5" x14ac:dyDescent="0.2">
      <c r="A202" s="3">
        <v>196</v>
      </c>
      <c r="B202" s="3" t="s">
        <v>48</v>
      </c>
      <c r="C202" s="3" t="s">
        <v>66</v>
      </c>
      <c r="D202" s="3" t="s">
        <v>346</v>
      </c>
      <c r="E202" s="3" t="s">
        <v>212</v>
      </c>
    </row>
    <row r="203" spans="1:5" x14ac:dyDescent="0.2">
      <c r="A203" s="3">
        <v>197</v>
      </c>
      <c r="B203" s="3" t="s">
        <v>48</v>
      </c>
      <c r="C203" s="3" t="s">
        <v>66</v>
      </c>
      <c r="D203" s="3" t="s">
        <v>347</v>
      </c>
      <c r="E203" s="3" t="s">
        <v>315</v>
      </c>
    </row>
    <row r="204" spans="1:5" x14ac:dyDescent="0.2">
      <c r="A204" s="3">
        <v>198</v>
      </c>
      <c r="B204" s="3" t="s">
        <v>48</v>
      </c>
      <c r="C204" s="3" t="s">
        <v>66</v>
      </c>
      <c r="D204" s="3" t="s">
        <v>348</v>
      </c>
      <c r="E204" s="3" t="s">
        <v>212</v>
      </c>
    </row>
    <row r="205" spans="1:5" x14ac:dyDescent="0.2">
      <c r="A205" s="3">
        <v>199</v>
      </c>
      <c r="B205" s="3" t="s">
        <v>48</v>
      </c>
      <c r="C205" s="3" t="s">
        <v>66</v>
      </c>
      <c r="D205" s="3" t="s">
        <v>911</v>
      </c>
      <c r="E205" s="3" t="s">
        <v>212</v>
      </c>
    </row>
    <row r="206" spans="1:5" x14ac:dyDescent="0.2">
      <c r="A206" s="3">
        <v>200</v>
      </c>
      <c r="B206" s="3" t="s">
        <v>48</v>
      </c>
      <c r="C206" s="3" t="s">
        <v>66</v>
      </c>
      <c r="D206" s="3" t="s">
        <v>912</v>
      </c>
      <c r="E206" s="3" t="s">
        <v>212</v>
      </c>
    </row>
    <row r="207" spans="1:5" x14ac:dyDescent="0.2">
      <c r="A207" s="3">
        <v>201</v>
      </c>
      <c r="B207" s="3" t="s">
        <v>48</v>
      </c>
      <c r="C207" s="3" t="s">
        <v>66</v>
      </c>
      <c r="D207" s="3" t="s">
        <v>349</v>
      </c>
      <c r="E207" s="3" t="s">
        <v>208</v>
      </c>
    </row>
    <row r="208" spans="1:5" x14ac:dyDescent="0.2">
      <c r="A208" s="3">
        <v>202</v>
      </c>
      <c r="B208" s="3" t="s">
        <v>48</v>
      </c>
      <c r="C208" s="3" t="s">
        <v>66</v>
      </c>
      <c r="D208" s="3" t="s">
        <v>913</v>
      </c>
      <c r="E208" s="3" t="s">
        <v>208</v>
      </c>
    </row>
    <row r="209" spans="1:5" x14ac:dyDescent="0.2">
      <c r="A209" s="3">
        <v>203</v>
      </c>
      <c r="B209" s="3" t="s">
        <v>48</v>
      </c>
      <c r="C209" s="3" t="s">
        <v>66</v>
      </c>
      <c r="D209" s="3" t="s">
        <v>914</v>
      </c>
      <c r="E209" s="3" t="s">
        <v>212</v>
      </c>
    </row>
    <row r="210" spans="1:5" x14ac:dyDescent="0.2">
      <c r="A210" s="3">
        <v>204</v>
      </c>
      <c r="B210" s="3" t="s">
        <v>48</v>
      </c>
      <c r="C210" s="3" t="s">
        <v>66</v>
      </c>
      <c r="D210" s="3" t="s">
        <v>915</v>
      </c>
      <c r="E210" s="3" t="s">
        <v>212</v>
      </c>
    </row>
    <row r="211" spans="1:5" x14ac:dyDescent="0.2">
      <c r="A211" s="3">
        <v>205</v>
      </c>
      <c r="B211" s="3" t="s">
        <v>48</v>
      </c>
      <c r="C211" s="3" t="s">
        <v>66</v>
      </c>
      <c r="D211" s="3" t="s">
        <v>916</v>
      </c>
      <c r="E211" s="3" t="s">
        <v>212</v>
      </c>
    </row>
    <row r="212" spans="1:5" x14ac:dyDescent="0.2">
      <c r="A212" s="3">
        <v>206</v>
      </c>
      <c r="B212" s="3" t="s">
        <v>48</v>
      </c>
      <c r="C212" s="3" t="s">
        <v>66</v>
      </c>
      <c r="D212" s="3" t="s">
        <v>350</v>
      </c>
      <c r="E212" s="3" t="s">
        <v>212</v>
      </c>
    </row>
    <row r="213" spans="1:5" x14ac:dyDescent="0.2">
      <c r="A213" s="3">
        <v>207</v>
      </c>
      <c r="B213" s="3" t="s">
        <v>48</v>
      </c>
      <c r="C213" s="3" t="s">
        <v>69</v>
      </c>
      <c r="D213" s="3" t="s">
        <v>351</v>
      </c>
      <c r="E213" s="3" t="s">
        <v>208</v>
      </c>
    </row>
    <row r="214" spans="1:5" x14ac:dyDescent="0.2">
      <c r="A214" s="3">
        <v>208</v>
      </c>
      <c r="B214" s="3" t="s">
        <v>48</v>
      </c>
      <c r="C214" s="3" t="s">
        <v>69</v>
      </c>
      <c r="D214" s="3" t="s">
        <v>917</v>
      </c>
      <c r="E214" s="3" t="s">
        <v>212</v>
      </c>
    </row>
    <row r="215" spans="1:5" x14ac:dyDescent="0.2">
      <c r="A215" s="3">
        <v>209</v>
      </c>
      <c r="B215" s="3" t="s">
        <v>48</v>
      </c>
      <c r="C215" s="3" t="s">
        <v>172</v>
      </c>
      <c r="D215" s="3" t="s">
        <v>918</v>
      </c>
      <c r="E215" s="3" t="s">
        <v>212</v>
      </c>
    </row>
    <row r="216" spans="1:5" x14ac:dyDescent="0.2">
      <c r="A216" s="3">
        <v>210</v>
      </c>
      <c r="B216" s="3" t="s">
        <v>48</v>
      </c>
      <c r="C216" s="3" t="s">
        <v>172</v>
      </c>
      <c r="D216" s="3" t="s">
        <v>919</v>
      </c>
      <c r="E216" s="3" t="s">
        <v>212</v>
      </c>
    </row>
    <row r="217" spans="1:5" x14ac:dyDescent="0.2">
      <c r="A217" s="3">
        <v>211</v>
      </c>
      <c r="B217" s="3" t="s">
        <v>50</v>
      </c>
      <c r="C217" s="3" t="s">
        <v>50</v>
      </c>
      <c r="D217" s="3" t="s">
        <v>352</v>
      </c>
      <c r="E217" s="3" t="s">
        <v>208</v>
      </c>
    </row>
    <row r="218" spans="1:5" x14ac:dyDescent="0.2">
      <c r="A218" s="3">
        <v>212</v>
      </c>
      <c r="B218" s="3" t="s">
        <v>50</v>
      </c>
      <c r="C218" s="3" t="s">
        <v>50</v>
      </c>
      <c r="D218" s="3" t="s">
        <v>353</v>
      </c>
      <c r="E218" s="3" t="s">
        <v>208</v>
      </c>
    </row>
    <row r="219" spans="1:5" x14ac:dyDescent="0.2">
      <c r="A219" s="3">
        <v>213</v>
      </c>
      <c r="B219" s="3" t="s">
        <v>50</v>
      </c>
      <c r="C219" s="3" t="s">
        <v>50</v>
      </c>
      <c r="D219" s="3" t="s">
        <v>354</v>
      </c>
      <c r="E219" s="3" t="s">
        <v>208</v>
      </c>
    </row>
    <row r="220" spans="1:5" x14ac:dyDescent="0.2">
      <c r="A220" s="3">
        <v>214</v>
      </c>
      <c r="B220" s="3" t="s">
        <v>50</v>
      </c>
      <c r="C220" s="3" t="s">
        <v>50</v>
      </c>
      <c r="D220" s="3" t="s">
        <v>355</v>
      </c>
      <c r="E220" s="3" t="s">
        <v>208</v>
      </c>
    </row>
    <row r="221" spans="1:5" x14ac:dyDescent="0.2">
      <c r="A221" s="3">
        <v>215</v>
      </c>
      <c r="B221" s="3" t="s">
        <v>50</v>
      </c>
      <c r="C221" s="3" t="s">
        <v>50</v>
      </c>
      <c r="D221" s="3" t="s">
        <v>356</v>
      </c>
      <c r="E221" s="3" t="s">
        <v>208</v>
      </c>
    </row>
    <row r="222" spans="1:5" x14ac:dyDescent="0.2">
      <c r="A222" s="3">
        <v>216</v>
      </c>
      <c r="B222" s="3" t="s">
        <v>50</v>
      </c>
      <c r="C222" s="3" t="s">
        <v>50</v>
      </c>
      <c r="D222" s="3" t="s">
        <v>357</v>
      </c>
      <c r="E222" s="3" t="s">
        <v>208</v>
      </c>
    </row>
    <row r="223" spans="1:5" x14ac:dyDescent="0.2">
      <c r="A223" s="3">
        <v>217</v>
      </c>
      <c r="B223" s="3" t="s">
        <v>50</v>
      </c>
      <c r="C223" s="3" t="s">
        <v>50</v>
      </c>
      <c r="D223" s="3" t="s">
        <v>359</v>
      </c>
      <c r="E223" s="3" t="s">
        <v>217</v>
      </c>
    </row>
    <row r="224" spans="1:5" x14ac:dyDescent="0.2">
      <c r="A224" s="3">
        <v>218</v>
      </c>
      <c r="B224" s="3" t="s">
        <v>50</v>
      </c>
      <c r="C224" s="3" t="s">
        <v>50</v>
      </c>
      <c r="D224" s="3" t="s">
        <v>358</v>
      </c>
      <c r="E224" s="3" t="s">
        <v>208</v>
      </c>
    </row>
    <row r="225" spans="1:5" x14ac:dyDescent="0.2">
      <c r="A225" s="3">
        <v>219</v>
      </c>
      <c r="B225" s="3" t="s">
        <v>50</v>
      </c>
      <c r="C225" s="3" t="s">
        <v>50</v>
      </c>
      <c r="D225" s="3" t="s">
        <v>363</v>
      </c>
      <c r="E225" s="3" t="s">
        <v>246</v>
      </c>
    </row>
    <row r="226" spans="1:5" x14ac:dyDescent="0.2">
      <c r="A226" s="3">
        <v>220</v>
      </c>
      <c r="B226" s="3" t="s">
        <v>50</v>
      </c>
      <c r="C226" s="3" t="s">
        <v>50</v>
      </c>
      <c r="D226" s="3" t="s">
        <v>361</v>
      </c>
      <c r="E226" s="3" t="s">
        <v>208</v>
      </c>
    </row>
    <row r="227" spans="1:5" x14ac:dyDescent="0.2">
      <c r="A227" s="3">
        <v>221</v>
      </c>
      <c r="B227" s="3" t="s">
        <v>50</v>
      </c>
      <c r="C227" s="3" t="s">
        <v>50</v>
      </c>
      <c r="D227" s="3" t="s">
        <v>362</v>
      </c>
      <c r="E227" s="3" t="s">
        <v>208</v>
      </c>
    </row>
    <row r="228" spans="1:5" x14ac:dyDescent="0.2">
      <c r="A228" s="3">
        <v>222</v>
      </c>
      <c r="B228" s="3" t="s">
        <v>50</v>
      </c>
      <c r="C228" s="3" t="s">
        <v>50</v>
      </c>
      <c r="D228" s="3" t="s">
        <v>360</v>
      </c>
      <c r="E228" s="3" t="s">
        <v>791</v>
      </c>
    </row>
    <row r="229" spans="1:5" x14ac:dyDescent="0.2">
      <c r="A229" s="3">
        <v>223</v>
      </c>
      <c r="B229" s="3" t="s">
        <v>50</v>
      </c>
      <c r="C229" s="3" t="s">
        <v>50</v>
      </c>
      <c r="D229" s="3" t="s">
        <v>364</v>
      </c>
      <c r="E229" s="3" t="s">
        <v>791</v>
      </c>
    </row>
    <row r="230" spans="1:5" x14ac:dyDescent="0.2">
      <c r="A230" s="3">
        <v>224</v>
      </c>
      <c r="B230" s="3" t="s">
        <v>50</v>
      </c>
      <c r="C230" s="3" t="s">
        <v>50</v>
      </c>
      <c r="D230" s="3" t="s">
        <v>365</v>
      </c>
      <c r="E230" s="3" t="s">
        <v>208</v>
      </c>
    </row>
    <row r="231" spans="1:5" x14ac:dyDescent="0.2">
      <c r="A231" s="3">
        <v>225</v>
      </c>
      <c r="B231" s="3" t="s">
        <v>50</v>
      </c>
      <c r="C231" s="3" t="s">
        <v>50</v>
      </c>
      <c r="D231" s="3" t="s">
        <v>366</v>
      </c>
      <c r="E231" s="3" t="s">
        <v>208</v>
      </c>
    </row>
    <row r="232" spans="1:5" x14ac:dyDescent="0.2">
      <c r="A232" s="3">
        <v>226</v>
      </c>
      <c r="B232" s="3" t="s">
        <v>50</v>
      </c>
      <c r="C232" s="3" t="s">
        <v>50</v>
      </c>
      <c r="D232" s="3" t="s">
        <v>367</v>
      </c>
      <c r="E232" s="3" t="s">
        <v>214</v>
      </c>
    </row>
    <row r="233" spans="1:5" x14ac:dyDescent="0.2">
      <c r="A233" s="3">
        <v>227</v>
      </c>
      <c r="B233" s="3" t="s">
        <v>50</v>
      </c>
      <c r="C233" s="3" t="s">
        <v>50</v>
      </c>
      <c r="D233" s="3" t="s">
        <v>368</v>
      </c>
      <c r="E233" s="3" t="s">
        <v>315</v>
      </c>
    </row>
    <row r="234" spans="1:5" x14ac:dyDescent="0.2">
      <c r="A234" s="3">
        <v>228</v>
      </c>
      <c r="B234" s="3" t="s">
        <v>50</v>
      </c>
      <c r="C234" s="3" t="s">
        <v>50</v>
      </c>
      <c r="D234" s="3" t="s">
        <v>369</v>
      </c>
      <c r="E234" s="3" t="s">
        <v>208</v>
      </c>
    </row>
    <row r="235" spans="1:5" x14ac:dyDescent="0.2">
      <c r="A235" s="3">
        <v>229</v>
      </c>
      <c r="B235" s="3" t="s">
        <v>50</v>
      </c>
      <c r="C235" s="3" t="s">
        <v>50</v>
      </c>
      <c r="D235" s="3" t="s">
        <v>370</v>
      </c>
      <c r="E235" s="3" t="s">
        <v>212</v>
      </c>
    </row>
    <row r="236" spans="1:5" x14ac:dyDescent="0.2">
      <c r="A236" s="3">
        <v>230</v>
      </c>
      <c r="B236" s="3" t="s">
        <v>50</v>
      </c>
      <c r="C236" s="3" t="s">
        <v>50</v>
      </c>
      <c r="D236" s="3" t="s">
        <v>371</v>
      </c>
      <c r="E236" s="3" t="s">
        <v>791</v>
      </c>
    </row>
    <row r="237" spans="1:5" x14ac:dyDescent="0.2">
      <c r="A237" s="3">
        <v>231</v>
      </c>
      <c r="B237" s="3" t="s">
        <v>50</v>
      </c>
      <c r="C237" s="3" t="s">
        <v>50</v>
      </c>
      <c r="D237" s="3" t="s">
        <v>372</v>
      </c>
      <c r="E237" s="3" t="s">
        <v>791</v>
      </c>
    </row>
    <row r="238" spans="1:5" x14ac:dyDescent="0.2">
      <c r="A238" s="3">
        <v>232</v>
      </c>
      <c r="B238" s="3" t="s">
        <v>50</v>
      </c>
      <c r="C238" s="3" t="s">
        <v>50</v>
      </c>
      <c r="D238" s="3" t="s">
        <v>374</v>
      </c>
      <c r="E238" s="3" t="s">
        <v>208</v>
      </c>
    </row>
    <row r="239" spans="1:5" x14ac:dyDescent="0.2">
      <c r="A239" s="3">
        <v>233</v>
      </c>
      <c r="B239" s="3" t="s">
        <v>50</v>
      </c>
      <c r="C239" s="3" t="s">
        <v>50</v>
      </c>
      <c r="D239" s="3" t="s">
        <v>373</v>
      </c>
      <c r="E239" s="3" t="s">
        <v>791</v>
      </c>
    </row>
    <row r="240" spans="1:5" x14ac:dyDescent="0.2">
      <c r="A240" s="3">
        <v>234</v>
      </c>
      <c r="B240" s="3" t="s">
        <v>50</v>
      </c>
      <c r="C240" s="3" t="s">
        <v>71</v>
      </c>
      <c r="D240" s="3" t="s">
        <v>375</v>
      </c>
      <c r="E240" s="3" t="s">
        <v>208</v>
      </c>
    </row>
    <row r="241" spans="1:5" x14ac:dyDescent="0.2">
      <c r="A241" s="3">
        <v>235</v>
      </c>
      <c r="B241" s="3" t="s">
        <v>50</v>
      </c>
      <c r="C241" s="3" t="s">
        <v>71</v>
      </c>
      <c r="D241" s="3" t="s">
        <v>376</v>
      </c>
      <c r="E241" s="3" t="s">
        <v>212</v>
      </c>
    </row>
    <row r="242" spans="1:5" x14ac:dyDescent="0.2">
      <c r="A242" s="3">
        <v>236</v>
      </c>
      <c r="B242" s="3" t="s">
        <v>50</v>
      </c>
      <c r="C242" s="3" t="s">
        <v>71</v>
      </c>
      <c r="D242" s="3" t="s">
        <v>377</v>
      </c>
      <c r="E242" s="3" t="s">
        <v>208</v>
      </c>
    </row>
    <row r="243" spans="1:5" x14ac:dyDescent="0.2">
      <c r="A243" s="3">
        <v>237</v>
      </c>
      <c r="B243" s="3" t="s">
        <v>50</v>
      </c>
      <c r="C243" s="3" t="s">
        <v>71</v>
      </c>
      <c r="D243" s="3" t="s">
        <v>378</v>
      </c>
      <c r="E243" s="3" t="s">
        <v>208</v>
      </c>
    </row>
    <row r="244" spans="1:5" x14ac:dyDescent="0.2">
      <c r="A244" s="3">
        <v>238</v>
      </c>
      <c r="B244" s="3" t="s">
        <v>50</v>
      </c>
      <c r="C244" s="3" t="s">
        <v>71</v>
      </c>
      <c r="D244" s="3" t="s">
        <v>380</v>
      </c>
      <c r="E244" s="3" t="s">
        <v>217</v>
      </c>
    </row>
    <row r="245" spans="1:5" x14ac:dyDescent="0.2">
      <c r="A245" s="3">
        <v>239</v>
      </c>
      <c r="B245" s="3" t="s">
        <v>50</v>
      </c>
      <c r="C245" s="3" t="s">
        <v>71</v>
      </c>
      <c r="D245" s="3" t="s">
        <v>379</v>
      </c>
      <c r="E245" s="3" t="s">
        <v>208</v>
      </c>
    </row>
    <row r="246" spans="1:5" x14ac:dyDescent="0.2">
      <c r="A246" s="3">
        <v>240</v>
      </c>
      <c r="B246" s="3" t="s">
        <v>50</v>
      </c>
      <c r="C246" s="3" t="s">
        <v>71</v>
      </c>
      <c r="D246" s="3" t="s">
        <v>381</v>
      </c>
      <c r="E246" s="3" t="s">
        <v>208</v>
      </c>
    </row>
    <row r="247" spans="1:5" x14ac:dyDescent="0.2">
      <c r="A247" s="3">
        <v>241</v>
      </c>
      <c r="B247" s="3" t="s">
        <v>50</v>
      </c>
      <c r="C247" s="3" t="s">
        <v>71</v>
      </c>
      <c r="D247" s="3" t="s">
        <v>382</v>
      </c>
      <c r="E247" s="3" t="s">
        <v>208</v>
      </c>
    </row>
    <row r="248" spans="1:5" x14ac:dyDescent="0.2">
      <c r="A248" s="3">
        <v>242</v>
      </c>
      <c r="B248" s="3" t="s">
        <v>50</v>
      </c>
      <c r="C248" s="3" t="s">
        <v>71</v>
      </c>
      <c r="D248" s="3" t="s">
        <v>920</v>
      </c>
      <c r="E248" s="3" t="s">
        <v>208</v>
      </c>
    </row>
    <row r="249" spans="1:5" x14ac:dyDescent="0.2">
      <c r="A249" s="3">
        <v>243</v>
      </c>
      <c r="B249" s="3" t="s">
        <v>50</v>
      </c>
      <c r="C249" s="3" t="s">
        <v>71</v>
      </c>
      <c r="D249" s="3" t="s">
        <v>383</v>
      </c>
      <c r="E249" s="3" t="s">
        <v>208</v>
      </c>
    </row>
    <row r="250" spans="1:5" x14ac:dyDescent="0.2">
      <c r="A250" s="3">
        <v>244</v>
      </c>
      <c r="B250" s="3" t="s">
        <v>50</v>
      </c>
      <c r="C250" s="3" t="s">
        <v>71</v>
      </c>
      <c r="D250" s="3" t="s">
        <v>384</v>
      </c>
      <c r="E250" s="3" t="s">
        <v>208</v>
      </c>
    </row>
    <row r="251" spans="1:5" x14ac:dyDescent="0.2">
      <c r="A251" s="3">
        <v>245</v>
      </c>
      <c r="B251" s="3" t="s">
        <v>50</v>
      </c>
      <c r="C251" s="3" t="s">
        <v>71</v>
      </c>
      <c r="D251" s="3" t="s">
        <v>385</v>
      </c>
      <c r="E251" s="3" t="s">
        <v>208</v>
      </c>
    </row>
    <row r="252" spans="1:5" x14ac:dyDescent="0.2">
      <c r="A252" s="3">
        <v>246</v>
      </c>
      <c r="B252" s="3" t="s">
        <v>50</v>
      </c>
      <c r="C252" s="3" t="s">
        <v>71</v>
      </c>
      <c r="D252" s="3" t="s">
        <v>921</v>
      </c>
      <c r="E252" s="3" t="s">
        <v>792</v>
      </c>
    </row>
    <row r="253" spans="1:5" x14ac:dyDescent="0.2">
      <c r="A253" s="3">
        <v>247</v>
      </c>
      <c r="B253" s="3" t="s">
        <v>50</v>
      </c>
      <c r="C253" s="3" t="s">
        <v>71</v>
      </c>
      <c r="D253" s="3" t="s">
        <v>388</v>
      </c>
      <c r="E253" s="3" t="s">
        <v>208</v>
      </c>
    </row>
    <row r="254" spans="1:5" x14ac:dyDescent="0.2">
      <c r="A254" s="3">
        <v>248</v>
      </c>
      <c r="B254" s="3" t="s">
        <v>50</v>
      </c>
      <c r="C254" s="3" t="s">
        <v>71</v>
      </c>
      <c r="D254" s="3" t="s">
        <v>386</v>
      </c>
      <c r="E254" s="3" t="s">
        <v>799</v>
      </c>
    </row>
    <row r="255" spans="1:5" x14ac:dyDescent="0.2">
      <c r="A255" s="3">
        <v>249</v>
      </c>
      <c r="B255" s="3" t="s">
        <v>50</v>
      </c>
      <c r="C255" s="3" t="s">
        <v>71</v>
      </c>
      <c r="D255" s="3" t="s">
        <v>387</v>
      </c>
      <c r="E255" s="3" t="s">
        <v>799</v>
      </c>
    </row>
    <row r="256" spans="1:5" x14ac:dyDescent="0.2">
      <c r="A256" s="3">
        <v>250</v>
      </c>
      <c r="B256" s="3" t="s">
        <v>50</v>
      </c>
      <c r="C256" s="3" t="s">
        <v>71</v>
      </c>
      <c r="D256" s="3" t="s">
        <v>391</v>
      </c>
      <c r="E256" s="3" t="s">
        <v>208</v>
      </c>
    </row>
    <row r="257" spans="1:5" x14ac:dyDescent="0.2">
      <c r="A257" s="3">
        <v>251</v>
      </c>
      <c r="B257" s="3" t="s">
        <v>50</v>
      </c>
      <c r="C257" s="3" t="s">
        <v>71</v>
      </c>
      <c r="D257" s="3" t="s">
        <v>389</v>
      </c>
      <c r="E257" s="3" t="s">
        <v>799</v>
      </c>
    </row>
    <row r="258" spans="1:5" x14ac:dyDescent="0.2">
      <c r="A258" s="3">
        <v>252</v>
      </c>
      <c r="B258" s="3" t="s">
        <v>50</v>
      </c>
      <c r="C258" s="3" t="s">
        <v>71</v>
      </c>
      <c r="D258" s="3" t="s">
        <v>390</v>
      </c>
      <c r="E258" s="3" t="s">
        <v>799</v>
      </c>
    </row>
    <row r="259" spans="1:5" x14ac:dyDescent="0.2">
      <c r="A259" s="3">
        <v>253</v>
      </c>
      <c r="B259" s="3" t="s">
        <v>50</v>
      </c>
      <c r="C259" s="3" t="s">
        <v>71</v>
      </c>
      <c r="D259" s="3" t="s">
        <v>394</v>
      </c>
      <c r="E259" s="3" t="s">
        <v>208</v>
      </c>
    </row>
    <row r="260" spans="1:5" x14ac:dyDescent="0.2">
      <c r="A260" s="3">
        <v>254</v>
      </c>
      <c r="B260" s="3" t="s">
        <v>50</v>
      </c>
      <c r="C260" s="3" t="s">
        <v>71</v>
      </c>
      <c r="D260" s="3" t="s">
        <v>392</v>
      </c>
      <c r="E260" s="3" t="s">
        <v>393</v>
      </c>
    </row>
    <row r="261" spans="1:5" x14ac:dyDescent="0.2">
      <c r="A261" s="3">
        <v>255</v>
      </c>
      <c r="B261" s="3" t="s">
        <v>50</v>
      </c>
      <c r="C261" s="3" t="s">
        <v>71</v>
      </c>
      <c r="D261" s="3" t="s">
        <v>395</v>
      </c>
      <c r="E261" s="3" t="s">
        <v>396</v>
      </c>
    </row>
    <row r="262" spans="1:5" x14ac:dyDescent="0.2">
      <c r="A262" s="3">
        <v>256</v>
      </c>
      <c r="B262" s="3" t="s">
        <v>50</v>
      </c>
      <c r="C262" s="3" t="s">
        <v>71</v>
      </c>
      <c r="D262" s="3" t="s">
        <v>398</v>
      </c>
      <c r="E262" s="3" t="s">
        <v>208</v>
      </c>
    </row>
    <row r="263" spans="1:5" x14ac:dyDescent="0.2">
      <c r="A263" s="3">
        <v>257</v>
      </c>
      <c r="B263" s="3" t="s">
        <v>50</v>
      </c>
      <c r="C263" s="3" t="s">
        <v>71</v>
      </c>
      <c r="D263" s="3" t="s">
        <v>399</v>
      </c>
      <c r="E263" s="3" t="s">
        <v>217</v>
      </c>
    </row>
    <row r="264" spans="1:5" x14ac:dyDescent="0.2">
      <c r="A264" s="3">
        <v>258</v>
      </c>
      <c r="B264" s="3" t="s">
        <v>50</v>
      </c>
      <c r="C264" s="3" t="s">
        <v>71</v>
      </c>
      <c r="D264" s="3" t="s">
        <v>397</v>
      </c>
      <c r="E264" s="3" t="s">
        <v>235</v>
      </c>
    </row>
    <row r="265" spans="1:5" x14ac:dyDescent="0.2">
      <c r="A265" s="3">
        <v>259</v>
      </c>
      <c r="B265" s="3" t="s">
        <v>50</v>
      </c>
      <c r="C265" s="3" t="s">
        <v>73</v>
      </c>
      <c r="D265" s="3" t="s">
        <v>400</v>
      </c>
      <c r="E265" s="3" t="s">
        <v>208</v>
      </c>
    </row>
    <row r="266" spans="1:5" x14ac:dyDescent="0.2">
      <c r="A266" s="3">
        <v>260</v>
      </c>
      <c r="B266" s="3" t="s">
        <v>50</v>
      </c>
      <c r="C266" s="3" t="s">
        <v>73</v>
      </c>
      <c r="D266" s="3" t="s">
        <v>401</v>
      </c>
      <c r="E266" s="3" t="s">
        <v>249</v>
      </c>
    </row>
    <row r="267" spans="1:5" x14ac:dyDescent="0.2">
      <c r="A267" s="3">
        <v>261</v>
      </c>
      <c r="B267" s="3" t="s">
        <v>50</v>
      </c>
      <c r="C267" s="3" t="s">
        <v>73</v>
      </c>
      <c r="D267" s="3" t="s">
        <v>922</v>
      </c>
      <c r="E267" s="3" t="s">
        <v>795</v>
      </c>
    </row>
    <row r="268" spans="1:5" x14ac:dyDescent="0.2">
      <c r="A268" s="3">
        <v>262</v>
      </c>
      <c r="B268" s="3" t="s">
        <v>50</v>
      </c>
      <c r="C268" s="3" t="s">
        <v>73</v>
      </c>
      <c r="D268" s="3" t="s">
        <v>402</v>
      </c>
      <c r="E268" s="3" t="s">
        <v>212</v>
      </c>
    </row>
    <row r="269" spans="1:5" x14ac:dyDescent="0.2">
      <c r="A269" s="3">
        <v>263</v>
      </c>
      <c r="B269" s="3" t="s">
        <v>50</v>
      </c>
      <c r="C269" s="3" t="s">
        <v>73</v>
      </c>
      <c r="D269" s="3" t="s">
        <v>403</v>
      </c>
      <c r="E269" s="3" t="s">
        <v>249</v>
      </c>
    </row>
    <row r="270" spans="1:5" x14ac:dyDescent="0.2">
      <c r="A270" s="3">
        <v>264</v>
      </c>
      <c r="B270" s="3" t="s">
        <v>50</v>
      </c>
      <c r="C270" s="3" t="s">
        <v>73</v>
      </c>
      <c r="D270" s="3" t="s">
        <v>404</v>
      </c>
      <c r="E270" s="3" t="s">
        <v>792</v>
      </c>
    </row>
    <row r="271" spans="1:5" x14ac:dyDescent="0.2">
      <c r="A271" s="3">
        <v>265</v>
      </c>
      <c r="B271" s="3" t="s">
        <v>50</v>
      </c>
      <c r="C271" s="3" t="s">
        <v>73</v>
      </c>
      <c r="D271" s="3" t="s">
        <v>923</v>
      </c>
      <c r="E271" s="3" t="s">
        <v>208</v>
      </c>
    </row>
    <row r="272" spans="1:5" x14ac:dyDescent="0.2">
      <c r="A272" s="3">
        <v>266</v>
      </c>
      <c r="B272" s="3" t="s">
        <v>50</v>
      </c>
      <c r="C272" s="3" t="s">
        <v>73</v>
      </c>
      <c r="D272" s="3" t="s">
        <v>924</v>
      </c>
      <c r="E272" s="3" t="s">
        <v>212</v>
      </c>
    </row>
    <row r="273" spans="1:5" x14ac:dyDescent="0.2">
      <c r="A273" s="3">
        <v>267</v>
      </c>
      <c r="B273" s="3" t="s">
        <v>50</v>
      </c>
      <c r="C273" s="3" t="s">
        <v>73</v>
      </c>
      <c r="D273" s="3" t="s">
        <v>405</v>
      </c>
      <c r="E273" s="3" t="s">
        <v>795</v>
      </c>
    </row>
    <row r="274" spans="1:5" x14ac:dyDescent="0.2">
      <c r="A274" s="3">
        <v>268</v>
      </c>
      <c r="B274" s="3" t="s">
        <v>50</v>
      </c>
      <c r="C274" s="3" t="s">
        <v>73</v>
      </c>
      <c r="D274" s="3" t="s">
        <v>407</v>
      </c>
      <c r="E274" s="3" t="s">
        <v>208</v>
      </c>
    </row>
    <row r="275" spans="1:5" x14ac:dyDescent="0.2">
      <c r="A275" s="3">
        <v>269</v>
      </c>
      <c r="B275" s="3" t="s">
        <v>50</v>
      </c>
      <c r="C275" s="3" t="s">
        <v>73</v>
      </c>
      <c r="D275" s="3" t="s">
        <v>406</v>
      </c>
      <c r="E275" s="3" t="s">
        <v>212</v>
      </c>
    </row>
    <row r="276" spans="1:5" x14ac:dyDescent="0.2">
      <c r="A276" s="3">
        <v>270</v>
      </c>
      <c r="B276" s="3" t="s">
        <v>50</v>
      </c>
      <c r="C276" s="3" t="s">
        <v>73</v>
      </c>
      <c r="D276" s="3" t="s">
        <v>408</v>
      </c>
      <c r="E276" s="3" t="s">
        <v>208</v>
      </c>
    </row>
    <row r="277" spans="1:5" x14ac:dyDescent="0.2">
      <c r="A277" s="3">
        <v>271</v>
      </c>
      <c r="B277" s="3" t="s">
        <v>50</v>
      </c>
      <c r="C277" s="3" t="s">
        <v>73</v>
      </c>
      <c r="D277" s="3" t="s">
        <v>409</v>
      </c>
      <c r="E277" s="3" t="s">
        <v>208</v>
      </c>
    </row>
    <row r="278" spans="1:5" x14ac:dyDescent="0.2">
      <c r="A278" s="3">
        <v>272</v>
      </c>
      <c r="B278" s="3" t="s">
        <v>50</v>
      </c>
      <c r="C278" s="3" t="s">
        <v>73</v>
      </c>
      <c r="D278" s="3" t="s">
        <v>411</v>
      </c>
      <c r="E278" s="3" t="s">
        <v>212</v>
      </c>
    </row>
    <row r="279" spans="1:5" x14ac:dyDescent="0.2">
      <c r="A279" s="3">
        <v>273</v>
      </c>
      <c r="B279" s="3" t="s">
        <v>50</v>
      </c>
      <c r="C279" s="3" t="s">
        <v>73</v>
      </c>
      <c r="D279" s="3" t="s">
        <v>410</v>
      </c>
      <c r="E279" s="3" t="s">
        <v>212</v>
      </c>
    </row>
    <row r="280" spans="1:5" x14ac:dyDescent="0.2">
      <c r="A280" s="3">
        <v>274</v>
      </c>
      <c r="B280" s="3" t="s">
        <v>50</v>
      </c>
      <c r="C280" s="3" t="s">
        <v>73</v>
      </c>
      <c r="D280" s="3" t="s">
        <v>925</v>
      </c>
      <c r="E280" s="3" t="s">
        <v>208</v>
      </c>
    </row>
    <row r="281" spans="1:5" x14ac:dyDescent="0.2">
      <c r="A281" s="3">
        <v>275</v>
      </c>
      <c r="B281" s="3" t="s">
        <v>50</v>
      </c>
      <c r="C281" s="3" t="s">
        <v>73</v>
      </c>
      <c r="D281" s="3" t="s">
        <v>926</v>
      </c>
      <c r="E281" s="3" t="s">
        <v>217</v>
      </c>
    </row>
    <row r="282" spans="1:5" x14ac:dyDescent="0.2">
      <c r="A282" s="3">
        <v>276</v>
      </c>
      <c r="B282" s="3" t="s">
        <v>50</v>
      </c>
      <c r="C282" s="3" t="s">
        <v>73</v>
      </c>
      <c r="D282" s="3" t="s">
        <v>412</v>
      </c>
      <c r="E282" s="3" t="s">
        <v>208</v>
      </c>
    </row>
    <row r="283" spans="1:5" x14ac:dyDescent="0.2">
      <c r="A283" s="3">
        <v>277</v>
      </c>
      <c r="B283" s="3" t="s">
        <v>50</v>
      </c>
      <c r="C283" s="3" t="s">
        <v>73</v>
      </c>
      <c r="D283" s="3" t="s">
        <v>927</v>
      </c>
      <c r="E283" s="3" t="s">
        <v>217</v>
      </c>
    </row>
    <row r="284" spans="1:5" x14ac:dyDescent="0.2">
      <c r="A284" s="3">
        <v>278</v>
      </c>
      <c r="B284" s="3" t="s">
        <v>50</v>
      </c>
      <c r="C284" s="3" t="s">
        <v>73</v>
      </c>
      <c r="D284" s="3" t="s">
        <v>928</v>
      </c>
      <c r="E284" s="3" t="s">
        <v>208</v>
      </c>
    </row>
    <row r="285" spans="1:5" x14ac:dyDescent="0.2">
      <c r="A285" s="3">
        <v>279</v>
      </c>
      <c r="B285" s="3" t="s">
        <v>50</v>
      </c>
      <c r="C285" s="3" t="s">
        <v>73</v>
      </c>
      <c r="D285" s="3" t="s">
        <v>929</v>
      </c>
      <c r="E285" s="3" t="s">
        <v>217</v>
      </c>
    </row>
    <row r="286" spans="1:5" x14ac:dyDescent="0.2">
      <c r="A286" s="3">
        <v>280</v>
      </c>
      <c r="B286" s="3" t="s">
        <v>50</v>
      </c>
      <c r="C286" s="3" t="s">
        <v>73</v>
      </c>
      <c r="D286" s="3" t="s">
        <v>930</v>
      </c>
      <c r="E286" s="3" t="s">
        <v>208</v>
      </c>
    </row>
    <row r="287" spans="1:5" x14ac:dyDescent="0.2">
      <c r="A287" s="3">
        <v>281</v>
      </c>
      <c r="B287" s="3" t="s">
        <v>50</v>
      </c>
      <c r="C287" s="3" t="s">
        <v>73</v>
      </c>
      <c r="D287" s="3" t="s">
        <v>413</v>
      </c>
      <c r="E287" s="3" t="s">
        <v>217</v>
      </c>
    </row>
    <row r="288" spans="1:5" x14ac:dyDescent="0.2">
      <c r="A288" s="3">
        <v>282</v>
      </c>
      <c r="B288" s="3" t="s">
        <v>50</v>
      </c>
      <c r="C288" s="3" t="s">
        <v>73</v>
      </c>
      <c r="D288" s="3" t="s">
        <v>931</v>
      </c>
      <c r="E288" s="3" t="s">
        <v>208</v>
      </c>
    </row>
    <row r="289" spans="1:5" x14ac:dyDescent="0.2">
      <c r="A289" s="3">
        <v>283</v>
      </c>
      <c r="B289" s="3" t="s">
        <v>50</v>
      </c>
      <c r="C289" s="3" t="s">
        <v>73</v>
      </c>
      <c r="D289" s="3" t="s">
        <v>414</v>
      </c>
      <c r="E289" s="3" t="s">
        <v>217</v>
      </c>
    </row>
    <row r="290" spans="1:5" x14ac:dyDescent="0.2">
      <c r="A290" s="3">
        <v>284</v>
      </c>
      <c r="B290" s="3" t="s">
        <v>50</v>
      </c>
      <c r="C290" s="3" t="s">
        <v>75</v>
      </c>
      <c r="D290" s="3" t="s">
        <v>932</v>
      </c>
      <c r="E290" s="3" t="s">
        <v>208</v>
      </c>
    </row>
    <row r="291" spans="1:5" x14ac:dyDescent="0.2">
      <c r="A291" s="3">
        <v>285</v>
      </c>
      <c r="B291" s="3" t="s">
        <v>50</v>
      </c>
      <c r="C291" s="3" t="s">
        <v>75</v>
      </c>
      <c r="D291" s="3" t="s">
        <v>933</v>
      </c>
      <c r="E291" s="3" t="s">
        <v>416</v>
      </c>
    </row>
    <row r="292" spans="1:5" x14ac:dyDescent="0.2">
      <c r="A292" s="3">
        <v>286</v>
      </c>
      <c r="B292" s="3" t="s">
        <v>50</v>
      </c>
      <c r="C292" s="3" t="s">
        <v>75</v>
      </c>
      <c r="D292" s="3" t="s">
        <v>934</v>
      </c>
      <c r="E292" s="3" t="s">
        <v>212</v>
      </c>
    </row>
    <row r="293" spans="1:5" x14ac:dyDescent="0.2">
      <c r="A293" s="3">
        <v>287</v>
      </c>
      <c r="B293" s="3" t="s">
        <v>50</v>
      </c>
      <c r="C293" s="3" t="s">
        <v>75</v>
      </c>
      <c r="D293" s="3" t="s">
        <v>419</v>
      </c>
      <c r="E293" s="3" t="s">
        <v>208</v>
      </c>
    </row>
    <row r="294" spans="1:5" x14ac:dyDescent="0.2">
      <c r="A294" s="3">
        <v>288</v>
      </c>
      <c r="B294" s="3" t="s">
        <v>50</v>
      </c>
      <c r="C294" s="3" t="s">
        <v>75</v>
      </c>
      <c r="D294" s="3" t="s">
        <v>935</v>
      </c>
      <c r="E294" s="3" t="s">
        <v>230</v>
      </c>
    </row>
    <row r="295" spans="1:5" x14ac:dyDescent="0.2">
      <c r="A295" s="3">
        <v>289</v>
      </c>
      <c r="B295" s="3" t="s">
        <v>50</v>
      </c>
      <c r="C295" s="3" t="s">
        <v>75</v>
      </c>
      <c r="D295" s="3" t="s">
        <v>417</v>
      </c>
      <c r="E295" s="3" t="s">
        <v>418</v>
      </c>
    </row>
    <row r="296" spans="1:5" x14ac:dyDescent="0.2">
      <c r="A296" s="3">
        <v>290</v>
      </c>
      <c r="B296" s="3" t="s">
        <v>50</v>
      </c>
      <c r="C296" s="3" t="s">
        <v>75</v>
      </c>
      <c r="D296" s="3" t="s">
        <v>422</v>
      </c>
      <c r="E296" s="3" t="s">
        <v>212</v>
      </c>
    </row>
    <row r="297" spans="1:5" x14ac:dyDescent="0.2">
      <c r="A297" s="3">
        <v>291</v>
      </c>
      <c r="B297" s="3" t="s">
        <v>50</v>
      </c>
      <c r="C297" s="3" t="s">
        <v>75</v>
      </c>
      <c r="D297" s="3" t="s">
        <v>420</v>
      </c>
      <c r="E297" s="3" t="s">
        <v>212</v>
      </c>
    </row>
    <row r="298" spans="1:5" x14ac:dyDescent="0.2">
      <c r="A298" s="3">
        <v>292</v>
      </c>
      <c r="B298" s="3" t="s">
        <v>50</v>
      </c>
      <c r="C298" s="3" t="s">
        <v>75</v>
      </c>
      <c r="D298" s="3" t="s">
        <v>421</v>
      </c>
      <c r="E298" s="3" t="s">
        <v>212</v>
      </c>
    </row>
    <row r="299" spans="1:5" x14ac:dyDescent="0.2">
      <c r="A299" s="3">
        <v>293</v>
      </c>
      <c r="B299" s="3" t="s">
        <v>50</v>
      </c>
      <c r="C299" s="3" t="s">
        <v>75</v>
      </c>
      <c r="D299" s="3" t="s">
        <v>425</v>
      </c>
      <c r="E299" s="3" t="s">
        <v>793</v>
      </c>
    </row>
    <row r="300" spans="1:5" x14ac:dyDescent="0.2">
      <c r="A300" s="3">
        <v>294</v>
      </c>
      <c r="B300" s="3" t="s">
        <v>50</v>
      </c>
      <c r="C300" s="3" t="s">
        <v>75</v>
      </c>
      <c r="D300" s="3" t="s">
        <v>423</v>
      </c>
      <c r="E300" s="3" t="s">
        <v>212</v>
      </c>
    </row>
    <row r="301" spans="1:5" x14ac:dyDescent="0.2">
      <c r="A301" s="3">
        <v>295</v>
      </c>
      <c r="B301" s="3" t="s">
        <v>50</v>
      </c>
      <c r="C301" s="3" t="s">
        <v>75</v>
      </c>
      <c r="D301" s="3" t="s">
        <v>424</v>
      </c>
      <c r="E301" s="3" t="s">
        <v>235</v>
      </c>
    </row>
    <row r="302" spans="1:5" x14ac:dyDescent="0.2">
      <c r="A302" s="3">
        <v>296</v>
      </c>
      <c r="B302" s="3" t="s">
        <v>50</v>
      </c>
      <c r="C302" s="3" t="s">
        <v>78</v>
      </c>
      <c r="D302" s="3" t="s">
        <v>426</v>
      </c>
      <c r="E302" s="3" t="s">
        <v>208</v>
      </c>
    </row>
    <row r="303" spans="1:5" x14ac:dyDescent="0.2">
      <c r="A303" s="3">
        <v>297</v>
      </c>
      <c r="B303" s="3" t="s">
        <v>50</v>
      </c>
      <c r="C303" s="3" t="s">
        <v>78</v>
      </c>
      <c r="D303" s="3" t="s">
        <v>427</v>
      </c>
      <c r="E303" s="3" t="s">
        <v>208</v>
      </c>
    </row>
    <row r="304" spans="1:5" x14ac:dyDescent="0.2">
      <c r="A304" s="3">
        <v>298</v>
      </c>
      <c r="B304" s="3" t="s">
        <v>50</v>
      </c>
      <c r="C304" s="3" t="s">
        <v>78</v>
      </c>
      <c r="D304" s="3" t="s">
        <v>431</v>
      </c>
      <c r="E304" s="3" t="s">
        <v>208</v>
      </c>
    </row>
    <row r="305" spans="1:5" x14ac:dyDescent="0.2">
      <c r="A305" s="3">
        <v>299</v>
      </c>
      <c r="B305" s="3" t="s">
        <v>50</v>
      </c>
      <c r="C305" s="3" t="s">
        <v>78</v>
      </c>
      <c r="D305" s="3" t="s">
        <v>936</v>
      </c>
      <c r="E305" s="3" t="s">
        <v>212</v>
      </c>
    </row>
    <row r="306" spans="1:5" x14ac:dyDescent="0.2">
      <c r="A306" s="3">
        <v>300</v>
      </c>
      <c r="B306" s="3" t="s">
        <v>50</v>
      </c>
      <c r="C306" s="3" t="s">
        <v>78</v>
      </c>
      <c r="D306" s="3" t="s">
        <v>429</v>
      </c>
      <c r="E306" s="3" t="s">
        <v>217</v>
      </c>
    </row>
    <row r="307" spans="1:5" x14ac:dyDescent="0.2">
      <c r="A307" s="3">
        <v>301</v>
      </c>
      <c r="B307" s="3" t="s">
        <v>50</v>
      </c>
      <c r="C307" s="3" t="s">
        <v>78</v>
      </c>
      <c r="D307" s="3" t="s">
        <v>428</v>
      </c>
      <c r="E307" s="3" t="s">
        <v>208</v>
      </c>
    </row>
    <row r="308" spans="1:5" x14ac:dyDescent="0.2">
      <c r="A308" s="3">
        <v>302</v>
      </c>
      <c r="B308" s="3" t="s">
        <v>50</v>
      </c>
      <c r="C308" s="3" t="s">
        <v>78</v>
      </c>
      <c r="D308" s="3" t="s">
        <v>937</v>
      </c>
      <c r="E308" s="3" t="s">
        <v>212</v>
      </c>
    </row>
    <row r="309" spans="1:5" x14ac:dyDescent="0.2">
      <c r="A309" s="3">
        <v>303</v>
      </c>
      <c r="B309" s="3" t="s">
        <v>50</v>
      </c>
      <c r="C309" s="3" t="s">
        <v>78</v>
      </c>
      <c r="D309" s="3" t="s">
        <v>430</v>
      </c>
      <c r="E309" s="3" t="s">
        <v>212</v>
      </c>
    </row>
    <row r="310" spans="1:5" x14ac:dyDescent="0.2">
      <c r="A310" s="3">
        <v>304</v>
      </c>
      <c r="B310" s="3" t="s">
        <v>50</v>
      </c>
      <c r="C310" s="3" t="s">
        <v>80</v>
      </c>
      <c r="D310" s="3" t="s">
        <v>938</v>
      </c>
      <c r="E310" s="3" t="s">
        <v>208</v>
      </c>
    </row>
    <row r="311" spans="1:5" x14ac:dyDescent="0.2">
      <c r="A311" s="3">
        <v>305</v>
      </c>
      <c r="B311" s="3" t="s">
        <v>50</v>
      </c>
      <c r="C311" s="3" t="s">
        <v>80</v>
      </c>
      <c r="D311" s="3" t="s">
        <v>939</v>
      </c>
      <c r="E311" s="3" t="s">
        <v>800</v>
      </c>
    </row>
    <row r="312" spans="1:5" x14ac:dyDescent="0.2">
      <c r="A312" s="3">
        <v>306</v>
      </c>
      <c r="B312" s="3" t="s">
        <v>50</v>
      </c>
      <c r="C312" s="3" t="s">
        <v>80</v>
      </c>
      <c r="D312" s="3" t="s">
        <v>940</v>
      </c>
      <c r="E312" s="3" t="s">
        <v>208</v>
      </c>
    </row>
    <row r="313" spans="1:5" x14ac:dyDescent="0.2">
      <c r="A313" s="3">
        <v>307</v>
      </c>
      <c r="B313" s="3" t="s">
        <v>50</v>
      </c>
      <c r="C313" s="3" t="s">
        <v>80</v>
      </c>
      <c r="D313" s="3" t="s">
        <v>432</v>
      </c>
      <c r="E313" s="3" t="s">
        <v>799</v>
      </c>
    </row>
    <row r="314" spans="1:5" x14ac:dyDescent="0.2">
      <c r="A314" s="3">
        <v>308</v>
      </c>
      <c r="B314" s="3" t="s">
        <v>50</v>
      </c>
      <c r="C314" s="3" t="s">
        <v>80</v>
      </c>
      <c r="D314" s="3" t="s">
        <v>433</v>
      </c>
      <c r="E314" s="3" t="s">
        <v>823</v>
      </c>
    </row>
    <row r="315" spans="1:5" x14ac:dyDescent="0.2">
      <c r="A315" s="3">
        <v>309</v>
      </c>
      <c r="B315" s="3" t="s">
        <v>50</v>
      </c>
      <c r="C315" s="3" t="s">
        <v>80</v>
      </c>
      <c r="D315" s="3" t="s">
        <v>436</v>
      </c>
      <c r="E315" s="3" t="s">
        <v>208</v>
      </c>
    </row>
    <row r="316" spans="1:5" x14ac:dyDescent="0.2">
      <c r="A316" s="3">
        <v>310</v>
      </c>
      <c r="B316" s="3" t="s">
        <v>50</v>
      </c>
      <c r="C316" s="3" t="s">
        <v>80</v>
      </c>
      <c r="D316" s="3" t="s">
        <v>941</v>
      </c>
      <c r="E316" s="3" t="s">
        <v>799</v>
      </c>
    </row>
    <row r="317" spans="1:5" x14ac:dyDescent="0.2">
      <c r="A317" s="3">
        <v>311</v>
      </c>
      <c r="B317" s="3" t="s">
        <v>50</v>
      </c>
      <c r="C317" s="3" t="s">
        <v>80</v>
      </c>
      <c r="D317" s="3" t="s">
        <v>435</v>
      </c>
      <c r="E317" s="3" t="s">
        <v>799</v>
      </c>
    </row>
    <row r="318" spans="1:5" x14ac:dyDescent="0.2">
      <c r="A318" s="3">
        <v>312</v>
      </c>
      <c r="B318" s="3" t="s">
        <v>50</v>
      </c>
      <c r="C318" s="3" t="s">
        <v>80</v>
      </c>
      <c r="D318" s="3" t="s">
        <v>434</v>
      </c>
      <c r="E318" s="3" t="s">
        <v>208</v>
      </c>
    </row>
    <row r="319" spans="1:5" x14ac:dyDescent="0.2">
      <c r="A319" s="3">
        <v>313</v>
      </c>
      <c r="B319" s="3" t="s">
        <v>50</v>
      </c>
      <c r="C319" s="3" t="s">
        <v>80</v>
      </c>
      <c r="D319" s="3" t="s">
        <v>942</v>
      </c>
      <c r="E319" s="3" t="s">
        <v>799</v>
      </c>
    </row>
    <row r="320" spans="1:5" x14ac:dyDescent="0.2">
      <c r="A320" s="3">
        <v>314</v>
      </c>
      <c r="B320" s="3" t="s">
        <v>57</v>
      </c>
      <c r="C320" s="3" t="s">
        <v>83</v>
      </c>
      <c r="D320" s="3" t="s">
        <v>943</v>
      </c>
      <c r="E320" s="3" t="s">
        <v>208</v>
      </c>
    </row>
    <row r="321" spans="1:5" x14ac:dyDescent="0.2">
      <c r="A321" s="3">
        <v>315</v>
      </c>
      <c r="B321" s="3" t="s">
        <v>57</v>
      </c>
      <c r="C321" s="3" t="s">
        <v>83</v>
      </c>
      <c r="D321" s="3" t="s">
        <v>944</v>
      </c>
      <c r="E321" s="3" t="s">
        <v>212</v>
      </c>
    </row>
    <row r="322" spans="1:5" x14ac:dyDescent="0.2">
      <c r="A322" s="3">
        <v>316</v>
      </c>
      <c r="B322" s="3" t="s">
        <v>57</v>
      </c>
      <c r="C322" s="3" t="s">
        <v>83</v>
      </c>
      <c r="D322" s="3" t="s">
        <v>945</v>
      </c>
      <c r="E322" s="3" t="s">
        <v>212</v>
      </c>
    </row>
    <row r="323" spans="1:5" x14ac:dyDescent="0.2">
      <c r="A323" s="3">
        <v>317</v>
      </c>
      <c r="B323" s="3" t="s">
        <v>57</v>
      </c>
      <c r="C323" s="3" t="s">
        <v>84</v>
      </c>
      <c r="D323" s="3" t="s">
        <v>946</v>
      </c>
      <c r="E323" s="3" t="s">
        <v>212</v>
      </c>
    </row>
    <row r="324" spans="1:5" x14ac:dyDescent="0.2">
      <c r="A324" s="3">
        <v>318</v>
      </c>
      <c r="B324" s="3" t="s">
        <v>57</v>
      </c>
      <c r="C324" s="3" t="s">
        <v>84</v>
      </c>
      <c r="D324" s="3" t="s">
        <v>441</v>
      </c>
      <c r="E324" s="3" t="s">
        <v>212</v>
      </c>
    </row>
    <row r="325" spans="1:5" x14ac:dyDescent="0.2">
      <c r="A325" s="3">
        <v>319</v>
      </c>
      <c r="B325" s="3" t="s">
        <v>57</v>
      </c>
      <c r="C325" s="3" t="s">
        <v>84</v>
      </c>
      <c r="D325" s="3" t="s">
        <v>437</v>
      </c>
      <c r="E325" s="3" t="s">
        <v>212</v>
      </c>
    </row>
    <row r="326" spans="1:5" x14ac:dyDescent="0.2">
      <c r="A326" s="3">
        <v>320</v>
      </c>
      <c r="B326" s="3" t="s">
        <v>57</v>
      </c>
      <c r="C326" s="3" t="s">
        <v>84</v>
      </c>
      <c r="D326" s="3" t="s">
        <v>438</v>
      </c>
      <c r="E326" s="3" t="s">
        <v>214</v>
      </c>
    </row>
    <row r="327" spans="1:5" x14ac:dyDescent="0.2">
      <c r="A327" s="3">
        <v>321</v>
      </c>
      <c r="B327" s="3" t="s">
        <v>57</v>
      </c>
      <c r="C327" s="3" t="s">
        <v>84</v>
      </c>
      <c r="D327" s="3" t="s">
        <v>439</v>
      </c>
      <c r="E327" s="3" t="s">
        <v>212</v>
      </c>
    </row>
    <row r="328" spans="1:5" x14ac:dyDescent="0.2">
      <c r="A328" s="3">
        <v>322</v>
      </c>
      <c r="B328" s="3" t="s">
        <v>57</v>
      </c>
      <c r="C328" s="3" t="s">
        <v>84</v>
      </c>
      <c r="D328" s="3" t="s">
        <v>440</v>
      </c>
      <c r="E328" s="3" t="s">
        <v>212</v>
      </c>
    </row>
    <row r="329" spans="1:5" x14ac:dyDescent="0.2">
      <c r="A329" s="3">
        <v>323</v>
      </c>
      <c r="B329" s="3" t="s">
        <v>57</v>
      </c>
      <c r="C329" s="3" t="s">
        <v>86</v>
      </c>
      <c r="D329" s="3" t="s">
        <v>444</v>
      </c>
      <c r="E329" s="3" t="s">
        <v>445</v>
      </c>
    </row>
    <row r="330" spans="1:5" x14ac:dyDescent="0.2">
      <c r="A330" s="3">
        <v>324</v>
      </c>
      <c r="B330" s="3" t="s">
        <v>57</v>
      </c>
      <c r="C330" s="3" t="s">
        <v>86</v>
      </c>
      <c r="D330" s="3" t="s">
        <v>442</v>
      </c>
      <c r="E330" s="3" t="s">
        <v>212</v>
      </c>
    </row>
    <row r="331" spans="1:5" x14ac:dyDescent="0.2">
      <c r="A331" s="3">
        <v>325</v>
      </c>
      <c r="B331" s="3" t="s">
        <v>57</v>
      </c>
      <c r="C331" s="3" t="s">
        <v>86</v>
      </c>
      <c r="D331" s="3" t="s">
        <v>443</v>
      </c>
      <c r="E331" s="3" t="s">
        <v>212</v>
      </c>
    </row>
    <row r="332" spans="1:5" x14ac:dyDescent="0.2">
      <c r="A332" s="3">
        <v>326</v>
      </c>
      <c r="B332" s="3" t="s">
        <v>57</v>
      </c>
      <c r="C332" s="3" t="s">
        <v>86</v>
      </c>
      <c r="D332" s="3" t="s">
        <v>447</v>
      </c>
      <c r="E332" s="3" t="s">
        <v>795</v>
      </c>
    </row>
    <row r="333" spans="1:5" x14ac:dyDescent="0.2">
      <c r="A333" s="3">
        <v>327</v>
      </c>
      <c r="B333" s="3" t="s">
        <v>57</v>
      </c>
      <c r="C333" s="3" t="s">
        <v>86</v>
      </c>
      <c r="D333" s="3" t="s">
        <v>448</v>
      </c>
      <c r="E333" s="3" t="s">
        <v>801</v>
      </c>
    </row>
    <row r="334" spans="1:5" x14ac:dyDescent="0.2">
      <c r="A334" s="3">
        <v>328</v>
      </c>
      <c r="B334" s="3" t="s">
        <v>57</v>
      </c>
      <c r="C334" s="3" t="s">
        <v>86</v>
      </c>
      <c r="D334" s="3" t="s">
        <v>446</v>
      </c>
      <c r="E334" s="3" t="s">
        <v>212</v>
      </c>
    </row>
    <row r="335" spans="1:5" x14ac:dyDescent="0.2">
      <c r="A335" s="3">
        <v>329</v>
      </c>
      <c r="B335" s="3" t="s">
        <v>57</v>
      </c>
      <c r="C335" s="3" t="s">
        <v>87</v>
      </c>
      <c r="D335" s="3" t="s">
        <v>826</v>
      </c>
      <c r="E335" s="3" t="s">
        <v>212</v>
      </c>
    </row>
    <row r="336" spans="1:5" x14ac:dyDescent="0.2">
      <c r="A336" s="3">
        <v>330</v>
      </c>
      <c r="B336" s="3" t="s">
        <v>57</v>
      </c>
      <c r="C336" s="3" t="s">
        <v>87</v>
      </c>
      <c r="D336" s="3" t="s">
        <v>947</v>
      </c>
      <c r="E336" s="3" t="s">
        <v>212</v>
      </c>
    </row>
    <row r="337" spans="1:5" x14ac:dyDescent="0.2">
      <c r="A337" s="3">
        <v>331</v>
      </c>
      <c r="B337" s="3" t="s">
        <v>57</v>
      </c>
      <c r="C337" s="3" t="s">
        <v>87</v>
      </c>
      <c r="D337" s="3" t="s">
        <v>948</v>
      </c>
      <c r="E337" s="3" t="s">
        <v>208</v>
      </c>
    </row>
    <row r="338" spans="1:5" x14ac:dyDescent="0.2">
      <c r="A338" s="3">
        <v>332</v>
      </c>
      <c r="B338" s="3" t="s">
        <v>57</v>
      </c>
      <c r="C338" s="3" t="s">
        <v>87</v>
      </c>
      <c r="D338" s="3" t="s">
        <v>949</v>
      </c>
      <c r="E338" s="3" t="s">
        <v>460</v>
      </c>
    </row>
    <row r="339" spans="1:5" x14ac:dyDescent="0.2">
      <c r="A339" s="3">
        <v>333</v>
      </c>
      <c r="B339" s="3" t="s">
        <v>57</v>
      </c>
      <c r="C339" s="3" t="s">
        <v>87</v>
      </c>
      <c r="D339" s="3" t="s">
        <v>827</v>
      </c>
      <c r="E339" s="3" t="s">
        <v>208</v>
      </c>
    </row>
    <row r="340" spans="1:5" x14ac:dyDescent="0.2">
      <c r="A340" s="3">
        <v>334</v>
      </c>
      <c r="B340" s="3" t="s">
        <v>57</v>
      </c>
      <c r="C340" s="3" t="s">
        <v>87</v>
      </c>
      <c r="D340" s="3" t="s">
        <v>950</v>
      </c>
      <c r="E340" s="3" t="s">
        <v>801</v>
      </c>
    </row>
    <row r="341" spans="1:5" x14ac:dyDescent="0.2">
      <c r="A341" s="3">
        <v>335</v>
      </c>
      <c r="B341" s="3" t="s">
        <v>51</v>
      </c>
      <c r="C341" s="3" t="s">
        <v>51</v>
      </c>
      <c r="D341" s="3" t="s">
        <v>951</v>
      </c>
      <c r="E341" s="3" t="s">
        <v>249</v>
      </c>
    </row>
    <row r="342" spans="1:5" x14ac:dyDescent="0.2">
      <c r="A342" s="3">
        <v>336</v>
      </c>
      <c r="B342" s="3" t="s">
        <v>51</v>
      </c>
      <c r="C342" s="3" t="s">
        <v>51</v>
      </c>
      <c r="D342" s="3" t="s">
        <v>952</v>
      </c>
      <c r="E342" s="3" t="s">
        <v>795</v>
      </c>
    </row>
    <row r="343" spans="1:5" x14ac:dyDescent="0.2">
      <c r="A343" s="3">
        <v>337</v>
      </c>
      <c r="B343" s="3" t="s">
        <v>51</v>
      </c>
      <c r="C343" s="3" t="s">
        <v>51</v>
      </c>
      <c r="D343" s="3" t="s">
        <v>449</v>
      </c>
      <c r="E343" s="3" t="s">
        <v>796</v>
      </c>
    </row>
    <row r="344" spans="1:5" x14ac:dyDescent="0.2">
      <c r="A344" s="3">
        <v>338</v>
      </c>
      <c r="B344" s="3" t="s">
        <v>51</v>
      </c>
      <c r="C344" s="3" t="s">
        <v>51</v>
      </c>
      <c r="D344" s="3" t="s">
        <v>452</v>
      </c>
      <c r="E344" s="3" t="s">
        <v>796</v>
      </c>
    </row>
    <row r="345" spans="1:5" x14ac:dyDescent="0.2">
      <c r="A345" s="3">
        <v>339</v>
      </c>
      <c r="B345" s="3" t="s">
        <v>51</v>
      </c>
      <c r="C345" s="3" t="s">
        <v>51</v>
      </c>
      <c r="D345" s="3" t="s">
        <v>451</v>
      </c>
      <c r="E345" s="3" t="s">
        <v>460</v>
      </c>
    </row>
    <row r="346" spans="1:5" x14ac:dyDescent="0.2">
      <c r="A346" s="3">
        <v>340</v>
      </c>
      <c r="B346" s="3" t="s">
        <v>51</v>
      </c>
      <c r="C346" s="3" t="s">
        <v>51</v>
      </c>
      <c r="D346" s="3" t="s">
        <v>453</v>
      </c>
      <c r="E346" s="3" t="s">
        <v>212</v>
      </c>
    </row>
    <row r="347" spans="1:5" x14ac:dyDescent="0.2">
      <c r="A347" s="3">
        <v>341</v>
      </c>
      <c r="B347" s="3" t="s">
        <v>51</v>
      </c>
      <c r="C347" s="3" t="s">
        <v>51</v>
      </c>
      <c r="D347" s="3" t="s">
        <v>454</v>
      </c>
      <c r="E347" s="3" t="s">
        <v>587</v>
      </c>
    </row>
    <row r="348" spans="1:5" x14ac:dyDescent="0.2">
      <c r="A348" s="3">
        <v>342</v>
      </c>
      <c r="B348" s="3" t="s">
        <v>51</v>
      </c>
      <c r="C348" s="3" t="s">
        <v>51</v>
      </c>
      <c r="D348" s="3" t="s">
        <v>953</v>
      </c>
      <c r="E348" s="3" t="s">
        <v>587</v>
      </c>
    </row>
    <row r="349" spans="1:5" x14ac:dyDescent="0.2">
      <c r="A349" s="3">
        <v>343</v>
      </c>
      <c r="B349" s="3" t="s">
        <v>51</v>
      </c>
      <c r="C349" s="3" t="s">
        <v>51</v>
      </c>
      <c r="D349" s="3" t="s">
        <v>456</v>
      </c>
      <c r="E349" s="3" t="s">
        <v>824</v>
      </c>
    </row>
    <row r="350" spans="1:5" x14ac:dyDescent="0.2">
      <c r="A350" s="3">
        <v>344</v>
      </c>
      <c r="B350" s="3" t="s">
        <v>51</v>
      </c>
      <c r="C350" s="3" t="s">
        <v>51</v>
      </c>
      <c r="D350" s="3" t="s">
        <v>455</v>
      </c>
      <c r="E350" s="3" t="s">
        <v>587</v>
      </c>
    </row>
    <row r="351" spans="1:5" x14ac:dyDescent="0.2">
      <c r="A351" s="3">
        <v>345</v>
      </c>
      <c r="B351" s="3" t="s">
        <v>51</v>
      </c>
      <c r="C351" s="3" t="s">
        <v>92</v>
      </c>
      <c r="D351" s="3" t="s">
        <v>462</v>
      </c>
      <c r="E351" s="3" t="s">
        <v>793</v>
      </c>
    </row>
    <row r="352" spans="1:5" x14ac:dyDescent="0.2">
      <c r="A352" s="3">
        <v>346</v>
      </c>
      <c r="B352" s="3" t="s">
        <v>51</v>
      </c>
      <c r="C352" s="3" t="s">
        <v>92</v>
      </c>
      <c r="D352" s="3" t="s">
        <v>461</v>
      </c>
      <c r="E352" s="3" t="s">
        <v>230</v>
      </c>
    </row>
    <row r="353" spans="1:5" x14ac:dyDescent="0.2">
      <c r="A353" s="3">
        <v>347</v>
      </c>
      <c r="B353" s="3" t="s">
        <v>51</v>
      </c>
      <c r="C353" s="3" t="s">
        <v>92</v>
      </c>
      <c r="D353" s="3" t="s">
        <v>459</v>
      </c>
      <c r="E353" s="3" t="s">
        <v>460</v>
      </c>
    </row>
    <row r="354" spans="1:5" x14ac:dyDescent="0.2">
      <c r="A354" s="3">
        <v>348</v>
      </c>
      <c r="B354" s="3" t="s">
        <v>51</v>
      </c>
      <c r="C354" s="3" t="s">
        <v>92</v>
      </c>
      <c r="D354" s="3" t="s">
        <v>457</v>
      </c>
      <c r="E354" s="3" t="s">
        <v>794</v>
      </c>
    </row>
    <row r="355" spans="1:5" x14ac:dyDescent="0.2">
      <c r="A355" s="3">
        <v>349</v>
      </c>
      <c r="B355" s="3" t="s">
        <v>51</v>
      </c>
      <c r="C355" s="3" t="s">
        <v>92</v>
      </c>
      <c r="D355" s="3" t="s">
        <v>458</v>
      </c>
      <c r="E355" s="3" t="s">
        <v>208</v>
      </c>
    </row>
    <row r="356" spans="1:5" x14ac:dyDescent="0.2">
      <c r="A356" s="3">
        <v>350</v>
      </c>
      <c r="B356" s="3" t="s">
        <v>51</v>
      </c>
      <c r="C356" s="3" t="s">
        <v>92</v>
      </c>
      <c r="D356" s="3" t="s">
        <v>954</v>
      </c>
      <c r="E356" s="3" t="s">
        <v>794</v>
      </c>
    </row>
    <row r="357" spans="1:5" x14ac:dyDescent="0.2">
      <c r="A357" s="3">
        <v>351</v>
      </c>
      <c r="B357" s="3" t="s">
        <v>51</v>
      </c>
      <c r="C357" s="3" t="s">
        <v>94</v>
      </c>
      <c r="D357" s="3" t="s">
        <v>463</v>
      </c>
      <c r="E357" s="3" t="s">
        <v>799</v>
      </c>
    </row>
    <row r="358" spans="1:5" x14ac:dyDescent="0.2">
      <c r="A358" s="3">
        <v>352</v>
      </c>
      <c r="B358" s="3" t="s">
        <v>51</v>
      </c>
      <c r="C358" s="3" t="s">
        <v>94</v>
      </c>
      <c r="D358" s="3" t="s">
        <v>464</v>
      </c>
      <c r="E358" s="3" t="s">
        <v>799</v>
      </c>
    </row>
    <row r="359" spans="1:5" x14ac:dyDescent="0.2">
      <c r="A359" s="3">
        <v>353</v>
      </c>
      <c r="B359" s="3" t="s">
        <v>51</v>
      </c>
      <c r="C359" s="3" t="s">
        <v>94</v>
      </c>
      <c r="D359" s="3" t="s">
        <v>465</v>
      </c>
      <c r="E359" s="3" t="s">
        <v>799</v>
      </c>
    </row>
    <row r="360" spans="1:5" x14ac:dyDescent="0.2">
      <c r="A360" s="3">
        <v>354</v>
      </c>
      <c r="B360" s="3" t="s">
        <v>51</v>
      </c>
      <c r="C360" s="3" t="s">
        <v>94</v>
      </c>
      <c r="D360" s="3" t="s">
        <v>955</v>
      </c>
      <c r="E360" s="3" t="s">
        <v>799</v>
      </c>
    </row>
    <row r="361" spans="1:5" x14ac:dyDescent="0.2">
      <c r="A361" s="3">
        <v>355</v>
      </c>
      <c r="B361" s="3" t="s">
        <v>51</v>
      </c>
      <c r="C361" s="3" t="s">
        <v>94</v>
      </c>
      <c r="D361" s="3" t="s">
        <v>466</v>
      </c>
      <c r="E361" s="3" t="s">
        <v>791</v>
      </c>
    </row>
    <row r="362" spans="1:5" x14ac:dyDescent="0.2">
      <c r="A362" s="3">
        <v>356</v>
      </c>
      <c r="B362" s="3" t="s">
        <v>51</v>
      </c>
      <c r="C362" s="3" t="s">
        <v>94</v>
      </c>
      <c r="D362" s="3" t="s">
        <v>467</v>
      </c>
      <c r="E362" s="3" t="s">
        <v>791</v>
      </c>
    </row>
    <row r="363" spans="1:5" x14ac:dyDescent="0.2">
      <c r="A363" s="3">
        <v>357</v>
      </c>
      <c r="B363" s="3" t="s">
        <v>51</v>
      </c>
      <c r="C363" s="3" t="s">
        <v>95</v>
      </c>
      <c r="D363" s="3" t="s">
        <v>469</v>
      </c>
      <c r="E363" s="3" t="s">
        <v>791</v>
      </c>
    </row>
    <row r="364" spans="1:5" x14ac:dyDescent="0.2">
      <c r="A364" s="3">
        <v>358</v>
      </c>
      <c r="B364" s="3" t="s">
        <v>51</v>
      </c>
      <c r="C364" s="3" t="s">
        <v>95</v>
      </c>
      <c r="D364" s="3" t="s">
        <v>468</v>
      </c>
      <c r="E364" s="3" t="s">
        <v>791</v>
      </c>
    </row>
    <row r="365" spans="1:5" x14ac:dyDescent="0.2">
      <c r="A365" s="3">
        <v>359</v>
      </c>
      <c r="B365" s="3" t="s">
        <v>51</v>
      </c>
      <c r="C365" s="3" t="s">
        <v>95</v>
      </c>
      <c r="D365" s="3" t="s">
        <v>956</v>
      </c>
      <c r="E365" s="3" t="s">
        <v>212</v>
      </c>
    </row>
    <row r="366" spans="1:5" x14ac:dyDescent="0.2">
      <c r="A366" s="3">
        <v>360</v>
      </c>
      <c r="B366" s="3" t="s">
        <v>51</v>
      </c>
      <c r="C366" s="3" t="s">
        <v>95</v>
      </c>
      <c r="D366" s="3" t="s">
        <v>470</v>
      </c>
      <c r="E366" s="3" t="s">
        <v>212</v>
      </c>
    </row>
    <row r="367" spans="1:5" x14ac:dyDescent="0.2">
      <c r="A367" s="3">
        <v>361</v>
      </c>
      <c r="B367" s="3" t="s">
        <v>51</v>
      </c>
      <c r="C367" s="3" t="s">
        <v>95</v>
      </c>
      <c r="D367" s="3" t="s">
        <v>957</v>
      </c>
      <c r="E367" s="3" t="s">
        <v>212</v>
      </c>
    </row>
    <row r="368" spans="1:5" x14ac:dyDescent="0.2">
      <c r="A368" s="3">
        <v>362</v>
      </c>
      <c r="B368" s="3" t="s">
        <v>51</v>
      </c>
      <c r="C368" s="3" t="s">
        <v>95</v>
      </c>
      <c r="D368" s="3" t="s">
        <v>958</v>
      </c>
      <c r="E368" s="3" t="s">
        <v>791</v>
      </c>
    </row>
    <row r="369" spans="1:5" x14ac:dyDescent="0.2">
      <c r="A369" s="3">
        <v>363</v>
      </c>
      <c r="B369" s="3" t="s">
        <v>51</v>
      </c>
      <c r="C369" s="3" t="s">
        <v>97</v>
      </c>
      <c r="D369" s="3" t="s">
        <v>473</v>
      </c>
      <c r="E369" s="3" t="s">
        <v>249</v>
      </c>
    </row>
    <row r="370" spans="1:5" x14ac:dyDescent="0.2">
      <c r="A370" s="3">
        <v>364</v>
      </c>
      <c r="B370" s="3" t="s">
        <v>51</v>
      </c>
      <c r="C370" s="3" t="s">
        <v>97</v>
      </c>
      <c r="D370" s="3" t="s">
        <v>471</v>
      </c>
      <c r="E370" s="3" t="s">
        <v>472</v>
      </c>
    </row>
    <row r="371" spans="1:5" x14ac:dyDescent="0.2">
      <c r="A371" s="3">
        <v>365</v>
      </c>
      <c r="B371" s="3" t="s">
        <v>51</v>
      </c>
      <c r="C371" s="3" t="s">
        <v>97</v>
      </c>
      <c r="D371" s="3" t="s">
        <v>959</v>
      </c>
      <c r="E371" s="3" t="s">
        <v>796</v>
      </c>
    </row>
    <row r="372" spans="1:5" x14ac:dyDescent="0.2">
      <c r="A372" s="3">
        <v>366</v>
      </c>
      <c r="B372" s="3" t="s">
        <v>51</v>
      </c>
      <c r="C372" s="3" t="s">
        <v>97</v>
      </c>
      <c r="D372" s="3" t="s">
        <v>960</v>
      </c>
      <c r="E372" s="3" t="s">
        <v>587</v>
      </c>
    </row>
    <row r="373" spans="1:5" x14ac:dyDescent="0.2">
      <c r="A373" s="3">
        <v>367</v>
      </c>
      <c r="B373" s="3" t="s">
        <v>51</v>
      </c>
      <c r="C373" s="3" t="s">
        <v>97</v>
      </c>
      <c r="D373" s="3" t="s">
        <v>474</v>
      </c>
      <c r="E373" s="3" t="s">
        <v>587</v>
      </c>
    </row>
    <row r="374" spans="1:5" x14ac:dyDescent="0.2">
      <c r="A374" s="3">
        <v>368</v>
      </c>
      <c r="B374" s="3" t="s">
        <v>51</v>
      </c>
      <c r="C374" s="3" t="s">
        <v>97</v>
      </c>
      <c r="D374" s="3" t="s">
        <v>475</v>
      </c>
      <c r="E374" s="3" t="s">
        <v>472</v>
      </c>
    </row>
    <row r="375" spans="1:5" x14ac:dyDescent="0.2">
      <c r="A375" s="3">
        <v>369</v>
      </c>
      <c r="B375" s="3" t="s">
        <v>51</v>
      </c>
      <c r="C375" s="3" t="s">
        <v>97</v>
      </c>
      <c r="D375" s="3" t="s">
        <v>476</v>
      </c>
      <c r="E375" s="3" t="s">
        <v>587</v>
      </c>
    </row>
    <row r="376" spans="1:5" x14ac:dyDescent="0.2">
      <c r="A376" s="3">
        <v>370</v>
      </c>
      <c r="B376" s="3" t="s">
        <v>51</v>
      </c>
      <c r="C376" s="3" t="s">
        <v>97</v>
      </c>
      <c r="D376" s="3" t="s">
        <v>961</v>
      </c>
      <c r="E376" s="3" t="s">
        <v>418</v>
      </c>
    </row>
    <row r="377" spans="1:5" x14ac:dyDescent="0.2">
      <c r="A377" s="3">
        <v>371</v>
      </c>
      <c r="B377" s="3" t="s">
        <v>51</v>
      </c>
      <c r="C377" s="3" t="s">
        <v>97</v>
      </c>
      <c r="D377" s="3" t="s">
        <v>962</v>
      </c>
      <c r="E377" s="3" t="s">
        <v>472</v>
      </c>
    </row>
    <row r="378" spans="1:5" x14ac:dyDescent="0.2">
      <c r="A378" s="3">
        <v>372</v>
      </c>
      <c r="B378" s="3" t="s">
        <v>51</v>
      </c>
      <c r="C378" s="3" t="s">
        <v>97</v>
      </c>
      <c r="D378" s="3" t="s">
        <v>963</v>
      </c>
      <c r="E378" s="3" t="s">
        <v>472</v>
      </c>
    </row>
    <row r="379" spans="1:5" x14ac:dyDescent="0.2">
      <c r="A379" s="3">
        <v>373</v>
      </c>
      <c r="B379" s="3" t="s">
        <v>51</v>
      </c>
      <c r="C379" s="3" t="s">
        <v>97</v>
      </c>
      <c r="D379" s="3" t="s">
        <v>477</v>
      </c>
      <c r="E379" s="3" t="s">
        <v>587</v>
      </c>
    </row>
    <row r="380" spans="1:5" x14ac:dyDescent="0.2">
      <c r="A380" s="3">
        <v>374</v>
      </c>
      <c r="B380" s="3" t="s">
        <v>51</v>
      </c>
      <c r="C380" s="3" t="s">
        <v>99</v>
      </c>
      <c r="D380" s="3" t="s">
        <v>964</v>
      </c>
      <c r="E380" s="3" t="s">
        <v>214</v>
      </c>
    </row>
    <row r="381" spans="1:5" x14ac:dyDescent="0.2">
      <c r="A381" s="3">
        <v>375</v>
      </c>
      <c r="B381" s="3" t="s">
        <v>51</v>
      </c>
      <c r="C381" s="3" t="s">
        <v>99</v>
      </c>
      <c r="D381" s="3" t="s">
        <v>965</v>
      </c>
      <c r="E381" s="3" t="s">
        <v>208</v>
      </c>
    </row>
    <row r="382" spans="1:5" x14ac:dyDescent="0.2">
      <c r="A382" s="3">
        <v>376</v>
      </c>
      <c r="B382" s="3" t="s">
        <v>51</v>
      </c>
      <c r="C382" s="3" t="s">
        <v>99</v>
      </c>
      <c r="D382" s="3" t="s">
        <v>966</v>
      </c>
      <c r="E382" s="3" t="s">
        <v>214</v>
      </c>
    </row>
    <row r="383" spans="1:5" x14ac:dyDescent="0.2">
      <c r="A383" s="3">
        <v>377</v>
      </c>
      <c r="B383" s="3" t="s">
        <v>51</v>
      </c>
      <c r="C383" s="3" t="s">
        <v>99</v>
      </c>
      <c r="D383" s="3" t="s">
        <v>967</v>
      </c>
      <c r="E383" s="3" t="s">
        <v>214</v>
      </c>
    </row>
    <row r="384" spans="1:5" x14ac:dyDescent="0.2">
      <c r="A384" s="3">
        <v>378</v>
      </c>
      <c r="B384" s="3" t="s">
        <v>51</v>
      </c>
      <c r="C384" s="3" t="s">
        <v>99</v>
      </c>
      <c r="D384" s="3" t="s">
        <v>968</v>
      </c>
      <c r="E384" s="3" t="s">
        <v>212</v>
      </c>
    </row>
    <row r="385" spans="1:5" x14ac:dyDescent="0.2">
      <c r="A385" s="3">
        <v>379</v>
      </c>
      <c r="B385" s="3" t="s">
        <v>51</v>
      </c>
      <c r="C385" s="3" t="s">
        <v>99</v>
      </c>
      <c r="D385" s="3" t="s">
        <v>969</v>
      </c>
      <c r="E385" s="3" t="s">
        <v>212</v>
      </c>
    </row>
    <row r="386" spans="1:5" x14ac:dyDescent="0.2">
      <c r="A386" s="3">
        <v>380</v>
      </c>
      <c r="B386" s="3" t="s">
        <v>51</v>
      </c>
      <c r="C386" s="3" t="s">
        <v>100</v>
      </c>
      <c r="D386" s="3" t="s">
        <v>479</v>
      </c>
      <c r="E386" s="3" t="s">
        <v>480</v>
      </c>
    </row>
    <row r="387" spans="1:5" x14ac:dyDescent="0.2">
      <c r="A387" s="3">
        <v>381</v>
      </c>
      <c r="B387" s="3" t="s">
        <v>51</v>
      </c>
      <c r="C387" s="3" t="s">
        <v>100</v>
      </c>
      <c r="D387" s="3" t="s">
        <v>970</v>
      </c>
      <c r="E387" s="3" t="s">
        <v>212</v>
      </c>
    </row>
    <row r="388" spans="1:5" x14ac:dyDescent="0.2">
      <c r="A388" s="3">
        <v>382</v>
      </c>
      <c r="B388" s="3" t="s">
        <v>51</v>
      </c>
      <c r="C388" s="3" t="s">
        <v>100</v>
      </c>
      <c r="D388" s="3" t="s">
        <v>478</v>
      </c>
      <c r="E388" s="3" t="s">
        <v>212</v>
      </c>
    </row>
    <row r="389" spans="1:5" x14ac:dyDescent="0.2">
      <c r="A389" s="3">
        <v>383</v>
      </c>
      <c r="B389" s="3" t="s">
        <v>51</v>
      </c>
      <c r="C389" s="3" t="s">
        <v>100</v>
      </c>
      <c r="D389" s="3" t="s">
        <v>971</v>
      </c>
      <c r="E389" s="3" t="s">
        <v>480</v>
      </c>
    </row>
    <row r="390" spans="1:5" x14ac:dyDescent="0.2">
      <c r="A390" s="3">
        <v>384</v>
      </c>
      <c r="B390" s="3" t="s">
        <v>51</v>
      </c>
      <c r="C390" s="3" t="s">
        <v>100</v>
      </c>
      <c r="D390" s="3" t="s">
        <v>481</v>
      </c>
      <c r="E390" s="3" t="s">
        <v>212</v>
      </c>
    </row>
    <row r="391" spans="1:5" x14ac:dyDescent="0.2">
      <c r="A391" s="3">
        <v>385</v>
      </c>
      <c r="B391" s="3" t="s">
        <v>51</v>
      </c>
      <c r="C391" s="3" t="s">
        <v>100</v>
      </c>
      <c r="D391" s="3" t="s">
        <v>482</v>
      </c>
      <c r="E391" s="3" t="s">
        <v>212</v>
      </c>
    </row>
    <row r="392" spans="1:5" x14ac:dyDescent="0.2">
      <c r="A392" s="3">
        <v>386</v>
      </c>
      <c r="B392" s="3" t="s">
        <v>51</v>
      </c>
      <c r="C392" s="3" t="s">
        <v>100</v>
      </c>
      <c r="D392" s="3" t="s">
        <v>483</v>
      </c>
      <c r="E392" s="3" t="s">
        <v>480</v>
      </c>
    </row>
    <row r="393" spans="1:5" x14ac:dyDescent="0.2">
      <c r="A393" s="3">
        <v>387</v>
      </c>
      <c r="B393" s="3" t="s">
        <v>51</v>
      </c>
      <c r="C393" s="3" t="s">
        <v>100</v>
      </c>
      <c r="D393" s="3" t="s">
        <v>484</v>
      </c>
      <c r="E393" s="3" t="s">
        <v>480</v>
      </c>
    </row>
    <row r="394" spans="1:5" x14ac:dyDescent="0.2">
      <c r="A394" s="3">
        <v>388</v>
      </c>
      <c r="B394" s="3" t="s">
        <v>51</v>
      </c>
      <c r="C394" s="3" t="s">
        <v>100</v>
      </c>
      <c r="D394" s="3" t="s">
        <v>972</v>
      </c>
      <c r="E394" s="3" t="s">
        <v>480</v>
      </c>
    </row>
    <row r="395" spans="1:5" x14ac:dyDescent="0.2">
      <c r="A395" s="3">
        <v>389</v>
      </c>
      <c r="B395" s="3" t="s">
        <v>51</v>
      </c>
      <c r="C395" s="3" t="s">
        <v>100</v>
      </c>
      <c r="D395" s="3" t="s">
        <v>485</v>
      </c>
      <c r="E395" s="3" t="s">
        <v>480</v>
      </c>
    </row>
    <row r="396" spans="1:5" x14ac:dyDescent="0.2">
      <c r="A396" s="3">
        <v>390</v>
      </c>
      <c r="B396" s="3" t="s">
        <v>51</v>
      </c>
      <c r="C396" s="3" t="s">
        <v>100</v>
      </c>
      <c r="D396" s="3" t="s">
        <v>486</v>
      </c>
      <c r="E396" s="3" t="s">
        <v>480</v>
      </c>
    </row>
    <row r="397" spans="1:5" x14ac:dyDescent="0.2">
      <c r="A397" s="3">
        <v>391</v>
      </c>
      <c r="B397" s="3" t="s">
        <v>51</v>
      </c>
      <c r="C397" s="3" t="s">
        <v>100</v>
      </c>
      <c r="D397" s="3" t="s">
        <v>973</v>
      </c>
      <c r="E397" s="3" t="s">
        <v>212</v>
      </c>
    </row>
    <row r="398" spans="1:5" x14ac:dyDescent="0.2">
      <c r="A398" s="3">
        <v>392</v>
      </c>
      <c r="B398" s="3" t="s">
        <v>51</v>
      </c>
      <c r="C398" s="3" t="s">
        <v>100</v>
      </c>
      <c r="D398" s="3" t="s">
        <v>974</v>
      </c>
      <c r="E398" s="3" t="s">
        <v>212</v>
      </c>
    </row>
    <row r="399" spans="1:5" x14ac:dyDescent="0.2">
      <c r="A399" s="3">
        <v>393</v>
      </c>
      <c r="B399" s="3" t="s">
        <v>51</v>
      </c>
      <c r="C399" s="3" t="s">
        <v>100</v>
      </c>
      <c r="D399" s="3" t="s">
        <v>487</v>
      </c>
      <c r="E399" s="3" t="s">
        <v>212</v>
      </c>
    </row>
    <row r="400" spans="1:5" x14ac:dyDescent="0.2">
      <c r="A400" s="3">
        <v>394</v>
      </c>
      <c r="B400" s="3" t="s">
        <v>51</v>
      </c>
      <c r="C400" s="3" t="s">
        <v>100</v>
      </c>
      <c r="D400" s="3" t="s">
        <v>975</v>
      </c>
      <c r="E400" s="3" t="s">
        <v>212</v>
      </c>
    </row>
    <row r="401" spans="1:5" x14ac:dyDescent="0.2">
      <c r="A401" s="3">
        <v>395</v>
      </c>
      <c r="B401" s="3" t="s">
        <v>51</v>
      </c>
      <c r="C401" s="3" t="s">
        <v>100</v>
      </c>
      <c r="D401" s="3" t="s">
        <v>976</v>
      </c>
      <c r="E401" s="3" t="s">
        <v>212</v>
      </c>
    </row>
    <row r="402" spans="1:5" x14ac:dyDescent="0.2">
      <c r="A402" s="3">
        <v>396</v>
      </c>
      <c r="B402" s="3" t="s">
        <v>51</v>
      </c>
      <c r="C402" s="3" t="s">
        <v>100</v>
      </c>
      <c r="D402" s="3" t="s">
        <v>977</v>
      </c>
      <c r="E402" s="3" t="s">
        <v>480</v>
      </c>
    </row>
    <row r="403" spans="1:5" x14ac:dyDescent="0.2">
      <c r="A403" s="3">
        <v>397</v>
      </c>
      <c r="B403" s="3" t="s">
        <v>51</v>
      </c>
      <c r="C403" s="3" t="s">
        <v>100</v>
      </c>
      <c r="D403" s="3" t="s">
        <v>978</v>
      </c>
      <c r="E403" s="3" t="s">
        <v>212</v>
      </c>
    </row>
    <row r="404" spans="1:5" x14ac:dyDescent="0.2">
      <c r="A404" s="3">
        <v>398</v>
      </c>
      <c r="B404" s="3" t="s">
        <v>51</v>
      </c>
      <c r="C404" s="3" t="s">
        <v>102</v>
      </c>
      <c r="D404" s="3" t="s">
        <v>979</v>
      </c>
      <c r="E404" s="3" t="s">
        <v>490</v>
      </c>
    </row>
    <row r="405" spans="1:5" x14ac:dyDescent="0.2">
      <c r="A405" s="3">
        <v>399</v>
      </c>
      <c r="B405" s="3" t="s">
        <v>51</v>
      </c>
      <c r="C405" s="3" t="s">
        <v>102</v>
      </c>
      <c r="D405" s="3" t="s">
        <v>489</v>
      </c>
      <c r="E405" s="3" t="s">
        <v>794</v>
      </c>
    </row>
    <row r="406" spans="1:5" x14ac:dyDescent="0.2">
      <c r="A406" s="3">
        <v>400</v>
      </c>
      <c r="B406" s="3" t="s">
        <v>51</v>
      </c>
      <c r="C406" s="3" t="s">
        <v>102</v>
      </c>
      <c r="D406" s="3" t="s">
        <v>491</v>
      </c>
      <c r="E406" s="3" t="s">
        <v>212</v>
      </c>
    </row>
    <row r="407" spans="1:5" x14ac:dyDescent="0.2">
      <c r="A407" s="3">
        <v>401</v>
      </c>
      <c r="B407" s="3" t="s">
        <v>51</v>
      </c>
      <c r="C407" s="3" t="s">
        <v>102</v>
      </c>
      <c r="D407" s="3" t="s">
        <v>980</v>
      </c>
      <c r="E407" s="3" t="s">
        <v>212</v>
      </c>
    </row>
    <row r="408" spans="1:5" x14ac:dyDescent="0.2">
      <c r="A408" s="3">
        <v>402</v>
      </c>
      <c r="B408" s="3" t="s">
        <v>51</v>
      </c>
      <c r="C408" s="3" t="s">
        <v>102</v>
      </c>
      <c r="D408" s="3" t="s">
        <v>492</v>
      </c>
      <c r="E408" s="3" t="s">
        <v>212</v>
      </c>
    </row>
    <row r="409" spans="1:5" x14ac:dyDescent="0.2">
      <c r="A409" s="3">
        <v>403</v>
      </c>
      <c r="B409" s="3" t="s">
        <v>51</v>
      </c>
      <c r="C409" s="3" t="s">
        <v>102</v>
      </c>
      <c r="D409" s="3" t="s">
        <v>493</v>
      </c>
      <c r="E409" s="3" t="s">
        <v>230</v>
      </c>
    </row>
    <row r="410" spans="1:5" x14ac:dyDescent="0.2">
      <c r="A410" s="3">
        <v>404</v>
      </c>
      <c r="B410" s="3" t="s">
        <v>51</v>
      </c>
      <c r="C410" s="3" t="s">
        <v>102</v>
      </c>
      <c r="D410" s="3" t="s">
        <v>494</v>
      </c>
      <c r="E410" s="3" t="s">
        <v>794</v>
      </c>
    </row>
    <row r="411" spans="1:5" x14ac:dyDescent="0.2">
      <c r="A411" s="3">
        <v>405</v>
      </c>
      <c r="B411" s="3" t="s">
        <v>51</v>
      </c>
      <c r="C411" s="3" t="s">
        <v>102</v>
      </c>
      <c r="D411" s="3" t="s">
        <v>495</v>
      </c>
      <c r="E411" s="3" t="s">
        <v>490</v>
      </c>
    </row>
    <row r="412" spans="1:5" x14ac:dyDescent="0.2">
      <c r="A412" s="3">
        <v>406</v>
      </c>
      <c r="B412" s="3" t="s">
        <v>51</v>
      </c>
      <c r="C412" s="3" t="s">
        <v>102</v>
      </c>
      <c r="D412" s="3" t="s">
        <v>981</v>
      </c>
      <c r="E412" s="3" t="s">
        <v>794</v>
      </c>
    </row>
    <row r="413" spans="1:5" x14ac:dyDescent="0.2">
      <c r="A413" s="3">
        <v>407</v>
      </c>
      <c r="B413" s="3" t="s">
        <v>51</v>
      </c>
      <c r="C413" s="3" t="s">
        <v>102</v>
      </c>
      <c r="D413" s="3" t="s">
        <v>488</v>
      </c>
      <c r="E413" s="3" t="s">
        <v>212</v>
      </c>
    </row>
    <row r="414" spans="1:5" x14ac:dyDescent="0.2">
      <c r="A414" s="3">
        <v>408</v>
      </c>
      <c r="B414" s="3" t="s">
        <v>51</v>
      </c>
      <c r="C414" s="3" t="s">
        <v>171</v>
      </c>
      <c r="D414" s="3" t="s">
        <v>499</v>
      </c>
      <c r="E414" s="3" t="s">
        <v>212</v>
      </c>
    </row>
    <row r="415" spans="1:5" x14ac:dyDescent="0.2">
      <c r="A415" s="3">
        <v>409</v>
      </c>
      <c r="B415" s="3" t="s">
        <v>51</v>
      </c>
      <c r="C415" s="3" t="s">
        <v>171</v>
      </c>
      <c r="D415" s="3" t="s">
        <v>982</v>
      </c>
      <c r="E415" s="3" t="s">
        <v>212</v>
      </c>
    </row>
    <row r="416" spans="1:5" x14ac:dyDescent="0.2">
      <c r="A416" s="3">
        <v>410</v>
      </c>
      <c r="B416" s="3" t="s">
        <v>51</v>
      </c>
      <c r="C416" s="3" t="s">
        <v>171</v>
      </c>
      <c r="D416" s="3" t="s">
        <v>498</v>
      </c>
      <c r="E416" s="3" t="s">
        <v>418</v>
      </c>
    </row>
    <row r="417" spans="1:5" x14ac:dyDescent="0.2">
      <c r="A417" s="3">
        <v>411</v>
      </c>
      <c r="B417" s="3" t="s">
        <v>51</v>
      </c>
      <c r="C417" s="3" t="s">
        <v>171</v>
      </c>
      <c r="D417" s="3" t="s">
        <v>497</v>
      </c>
      <c r="E417" s="3" t="s">
        <v>212</v>
      </c>
    </row>
    <row r="418" spans="1:5" x14ac:dyDescent="0.2">
      <c r="A418" s="3">
        <v>412</v>
      </c>
      <c r="B418" s="3" t="s">
        <v>51</v>
      </c>
      <c r="C418" s="3" t="s">
        <v>171</v>
      </c>
      <c r="D418" s="3" t="s">
        <v>496</v>
      </c>
      <c r="E418" s="3" t="s">
        <v>212</v>
      </c>
    </row>
    <row r="419" spans="1:5" x14ac:dyDescent="0.2">
      <c r="A419" s="3">
        <v>413</v>
      </c>
      <c r="B419" s="3" t="s">
        <v>51</v>
      </c>
      <c r="C419" s="3" t="s">
        <v>171</v>
      </c>
      <c r="D419" s="3" t="s">
        <v>983</v>
      </c>
      <c r="E419" s="3" t="s">
        <v>212</v>
      </c>
    </row>
    <row r="420" spans="1:5" x14ac:dyDescent="0.2">
      <c r="A420" s="3">
        <v>414</v>
      </c>
      <c r="B420" s="3" t="s">
        <v>51</v>
      </c>
      <c r="C420" s="3" t="s">
        <v>89</v>
      </c>
      <c r="D420" s="3" t="s">
        <v>500</v>
      </c>
      <c r="E420" s="3" t="s">
        <v>794</v>
      </c>
    </row>
    <row r="421" spans="1:5" x14ac:dyDescent="0.2">
      <c r="A421" s="3">
        <v>415</v>
      </c>
      <c r="B421" s="3" t="s">
        <v>51</v>
      </c>
      <c r="C421" s="3" t="s">
        <v>89</v>
      </c>
      <c r="D421" s="3" t="s">
        <v>501</v>
      </c>
      <c r="E421" s="3" t="s">
        <v>249</v>
      </c>
    </row>
    <row r="422" spans="1:5" x14ac:dyDescent="0.2">
      <c r="A422" s="3">
        <v>416</v>
      </c>
      <c r="B422" s="3" t="s">
        <v>51</v>
      </c>
      <c r="C422" s="3" t="s">
        <v>89</v>
      </c>
      <c r="D422" s="3" t="s">
        <v>984</v>
      </c>
      <c r="E422" s="3" t="s">
        <v>794</v>
      </c>
    </row>
    <row r="423" spans="1:5" x14ac:dyDescent="0.2">
      <c r="A423" s="3">
        <v>417</v>
      </c>
      <c r="B423" s="3" t="s">
        <v>51</v>
      </c>
      <c r="C423" s="3" t="s">
        <v>89</v>
      </c>
      <c r="D423" s="3" t="s">
        <v>802</v>
      </c>
      <c r="E423" s="3" t="s">
        <v>249</v>
      </c>
    </row>
    <row r="424" spans="1:5" x14ac:dyDescent="0.2">
      <c r="A424" s="3">
        <v>418</v>
      </c>
      <c r="B424" s="3" t="s">
        <v>51</v>
      </c>
      <c r="C424" s="3" t="s">
        <v>89</v>
      </c>
      <c r="D424" s="3" t="s">
        <v>985</v>
      </c>
      <c r="E424" s="3" t="s">
        <v>212</v>
      </c>
    </row>
    <row r="425" spans="1:5" x14ac:dyDescent="0.2">
      <c r="A425" s="3">
        <v>419</v>
      </c>
      <c r="B425" s="3" t="s">
        <v>51</v>
      </c>
      <c r="C425" s="3" t="s">
        <v>89</v>
      </c>
      <c r="D425" s="3" t="s">
        <v>502</v>
      </c>
      <c r="E425" s="3" t="s">
        <v>794</v>
      </c>
    </row>
    <row r="426" spans="1:5" x14ac:dyDescent="0.2">
      <c r="A426" s="3">
        <v>420</v>
      </c>
      <c r="B426" s="3" t="s">
        <v>51</v>
      </c>
      <c r="C426" s="3" t="s">
        <v>184</v>
      </c>
      <c r="D426" s="3" t="s">
        <v>510</v>
      </c>
      <c r="E426" s="3" t="s">
        <v>249</v>
      </c>
    </row>
    <row r="427" spans="1:5" x14ac:dyDescent="0.2">
      <c r="A427" s="3">
        <v>421</v>
      </c>
      <c r="B427" s="3" t="s">
        <v>51</v>
      </c>
      <c r="C427" s="3" t="s">
        <v>184</v>
      </c>
      <c r="D427" s="3" t="s">
        <v>509</v>
      </c>
      <c r="E427" s="3" t="s">
        <v>795</v>
      </c>
    </row>
    <row r="428" spans="1:5" x14ac:dyDescent="0.2">
      <c r="A428" s="3">
        <v>422</v>
      </c>
      <c r="B428" s="3" t="s">
        <v>51</v>
      </c>
      <c r="C428" s="3" t="s">
        <v>184</v>
      </c>
      <c r="D428" s="3" t="s">
        <v>986</v>
      </c>
      <c r="E428" s="3" t="s">
        <v>212</v>
      </c>
    </row>
    <row r="429" spans="1:5" x14ac:dyDescent="0.2">
      <c r="A429" s="3">
        <v>423</v>
      </c>
      <c r="B429" s="3" t="s">
        <v>51</v>
      </c>
      <c r="C429" s="3" t="s">
        <v>184</v>
      </c>
      <c r="D429" s="3" t="s">
        <v>503</v>
      </c>
      <c r="E429" s="3" t="s">
        <v>242</v>
      </c>
    </row>
    <row r="430" spans="1:5" x14ac:dyDescent="0.2">
      <c r="A430" s="3">
        <v>424</v>
      </c>
      <c r="B430" s="3" t="s">
        <v>51</v>
      </c>
      <c r="C430" s="3" t="s">
        <v>184</v>
      </c>
      <c r="D430" s="3" t="s">
        <v>504</v>
      </c>
      <c r="E430" s="3" t="s">
        <v>242</v>
      </c>
    </row>
    <row r="431" spans="1:5" x14ac:dyDescent="0.2">
      <c r="A431" s="3">
        <v>425</v>
      </c>
      <c r="B431" s="3" t="s">
        <v>51</v>
      </c>
      <c r="C431" s="3" t="s">
        <v>184</v>
      </c>
      <c r="D431" s="3" t="s">
        <v>505</v>
      </c>
      <c r="E431" s="3" t="s">
        <v>242</v>
      </c>
    </row>
    <row r="432" spans="1:5" x14ac:dyDescent="0.2">
      <c r="A432" s="3">
        <v>426</v>
      </c>
      <c r="B432" s="3" t="s">
        <v>51</v>
      </c>
      <c r="C432" s="3" t="s">
        <v>184</v>
      </c>
      <c r="D432" s="3" t="s">
        <v>506</v>
      </c>
      <c r="E432" s="3" t="s">
        <v>460</v>
      </c>
    </row>
    <row r="433" spans="1:5" x14ac:dyDescent="0.2">
      <c r="A433" s="3">
        <v>427</v>
      </c>
      <c r="B433" s="3" t="s">
        <v>51</v>
      </c>
      <c r="C433" s="3" t="s">
        <v>184</v>
      </c>
      <c r="D433" s="3" t="s">
        <v>507</v>
      </c>
      <c r="E433" s="3" t="s">
        <v>212</v>
      </c>
    </row>
    <row r="434" spans="1:5" x14ac:dyDescent="0.2">
      <c r="A434" s="3">
        <v>428</v>
      </c>
      <c r="B434" s="3" t="s">
        <v>51</v>
      </c>
      <c r="C434" s="3" t="s">
        <v>184</v>
      </c>
      <c r="D434" s="3" t="s">
        <v>508</v>
      </c>
      <c r="E434" s="3" t="s">
        <v>249</v>
      </c>
    </row>
    <row r="435" spans="1:5" x14ac:dyDescent="0.2">
      <c r="A435" s="3">
        <v>429</v>
      </c>
      <c r="B435" s="3" t="s">
        <v>51</v>
      </c>
      <c r="C435" s="3" t="s">
        <v>82</v>
      </c>
      <c r="D435" s="3" t="s">
        <v>987</v>
      </c>
      <c r="E435" s="3" t="s">
        <v>460</v>
      </c>
    </row>
    <row r="436" spans="1:5" x14ac:dyDescent="0.2">
      <c r="A436" s="3">
        <v>430</v>
      </c>
      <c r="B436" s="3" t="s">
        <v>51</v>
      </c>
      <c r="C436" s="3" t="s">
        <v>82</v>
      </c>
      <c r="D436" s="3" t="s">
        <v>988</v>
      </c>
      <c r="E436" s="3" t="s">
        <v>208</v>
      </c>
    </row>
    <row r="437" spans="1:5" x14ac:dyDescent="0.2">
      <c r="A437" s="3">
        <v>431</v>
      </c>
      <c r="B437" s="3" t="s">
        <v>51</v>
      </c>
      <c r="C437" s="3" t="s">
        <v>82</v>
      </c>
      <c r="D437" s="3" t="s">
        <v>989</v>
      </c>
      <c r="E437" s="3" t="s">
        <v>801</v>
      </c>
    </row>
    <row r="438" spans="1:5" x14ac:dyDescent="0.2">
      <c r="A438" s="3">
        <v>432</v>
      </c>
      <c r="B438" s="3" t="s">
        <v>51</v>
      </c>
      <c r="C438" s="3" t="s">
        <v>82</v>
      </c>
      <c r="D438" s="3" t="s">
        <v>990</v>
      </c>
      <c r="E438" s="3" t="s">
        <v>208</v>
      </c>
    </row>
    <row r="439" spans="1:5" x14ac:dyDescent="0.2">
      <c r="A439" s="3">
        <v>433</v>
      </c>
      <c r="B439" s="3" t="s">
        <v>52</v>
      </c>
      <c r="C439" s="3" t="s">
        <v>81</v>
      </c>
      <c r="D439" s="3" t="s">
        <v>524</v>
      </c>
      <c r="E439" s="3" t="s">
        <v>212</v>
      </c>
    </row>
    <row r="440" spans="1:5" x14ac:dyDescent="0.2">
      <c r="A440" s="3">
        <v>434</v>
      </c>
      <c r="B440" s="3" t="s">
        <v>52</v>
      </c>
      <c r="C440" s="3" t="s">
        <v>81</v>
      </c>
      <c r="D440" s="3" t="s">
        <v>521</v>
      </c>
      <c r="E440" s="3" t="s">
        <v>460</v>
      </c>
    </row>
    <row r="441" spans="1:5" x14ac:dyDescent="0.2">
      <c r="A441" s="3">
        <v>435</v>
      </c>
      <c r="B441" s="3" t="s">
        <v>52</v>
      </c>
      <c r="C441" s="3" t="s">
        <v>81</v>
      </c>
      <c r="D441" s="3" t="s">
        <v>522</v>
      </c>
      <c r="E441" s="3" t="s">
        <v>804</v>
      </c>
    </row>
    <row r="442" spans="1:5" x14ac:dyDescent="0.2">
      <c r="A442" s="3">
        <v>436</v>
      </c>
      <c r="B442" s="3" t="s">
        <v>52</v>
      </c>
      <c r="C442" s="3" t="s">
        <v>81</v>
      </c>
      <c r="D442" s="3" t="s">
        <v>515</v>
      </c>
      <c r="E442" s="3" t="s">
        <v>208</v>
      </c>
    </row>
    <row r="443" spans="1:5" x14ac:dyDescent="0.2">
      <c r="A443" s="3">
        <v>437</v>
      </c>
      <c r="B443" s="3" t="s">
        <v>52</v>
      </c>
      <c r="C443" s="3" t="s">
        <v>81</v>
      </c>
      <c r="D443" s="3" t="s">
        <v>514</v>
      </c>
      <c r="E443" s="3" t="s">
        <v>212</v>
      </c>
    </row>
    <row r="444" spans="1:5" x14ac:dyDescent="0.2">
      <c r="A444" s="3">
        <v>438</v>
      </c>
      <c r="B444" s="3" t="s">
        <v>52</v>
      </c>
      <c r="C444" s="3" t="s">
        <v>81</v>
      </c>
      <c r="D444" s="3" t="s">
        <v>516</v>
      </c>
      <c r="E444" s="3" t="s">
        <v>208</v>
      </c>
    </row>
    <row r="445" spans="1:5" x14ac:dyDescent="0.2">
      <c r="A445" s="3">
        <v>439</v>
      </c>
      <c r="B445" s="3" t="s">
        <v>52</v>
      </c>
      <c r="C445" s="3" t="s">
        <v>81</v>
      </c>
      <c r="D445" s="3" t="s">
        <v>517</v>
      </c>
      <c r="E445" s="3" t="s">
        <v>208</v>
      </c>
    </row>
    <row r="446" spans="1:5" x14ac:dyDescent="0.2">
      <c r="A446" s="3">
        <v>440</v>
      </c>
      <c r="B446" s="3" t="s">
        <v>52</v>
      </c>
      <c r="C446" s="3" t="s">
        <v>81</v>
      </c>
      <c r="D446" s="3" t="s">
        <v>511</v>
      </c>
      <c r="E446" s="3" t="s">
        <v>208</v>
      </c>
    </row>
    <row r="447" spans="1:5" x14ac:dyDescent="0.2">
      <c r="A447" s="3">
        <v>441</v>
      </c>
      <c r="B447" s="3" t="s">
        <v>52</v>
      </c>
      <c r="C447" s="3" t="s">
        <v>81</v>
      </c>
      <c r="D447" s="3" t="s">
        <v>513</v>
      </c>
      <c r="E447" s="3" t="s">
        <v>793</v>
      </c>
    </row>
    <row r="448" spans="1:5" x14ac:dyDescent="0.2">
      <c r="A448" s="3">
        <v>442</v>
      </c>
      <c r="B448" s="3" t="s">
        <v>52</v>
      </c>
      <c r="C448" s="3" t="s">
        <v>81</v>
      </c>
      <c r="D448" s="3" t="s">
        <v>512</v>
      </c>
      <c r="E448" s="3" t="s">
        <v>208</v>
      </c>
    </row>
    <row r="449" spans="1:5" x14ac:dyDescent="0.2">
      <c r="A449" s="3">
        <v>443</v>
      </c>
      <c r="B449" s="3" t="s">
        <v>52</v>
      </c>
      <c r="C449" s="3" t="s">
        <v>81</v>
      </c>
      <c r="D449" s="3" t="s">
        <v>991</v>
      </c>
      <c r="E449" s="3" t="s">
        <v>242</v>
      </c>
    </row>
    <row r="450" spans="1:5" x14ac:dyDescent="0.2">
      <c r="A450" s="3">
        <v>444</v>
      </c>
      <c r="B450" s="3" t="s">
        <v>52</v>
      </c>
      <c r="C450" s="3" t="s">
        <v>81</v>
      </c>
      <c r="D450" s="3" t="s">
        <v>992</v>
      </c>
      <c r="E450" s="3" t="s">
        <v>212</v>
      </c>
    </row>
    <row r="451" spans="1:5" x14ac:dyDescent="0.2">
      <c r="A451" s="3">
        <v>445</v>
      </c>
      <c r="B451" s="3" t="s">
        <v>52</v>
      </c>
      <c r="C451" s="3" t="s">
        <v>81</v>
      </c>
      <c r="D451" s="3" t="s">
        <v>519</v>
      </c>
      <c r="E451" s="3" t="s">
        <v>212</v>
      </c>
    </row>
    <row r="452" spans="1:5" x14ac:dyDescent="0.2">
      <c r="A452" s="3">
        <v>446</v>
      </c>
      <c r="B452" s="3" t="s">
        <v>52</v>
      </c>
      <c r="C452" s="3" t="s">
        <v>81</v>
      </c>
      <c r="D452" s="3" t="s">
        <v>803</v>
      </c>
      <c r="E452" s="3" t="s">
        <v>212</v>
      </c>
    </row>
    <row r="453" spans="1:5" x14ac:dyDescent="0.2">
      <c r="A453" s="3">
        <v>447</v>
      </c>
      <c r="B453" s="3" t="s">
        <v>52</v>
      </c>
      <c r="C453" s="3" t="s">
        <v>81</v>
      </c>
      <c r="D453" s="3" t="s">
        <v>520</v>
      </c>
      <c r="E453" s="3" t="s">
        <v>212</v>
      </c>
    </row>
    <row r="454" spans="1:5" x14ac:dyDescent="0.2">
      <c r="A454" s="3">
        <v>448</v>
      </c>
      <c r="B454" s="3" t="s">
        <v>52</v>
      </c>
      <c r="C454" s="3" t="s">
        <v>81</v>
      </c>
      <c r="D454" s="3" t="s">
        <v>518</v>
      </c>
      <c r="E454" s="3" t="s">
        <v>212</v>
      </c>
    </row>
    <row r="455" spans="1:5" x14ac:dyDescent="0.2">
      <c r="A455" s="3">
        <v>449</v>
      </c>
      <c r="B455" s="3" t="s">
        <v>52</v>
      </c>
      <c r="C455" s="3" t="s">
        <v>81</v>
      </c>
      <c r="D455" s="3" t="s">
        <v>993</v>
      </c>
      <c r="E455" s="3" t="s">
        <v>212</v>
      </c>
    </row>
    <row r="456" spans="1:5" x14ac:dyDescent="0.2">
      <c r="A456" s="3">
        <v>450</v>
      </c>
      <c r="B456" s="3" t="s">
        <v>52</v>
      </c>
      <c r="C456" s="3" t="s">
        <v>85</v>
      </c>
      <c r="D456" s="3" t="s">
        <v>525</v>
      </c>
      <c r="E456" s="3" t="s">
        <v>214</v>
      </c>
    </row>
    <row r="457" spans="1:5" x14ac:dyDescent="0.2">
      <c r="A457" s="3">
        <v>451</v>
      </c>
      <c r="B457" s="3" t="s">
        <v>52</v>
      </c>
      <c r="C457" s="3" t="s">
        <v>85</v>
      </c>
      <c r="D457" s="3" t="s">
        <v>994</v>
      </c>
      <c r="E457" s="3" t="s">
        <v>212</v>
      </c>
    </row>
    <row r="458" spans="1:5" x14ac:dyDescent="0.2">
      <c r="A458" s="3">
        <v>452</v>
      </c>
      <c r="B458" s="3" t="s">
        <v>52</v>
      </c>
      <c r="C458" s="3" t="s">
        <v>85</v>
      </c>
      <c r="D458" s="3" t="s">
        <v>534</v>
      </c>
      <c r="E458" s="3" t="s">
        <v>791</v>
      </c>
    </row>
    <row r="459" spans="1:5" x14ac:dyDescent="0.2">
      <c r="A459" s="3">
        <v>453</v>
      </c>
      <c r="B459" s="3" t="s">
        <v>52</v>
      </c>
      <c r="C459" s="3" t="s">
        <v>85</v>
      </c>
      <c r="D459" s="3" t="s">
        <v>995</v>
      </c>
      <c r="E459" s="3" t="s">
        <v>212</v>
      </c>
    </row>
    <row r="460" spans="1:5" x14ac:dyDescent="0.2">
      <c r="A460" s="3">
        <v>454</v>
      </c>
      <c r="B460" s="3" t="s">
        <v>52</v>
      </c>
      <c r="C460" s="3" t="s">
        <v>85</v>
      </c>
      <c r="D460" s="3" t="s">
        <v>536</v>
      </c>
      <c r="E460" s="3" t="s">
        <v>791</v>
      </c>
    </row>
    <row r="461" spans="1:5" x14ac:dyDescent="0.2">
      <c r="A461" s="3">
        <v>455</v>
      </c>
      <c r="B461" s="3" t="s">
        <v>52</v>
      </c>
      <c r="C461" s="3" t="s">
        <v>85</v>
      </c>
      <c r="D461" s="3" t="s">
        <v>535</v>
      </c>
      <c r="E461" s="3" t="s">
        <v>212</v>
      </c>
    </row>
    <row r="462" spans="1:5" x14ac:dyDescent="0.2">
      <c r="A462" s="3">
        <v>456</v>
      </c>
      <c r="B462" s="3" t="s">
        <v>52</v>
      </c>
      <c r="C462" s="3" t="s">
        <v>85</v>
      </c>
      <c r="D462" s="3" t="s">
        <v>528</v>
      </c>
      <c r="E462" s="3" t="s">
        <v>212</v>
      </c>
    </row>
    <row r="463" spans="1:5" x14ac:dyDescent="0.2">
      <c r="A463" s="3">
        <v>457</v>
      </c>
      <c r="B463" s="3" t="s">
        <v>52</v>
      </c>
      <c r="C463" s="3" t="s">
        <v>85</v>
      </c>
      <c r="D463" s="3" t="s">
        <v>529</v>
      </c>
      <c r="E463" s="3" t="s">
        <v>212</v>
      </c>
    </row>
    <row r="464" spans="1:5" x14ac:dyDescent="0.2">
      <c r="A464" s="3">
        <v>458</v>
      </c>
      <c r="B464" s="3" t="s">
        <v>52</v>
      </c>
      <c r="C464" s="3" t="s">
        <v>85</v>
      </c>
      <c r="D464" s="3" t="s">
        <v>526</v>
      </c>
      <c r="E464" s="3" t="s">
        <v>212</v>
      </c>
    </row>
    <row r="465" spans="1:5" x14ac:dyDescent="0.2">
      <c r="A465" s="3">
        <v>459</v>
      </c>
      <c r="B465" s="3" t="s">
        <v>52</v>
      </c>
      <c r="C465" s="3" t="s">
        <v>85</v>
      </c>
      <c r="D465" s="3" t="s">
        <v>527</v>
      </c>
      <c r="E465" s="3" t="s">
        <v>212</v>
      </c>
    </row>
    <row r="466" spans="1:5" x14ac:dyDescent="0.2">
      <c r="A466" s="3">
        <v>460</v>
      </c>
      <c r="B466" s="3" t="s">
        <v>52</v>
      </c>
      <c r="C466" s="3" t="s">
        <v>85</v>
      </c>
      <c r="D466" s="3" t="s">
        <v>530</v>
      </c>
      <c r="E466" s="3" t="s">
        <v>212</v>
      </c>
    </row>
    <row r="467" spans="1:5" x14ac:dyDescent="0.2">
      <c r="A467" s="3">
        <v>461</v>
      </c>
      <c r="B467" s="3" t="s">
        <v>52</v>
      </c>
      <c r="C467" s="3" t="s">
        <v>85</v>
      </c>
      <c r="D467" s="3" t="s">
        <v>531</v>
      </c>
      <c r="E467" s="3" t="s">
        <v>212</v>
      </c>
    </row>
    <row r="468" spans="1:5" x14ac:dyDescent="0.2">
      <c r="A468" s="3">
        <v>462</v>
      </c>
      <c r="B468" s="3" t="s">
        <v>52</v>
      </c>
      <c r="C468" s="3" t="s">
        <v>85</v>
      </c>
      <c r="D468" s="3" t="s">
        <v>532</v>
      </c>
      <c r="E468" s="3" t="s">
        <v>212</v>
      </c>
    </row>
    <row r="469" spans="1:5" x14ac:dyDescent="0.2">
      <c r="A469" s="3">
        <v>463</v>
      </c>
      <c r="B469" s="3" t="s">
        <v>52</v>
      </c>
      <c r="C469" s="3" t="s">
        <v>85</v>
      </c>
      <c r="D469" s="3" t="s">
        <v>533</v>
      </c>
      <c r="E469" s="3" t="s">
        <v>212</v>
      </c>
    </row>
    <row r="470" spans="1:5" x14ac:dyDescent="0.2">
      <c r="A470" s="3">
        <v>464</v>
      </c>
      <c r="B470" s="3" t="s">
        <v>52</v>
      </c>
      <c r="C470" s="3" t="s">
        <v>88</v>
      </c>
      <c r="D470" s="3" t="s">
        <v>996</v>
      </c>
      <c r="E470" s="3" t="s">
        <v>212</v>
      </c>
    </row>
    <row r="471" spans="1:5" x14ac:dyDescent="0.2">
      <c r="A471" s="3">
        <v>465</v>
      </c>
      <c r="B471" s="3" t="s">
        <v>52</v>
      </c>
      <c r="C471" s="3" t="s">
        <v>88</v>
      </c>
      <c r="D471" s="3" t="s">
        <v>541</v>
      </c>
      <c r="E471" s="3" t="s">
        <v>212</v>
      </c>
    </row>
    <row r="472" spans="1:5" x14ac:dyDescent="0.2">
      <c r="A472" s="3">
        <v>466</v>
      </c>
      <c r="B472" s="3" t="s">
        <v>52</v>
      </c>
      <c r="C472" s="3" t="s">
        <v>88</v>
      </c>
      <c r="D472" s="3" t="s">
        <v>997</v>
      </c>
      <c r="E472" s="3" t="s">
        <v>212</v>
      </c>
    </row>
    <row r="473" spans="1:5" x14ac:dyDescent="0.2">
      <c r="A473" s="3">
        <v>467</v>
      </c>
      <c r="B473" s="3" t="s">
        <v>52</v>
      </c>
      <c r="C473" s="3" t="s">
        <v>88</v>
      </c>
      <c r="D473" s="3" t="s">
        <v>540</v>
      </c>
      <c r="E473" s="3" t="s">
        <v>212</v>
      </c>
    </row>
    <row r="474" spans="1:5" x14ac:dyDescent="0.2">
      <c r="A474" s="3">
        <v>468</v>
      </c>
      <c r="B474" s="3" t="s">
        <v>52</v>
      </c>
      <c r="C474" s="3" t="s">
        <v>88</v>
      </c>
      <c r="D474" s="3" t="s">
        <v>542</v>
      </c>
      <c r="E474" s="3" t="s">
        <v>212</v>
      </c>
    </row>
    <row r="475" spans="1:5" x14ac:dyDescent="0.2">
      <c r="A475" s="3">
        <v>469</v>
      </c>
      <c r="B475" s="3" t="s">
        <v>52</v>
      </c>
      <c r="C475" s="3" t="s">
        <v>88</v>
      </c>
      <c r="D475" s="3" t="s">
        <v>543</v>
      </c>
      <c r="E475" s="3" t="s">
        <v>212</v>
      </c>
    </row>
    <row r="476" spans="1:5" x14ac:dyDescent="0.2">
      <c r="A476" s="3">
        <v>470</v>
      </c>
      <c r="B476" s="3" t="s">
        <v>52</v>
      </c>
      <c r="C476" s="3" t="s">
        <v>88</v>
      </c>
      <c r="D476" s="3" t="s">
        <v>998</v>
      </c>
      <c r="E476" s="3" t="s">
        <v>212</v>
      </c>
    </row>
    <row r="477" spans="1:5" x14ac:dyDescent="0.2">
      <c r="A477" s="3">
        <v>471</v>
      </c>
      <c r="B477" s="3" t="s">
        <v>52</v>
      </c>
      <c r="C477" s="3" t="s">
        <v>88</v>
      </c>
      <c r="D477" s="3" t="s">
        <v>539</v>
      </c>
      <c r="E477" s="3" t="s">
        <v>212</v>
      </c>
    </row>
    <row r="478" spans="1:5" x14ac:dyDescent="0.2">
      <c r="A478" s="3">
        <v>472</v>
      </c>
      <c r="B478" s="3" t="s">
        <v>52</v>
      </c>
      <c r="C478" s="3" t="s">
        <v>88</v>
      </c>
      <c r="D478" s="3" t="s">
        <v>538</v>
      </c>
      <c r="E478" s="3" t="s">
        <v>249</v>
      </c>
    </row>
    <row r="479" spans="1:5" x14ac:dyDescent="0.2">
      <c r="A479" s="3">
        <v>473</v>
      </c>
      <c r="B479" s="3" t="s">
        <v>52</v>
      </c>
      <c r="C479" s="3" t="s">
        <v>88</v>
      </c>
      <c r="D479" s="3" t="s">
        <v>537</v>
      </c>
      <c r="E479" s="3" t="s">
        <v>418</v>
      </c>
    </row>
    <row r="480" spans="1:5" x14ac:dyDescent="0.2">
      <c r="A480" s="3">
        <v>474</v>
      </c>
      <c r="B480" s="3" t="s">
        <v>52</v>
      </c>
      <c r="C480" s="3" t="s">
        <v>91</v>
      </c>
      <c r="D480" s="3" t="s">
        <v>544</v>
      </c>
      <c r="E480" s="3" t="s">
        <v>212</v>
      </c>
    </row>
    <row r="481" spans="1:5" x14ac:dyDescent="0.2">
      <c r="A481" s="3">
        <v>475</v>
      </c>
      <c r="B481" s="3" t="s">
        <v>52</v>
      </c>
      <c r="C481" s="3" t="s">
        <v>91</v>
      </c>
      <c r="D481" s="3" t="s">
        <v>545</v>
      </c>
      <c r="E481" s="3" t="s">
        <v>819</v>
      </c>
    </row>
    <row r="482" spans="1:5" x14ac:dyDescent="0.2">
      <c r="A482" s="3">
        <v>476</v>
      </c>
      <c r="B482" s="3" t="s">
        <v>52</v>
      </c>
      <c r="C482" s="3" t="s">
        <v>91</v>
      </c>
      <c r="D482" s="3" t="s">
        <v>546</v>
      </c>
      <c r="E482" s="3" t="s">
        <v>480</v>
      </c>
    </row>
    <row r="483" spans="1:5" x14ac:dyDescent="0.2">
      <c r="A483" s="3">
        <v>477</v>
      </c>
      <c r="B483" s="3" t="s">
        <v>52</v>
      </c>
      <c r="C483" s="3" t="s">
        <v>91</v>
      </c>
      <c r="D483" s="3" t="s">
        <v>547</v>
      </c>
      <c r="E483" s="3" t="s">
        <v>819</v>
      </c>
    </row>
    <row r="484" spans="1:5" x14ac:dyDescent="0.2">
      <c r="A484" s="3">
        <v>478</v>
      </c>
      <c r="B484" s="3" t="s">
        <v>52</v>
      </c>
      <c r="C484" s="3" t="s">
        <v>91</v>
      </c>
      <c r="D484" s="3" t="s">
        <v>548</v>
      </c>
      <c r="E484" s="3" t="s">
        <v>212</v>
      </c>
    </row>
    <row r="485" spans="1:5" x14ac:dyDescent="0.2">
      <c r="A485" s="3">
        <v>479</v>
      </c>
      <c r="B485" s="3" t="s">
        <v>52</v>
      </c>
      <c r="C485" s="3" t="s">
        <v>91</v>
      </c>
      <c r="D485" s="3" t="s">
        <v>999</v>
      </c>
      <c r="E485" s="3" t="s">
        <v>415</v>
      </c>
    </row>
    <row r="486" spans="1:5" x14ac:dyDescent="0.2">
      <c r="A486" s="3">
        <v>480</v>
      </c>
      <c r="B486" s="3" t="s">
        <v>52</v>
      </c>
      <c r="C486" s="3" t="s">
        <v>93</v>
      </c>
      <c r="D486" s="3" t="s">
        <v>1000</v>
      </c>
      <c r="E486" s="3" t="s">
        <v>791</v>
      </c>
    </row>
    <row r="487" spans="1:5" x14ac:dyDescent="0.2">
      <c r="A487" s="3">
        <v>481</v>
      </c>
      <c r="B487" s="3" t="s">
        <v>52</v>
      </c>
      <c r="C487" s="3" t="s">
        <v>93</v>
      </c>
      <c r="D487" s="3" t="s">
        <v>552</v>
      </c>
      <c r="E487" s="3" t="s">
        <v>799</v>
      </c>
    </row>
    <row r="488" spans="1:5" x14ac:dyDescent="0.2">
      <c r="A488" s="3">
        <v>482</v>
      </c>
      <c r="B488" s="3" t="s">
        <v>52</v>
      </c>
      <c r="C488" s="3" t="s">
        <v>93</v>
      </c>
      <c r="D488" s="3" t="s">
        <v>553</v>
      </c>
      <c r="E488" s="3" t="s">
        <v>799</v>
      </c>
    </row>
    <row r="489" spans="1:5" x14ac:dyDescent="0.2">
      <c r="A489" s="3">
        <v>483</v>
      </c>
      <c r="B489" s="3" t="s">
        <v>52</v>
      </c>
      <c r="C489" s="3" t="s">
        <v>93</v>
      </c>
      <c r="D489" s="3" t="s">
        <v>1001</v>
      </c>
      <c r="E489" s="3" t="s">
        <v>212</v>
      </c>
    </row>
    <row r="490" spans="1:5" x14ac:dyDescent="0.2">
      <c r="A490" s="3">
        <v>484</v>
      </c>
      <c r="B490" s="3" t="s">
        <v>52</v>
      </c>
      <c r="C490" s="3" t="s">
        <v>93</v>
      </c>
      <c r="D490" s="3" t="s">
        <v>1002</v>
      </c>
      <c r="E490" s="3" t="s">
        <v>799</v>
      </c>
    </row>
    <row r="491" spans="1:5" x14ac:dyDescent="0.2">
      <c r="A491" s="3">
        <v>485</v>
      </c>
      <c r="B491" s="3" t="s">
        <v>52</v>
      </c>
      <c r="C491" s="3" t="s">
        <v>93</v>
      </c>
      <c r="D491" s="3" t="s">
        <v>550</v>
      </c>
      <c r="E491" s="3" t="s">
        <v>490</v>
      </c>
    </row>
    <row r="492" spans="1:5" x14ac:dyDescent="0.2">
      <c r="A492" s="3">
        <v>486</v>
      </c>
      <c r="B492" s="3" t="s">
        <v>52</v>
      </c>
      <c r="C492" s="3" t="s">
        <v>93</v>
      </c>
      <c r="D492" s="3" t="s">
        <v>549</v>
      </c>
      <c r="E492" s="3" t="s">
        <v>791</v>
      </c>
    </row>
    <row r="493" spans="1:5" x14ac:dyDescent="0.2">
      <c r="A493" s="3">
        <v>487</v>
      </c>
      <c r="B493" s="3" t="s">
        <v>52</v>
      </c>
      <c r="C493" s="3" t="s">
        <v>93</v>
      </c>
      <c r="D493" s="3" t="s">
        <v>1003</v>
      </c>
      <c r="E493" s="3" t="s">
        <v>212</v>
      </c>
    </row>
    <row r="494" spans="1:5" x14ac:dyDescent="0.2">
      <c r="A494" s="3">
        <v>488</v>
      </c>
      <c r="B494" s="3" t="s">
        <v>52</v>
      </c>
      <c r="C494" s="3" t="s">
        <v>93</v>
      </c>
      <c r="D494" s="3" t="s">
        <v>551</v>
      </c>
      <c r="E494" s="3" t="s">
        <v>800</v>
      </c>
    </row>
    <row r="495" spans="1:5" x14ac:dyDescent="0.2">
      <c r="A495" s="3">
        <v>489</v>
      </c>
      <c r="B495" s="3" t="s">
        <v>52</v>
      </c>
      <c r="C495" s="3" t="s">
        <v>93</v>
      </c>
      <c r="D495" s="3" t="s">
        <v>1004</v>
      </c>
      <c r="E495" s="3" t="s">
        <v>212</v>
      </c>
    </row>
    <row r="496" spans="1:5" x14ac:dyDescent="0.2">
      <c r="A496" s="3">
        <v>490</v>
      </c>
      <c r="B496" s="3" t="s">
        <v>52</v>
      </c>
      <c r="C496" s="3" t="s">
        <v>93</v>
      </c>
      <c r="D496" s="3" t="s">
        <v>1005</v>
      </c>
      <c r="E496" s="3" t="s">
        <v>212</v>
      </c>
    </row>
    <row r="497" spans="1:5" x14ac:dyDescent="0.2">
      <c r="A497" s="3">
        <v>491</v>
      </c>
      <c r="B497" s="3" t="s">
        <v>52</v>
      </c>
      <c r="C497" s="3" t="s">
        <v>93</v>
      </c>
      <c r="D497" s="3" t="s">
        <v>1006</v>
      </c>
      <c r="E497" s="3" t="s">
        <v>212</v>
      </c>
    </row>
    <row r="498" spans="1:5" x14ac:dyDescent="0.2">
      <c r="A498" s="3">
        <v>492</v>
      </c>
      <c r="B498" s="3" t="s">
        <v>52</v>
      </c>
      <c r="C498" s="3" t="s">
        <v>93</v>
      </c>
      <c r="D498" s="3" t="s">
        <v>554</v>
      </c>
      <c r="E498" s="3" t="s">
        <v>212</v>
      </c>
    </row>
    <row r="499" spans="1:5" x14ac:dyDescent="0.2">
      <c r="A499" s="3">
        <v>493</v>
      </c>
      <c r="B499" s="3" t="s">
        <v>52</v>
      </c>
      <c r="C499" s="3" t="s">
        <v>93</v>
      </c>
      <c r="D499" s="3" t="s">
        <v>555</v>
      </c>
      <c r="E499" s="3" t="s">
        <v>212</v>
      </c>
    </row>
    <row r="500" spans="1:5" x14ac:dyDescent="0.2">
      <c r="A500" s="3">
        <v>494</v>
      </c>
      <c r="B500" s="3" t="s">
        <v>52</v>
      </c>
      <c r="C500" s="3" t="s">
        <v>93</v>
      </c>
      <c r="D500" s="3" t="s">
        <v>1007</v>
      </c>
      <c r="E500" s="3" t="s">
        <v>212</v>
      </c>
    </row>
    <row r="501" spans="1:5" x14ac:dyDescent="0.2">
      <c r="A501" s="3">
        <v>495</v>
      </c>
      <c r="B501" s="3" t="s">
        <v>52</v>
      </c>
      <c r="C501" s="3" t="s">
        <v>96</v>
      </c>
      <c r="D501" s="3" t="s">
        <v>557</v>
      </c>
      <c r="E501" s="3" t="s">
        <v>212</v>
      </c>
    </row>
    <row r="502" spans="1:5" x14ac:dyDescent="0.2">
      <c r="A502" s="3">
        <v>496</v>
      </c>
      <c r="B502" s="3" t="s">
        <v>52</v>
      </c>
      <c r="C502" s="3" t="s">
        <v>96</v>
      </c>
      <c r="D502" s="3" t="s">
        <v>556</v>
      </c>
      <c r="E502" s="3" t="s">
        <v>415</v>
      </c>
    </row>
    <row r="503" spans="1:5" x14ac:dyDescent="0.2">
      <c r="A503" s="3">
        <v>497</v>
      </c>
      <c r="B503" s="3" t="s">
        <v>52</v>
      </c>
      <c r="C503" s="3" t="s">
        <v>96</v>
      </c>
      <c r="D503" s="3" t="s">
        <v>1008</v>
      </c>
      <c r="E503" s="3" t="s">
        <v>559</v>
      </c>
    </row>
    <row r="504" spans="1:5" x14ac:dyDescent="0.2">
      <c r="A504" s="3">
        <v>498</v>
      </c>
      <c r="B504" s="3" t="s">
        <v>52</v>
      </c>
      <c r="C504" s="3" t="s">
        <v>96</v>
      </c>
      <c r="D504" s="3" t="s">
        <v>558</v>
      </c>
      <c r="E504" s="3" t="s">
        <v>212</v>
      </c>
    </row>
    <row r="505" spans="1:5" x14ac:dyDescent="0.2">
      <c r="A505" s="3">
        <v>499</v>
      </c>
      <c r="B505" s="3" t="s">
        <v>52</v>
      </c>
      <c r="C505" s="3" t="s">
        <v>96</v>
      </c>
      <c r="D505" s="3" t="s">
        <v>560</v>
      </c>
      <c r="E505" s="3" t="s">
        <v>212</v>
      </c>
    </row>
    <row r="506" spans="1:5" x14ac:dyDescent="0.2">
      <c r="A506" s="3">
        <v>500</v>
      </c>
      <c r="B506" s="3" t="s">
        <v>52</v>
      </c>
      <c r="C506" s="3" t="s">
        <v>96</v>
      </c>
      <c r="D506" s="3" t="s">
        <v>561</v>
      </c>
      <c r="E506" s="3" t="s">
        <v>819</v>
      </c>
    </row>
    <row r="507" spans="1:5" x14ac:dyDescent="0.2">
      <c r="A507" s="3">
        <v>501</v>
      </c>
      <c r="B507" s="3" t="s">
        <v>52</v>
      </c>
      <c r="C507" s="3" t="s">
        <v>98</v>
      </c>
      <c r="D507" s="3" t="s">
        <v>563</v>
      </c>
      <c r="E507" s="3" t="s">
        <v>212</v>
      </c>
    </row>
    <row r="508" spans="1:5" x14ac:dyDescent="0.2">
      <c r="A508" s="3">
        <v>502</v>
      </c>
      <c r="B508" s="3" t="s">
        <v>52</v>
      </c>
      <c r="C508" s="3" t="s">
        <v>98</v>
      </c>
      <c r="D508" s="3" t="s">
        <v>1009</v>
      </c>
      <c r="E508" s="3" t="s">
        <v>212</v>
      </c>
    </row>
    <row r="509" spans="1:5" x14ac:dyDescent="0.2">
      <c r="A509" s="3">
        <v>503</v>
      </c>
      <c r="B509" s="3" t="s">
        <v>52</v>
      </c>
      <c r="C509" s="3" t="s">
        <v>98</v>
      </c>
      <c r="D509" s="3" t="s">
        <v>1010</v>
      </c>
      <c r="E509" s="3" t="s">
        <v>212</v>
      </c>
    </row>
    <row r="510" spans="1:5" x14ac:dyDescent="0.2">
      <c r="A510" s="3">
        <v>504</v>
      </c>
      <c r="B510" s="3" t="s">
        <v>52</v>
      </c>
      <c r="C510" s="3" t="s">
        <v>98</v>
      </c>
      <c r="D510" s="3" t="s">
        <v>562</v>
      </c>
      <c r="E510" s="3" t="s">
        <v>212</v>
      </c>
    </row>
    <row r="511" spans="1:5" x14ac:dyDescent="0.2">
      <c r="A511" s="3">
        <v>505</v>
      </c>
      <c r="B511" s="3" t="s">
        <v>52</v>
      </c>
      <c r="C511" s="3" t="s">
        <v>98</v>
      </c>
      <c r="D511" s="3" t="s">
        <v>1011</v>
      </c>
      <c r="E511" s="3" t="s">
        <v>212</v>
      </c>
    </row>
    <row r="512" spans="1:5" x14ac:dyDescent="0.2">
      <c r="A512" s="3">
        <v>506</v>
      </c>
      <c r="B512" s="3" t="s">
        <v>52</v>
      </c>
      <c r="C512" s="3" t="s">
        <v>98</v>
      </c>
      <c r="D512" s="3" t="s">
        <v>1012</v>
      </c>
      <c r="E512" s="3" t="s">
        <v>212</v>
      </c>
    </row>
    <row r="513" spans="1:5" x14ac:dyDescent="0.2">
      <c r="A513" s="3">
        <v>507</v>
      </c>
      <c r="B513" s="3" t="s">
        <v>52</v>
      </c>
      <c r="C513" s="3" t="s">
        <v>98</v>
      </c>
      <c r="D513" s="3" t="s">
        <v>565</v>
      </c>
      <c r="E513" s="3" t="s">
        <v>249</v>
      </c>
    </row>
    <row r="514" spans="1:5" x14ac:dyDescent="0.2">
      <c r="A514" s="3">
        <v>508</v>
      </c>
      <c r="B514" s="3" t="s">
        <v>52</v>
      </c>
      <c r="C514" s="3" t="s">
        <v>98</v>
      </c>
      <c r="D514" s="3" t="s">
        <v>564</v>
      </c>
      <c r="E514" s="3" t="s">
        <v>212</v>
      </c>
    </row>
    <row r="515" spans="1:5" x14ac:dyDescent="0.2">
      <c r="A515" s="3">
        <v>509</v>
      </c>
      <c r="B515" s="3" t="s">
        <v>52</v>
      </c>
      <c r="C515" s="3" t="s">
        <v>98</v>
      </c>
      <c r="D515" s="3" t="s">
        <v>565</v>
      </c>
      <c r="E515" s="3" t="s">
        <v>249</v>
      </c>
    </row>
    <row r="516" spans="1:5" x14ac:dyDescent="0.2">
      <c r="A516" s="3">
        <v>510</v>
      </c>
      <c r="B516" s="3" t="s">
        <v>52</v>
      </c>
      <c r="C516" s="3" t="s">
        <v>98</v>
      </c>
      <c r="D516" s="3" t="s">
        <v>564</v>
      </c>
      <c r="E516" s="3" t="s">
        <v>212</v>
      </c>
    </row>
    <row r="517" spans="1:5" x14ac:dyDescent="0.2">
      <c r="A517" s="3">
        <v>511</v>
      </c>
      <c r="B517" s="3" t="s">
        <v>52</v>
      </c>
      <c r="C517" s="3" t="s">
        <v>98</v>
      </c>
      <c r="D517" s="3" t="s">
        <v>1013</v>
      </c>
      <c r="E517" s="3" t="s">
        <v>212</v>
      </c>
    </row>
    <row r="518" spans="1:5" x14ac:dyDescent="0.2">
      <c r="A518" s="3">
        <v>512</v>
      </c>
      <c r="B518" s="3" t="s">
        <v>52</v>
      </c>
      <c r="C518" s="3" t="s">
        <v>98</v>
      </c>
      <c r="D518" s="3" t="s">
        <v>1014</v>
      </c>
      <c r="E518" s="3" t="s">
        <v>795</v>
      </c>
    </row>
    <row r="519" spans="1:5" x14ac:dyDescent="0.2">
      <c r="A519" s="3">
        <v>513</v>
      </c>
      <c r="B519" s="3" t="s">
        <v>52</v>
      </c>
      <c r="C519" s="3" t="s">
        <v>98</v>
      </c>
      <c r="D519" s="3" t="s">
        <v>1015</v>
      </c>
      <c r="E519" s="3" t="s">
        <v>212</v>
      </c>
    </row>
    <row r="520" spans="1:5" x14ac:dyDescent="0.2">
      <c r="A520" s="3">
        <v>514</v>
      </c>
      <c r="B520" s="3" t="s">
        <v>52</v>
      </c>
      <c r="C520" s="3" t="s">
        <v>98</v>
      </c>
      <c r="D520" s="3" t="s">
        <v>1016</v>
      </c>
      <c r="E520" s="3" t="s">
        <v>212</v>
      </c>
    </row>
    <row r="521" spans="1:5" x14ac:dyDescent="0.2">
      <c r="A521" s="3">
        <v>515</v>
      </c>
      <c r="B521" s="3" t="s">
        <v>52</v>
      </c>
      <c r="C521" s="3" t="s">
        <v>98</v>
      </c>
      <c r="D521" s="3" t="s">
        <v>566</v>
      </c>
      <c r="E521" s="3" t="s">
        <v>212</v>
      </c>
    </row>
    <row r="522" spans="1:5" x14ac:dyDescent="0.2">
      <c r="A522" s="3">
        <v>516</v>
      </c>
      <c r="B522" s="3" t="s">
        <v>52</v>
      </c>
      <c r="C522" s="3" t="s">
        <v>98</v>
      </c>
      <c r="D522" s="3" t="s">
        <v>805</v>
      </c>
      <c r="E522" s="3" t="s">
        <v>214</v>
      </c>
    </row>
    <row r="523" spans="1:5" x14ac:dyDescent="0.2">
      <c r="A523" s="3">
        <v>517</v>
      </c>
      <c r="B523" s="3" t="s">
        <v>52</v>
      </c>
      <c r="C523" s="3" t="s">
        <v>98</v>
      </c>
      <c r="D523" s="3" t="s">
        <v>1017</v>
      </c>
      <c r="E523" s="3" t="s">
        <v>212</v>
      </c>
    </row>
    <row r="524" spans="1:5" x14ac:dyDescent="0.2">
      <c r="A524" s="3">
        <v>518</v>
      </c>
      <c r="B524" s="3" t="s">
        <v>52</v>
      </c>
      <c r="C524" s="3" t="s">
        <v>98</v>
      </c>
      <c r="D524" s="3" t="s">
        <v>1018</v>
      </c>
      <c r="E524" s="3" t="s">
        <v>212</v>
      </c>
    </row>
    <row r="525" spans="1:5" x14ac:dyDescent="0.2">
      <c r="A525" s="3">
        <v>519</v>
      </c>
      <c r="B525" s="3" t="s">
        <v>52</v>
      </c>
      <c r="C525" s="3" t="s">
        <v>98</v>
      </c>
      <c r="D525" s="3" t="s">
        <v>567</v>
      </c>
      <c r="E525" s="3" t="s">
        <v>212</v>
      </c>
    </row>
    <row r="526" spans="1:5" x14ac:dyDescent="0.2">
      <c r="A526" s="3">
        <v>520</v>
      </c>
      <c r="B526" s="3" t="s">
        <v>52</v>
      </c>
      <c r="C526" s="3" t="s">
        <v>98</v>
      </c>
      <c r="D526" s="3" t="s">
        <v>1019</v>
      </c>
      <c r="E526" s="3" t="s">
        <v>212</v>
      </c>
    </row>
    <row r="527" spans="1:5" x14ac:dyDescent="0.2">
      <c r="A527" s="3">
        <v>521</v>
      </c>
      <c r="B527" s="3" t="s">
        <v>52</v>
      </c>
      <c r="C527" s="3" t="s">
        <v>98</v>
      </c>
      <c r="D527" s="3" t="s">
        <v>568</v>
      </c>
      <c r="E527" s="3" t="s">
        <v>212</v>
      </c>
    </row>
    <row r="528" spans="1:5" x14ac:dyDescent="0.2">
      <c r="A528" s="3">
        <v>522</v>
      </c>
      <c r="B528" s="3" t="s">
        <v>52</v>
      </c>
      <c r="C528" s="3" t="s">
        <v>98</v>
      </c>
      <c r="D528" s="3" t="s">
        <v>569</v>
      </c>
      <c r="E528" s="3" t="s">
        <v>212</v>
      </c>
    </row>
    <row r="529" spans="1:5" x14ac:dyDescent="0.2">
      <c r="A529" s="3">
        <v>523</v>
      </c>
      <c r="B529" s="3" t="s">
        <v>52</v>
      </c>
      <c r="C529" s="3" t="s">
        <v>101</v>
      </c>
      <c r="D529" s="3" t="s">
        <v>1020</v>
      </c>
      <c r="E529" s="3" t="s">
        <v>794</v>
      </c>
    </row>
    <row r="530" spans="1:5" x14ac:dyDescent="0.2">
      <c r="A530" s="3">
        <v>524</v>
      </c>
      <c r="B530" s="3" t="s">
        <v>52</v>
      </c>
      <c r="C530" s="3" t="s">
        <v>101</v>
      </c>
      <c r="D530" s="3" t="s">
        <v>570</v>
      </c>
      <c r="E530" s="3" t="s">
        <v>794</v>
      </c>
    </row>
    <row r="531" spans="1:5" x14ac:dyDescent="0.2">
      <c r="A531" s="3">
        <v>525</v>
      </c>
      <c r="B531" s="3" t="s">
        <v>52</v>
      </c>
      <c r="C531" s="3" t="s">
        <v>101</v>
      </c>
      <c r="D531" s="3" t="s">
        <v>573</v>
      </c>
      <c r="E531" s="3" t="s">
        <v>212</v>
      </c>
    </row>
    <row r="532" spans="1:5" x14ac:dyDescent="0.2">
      <c r="A532" s="3">
        <v>526</v>
      </c>
      <c r="B532" s="3" t="s">
        <v>52</v>
      </c>
      <c r="C532" s="3" t="s">
        <v>101</v>
      </c>
      <c r="D532" s="3" t="s">
        <v>574</v>
      </c>
      <c r="E532" s="3" t="s">
        <v>793</v>
      </c>
    </row>
    <row r="533" spans="1:5" x14ac:dyDescent="0.2">
      <c r="A533" s="3">
        <v>527</v>
      </c>
      <c r="B533" s="3" t="s">
        <v>52</v>
      </c>
      <c r="C533" s="3" t="s">
        <v>101</v>
      </c>
      <c r="D533" s="3" t="s">
        <v>1021</v>
      </c>
      <c r="E533" s="3" t="s">
        <v>208</v>
      </c>
    </row>
    <row r="534" spans="1:5" x14ac:dyDescent="0.2">
      <c r="A534" s="3">
        <v>528</v>
      </c>
      <c r="B534" s="3" t="s">
        <v>52</v>
      </c>
      <c r="C534" s="3" t="s">
        <v>101</v>
      </c>
      <c r="D534" s="3" t="s">
        <v>1022</v>
      </c>
      <c r="E534" s="3" t="s">
        <v>794</v>
      </c>
    </row>
    <row r="535" spans="1:5" x14ac:dyDescent="0.2">
      <c r="A535" s="3">
        <v>529</v>
      </c>
      <c r="B535" s="3" t="s">
        <v>52</v>
      </c>
      <c r="C535" s="3" t="s">
        <v>101</v>
      </c>
      <c r="D535" s="3" t="s">
        <v>1023</v>
      </c>
      <c r="E535" s="3" t="s">
        <v>822</v>
      </c>
    </row>
    <row r="536" spans="1:5" x14ac:dyDescent="0.2">
      <c r="A536" s="3">
        <v>530</v>
      </c>
      <c r="B536" s="3" t="s">
        <v>52</v>
      </c>
      <c r="C536" s="3" t="s">
        <v>101</v>
      </c>
      <c r="D536" s="3" t="s">
        <v>1024</v>
      </c>
      <c r="E536" s="3" t="s">
        <v>313</v>
      </c>
    </row>
    <row r="537" spans="1:5" x14ac:dyDescent="0.2">
      <c r="A537" s="3">
        <v>531</v>
      </c>
      <c r="B537" s="3" t="s">
        <v>52</v>
      </c>
      <c r="C537" s="3" t="s">
        <v>101</v>
      </c>
      <c r="D537" s="3" t="s">
        <v>571</v>
      </c>
      <c r="E537" s="3" t="s">
        <v>794</v>
      </c>
    </row>
    <row r="538" spans="1:5" x14ac:dyDescent="0.2">
      <c r="A538" s="3">
        <v>532</v>
      </c>
      <c r="B538" s="3" t="s">
        <v>52</v>
      </c>
      <c r="C538" s="3" t="s">
        <v>101</v>
      </c>
      <c r="D538" s="3" t="s">
        <v>572</v>
      </c>
      <c r="E538" s="3" t="s">
        <v>208</v>
      </c>
    </row>
    <row r="539" spans="1:5" x14ac:dyDescent="0.2">
      <c r="A539" s="3">
        <v>533</v>
      </c>
      <c r="B539" s="3" t="s">
        <v>52</v>
      </c>
      <c r="C539" s="3" t="s">
        <v>169</v>
      </c>
      <c r="D539" s="3" t="s">
        <v>576</v>
      </c>
      <c r="E539" s="3" t="s">
        <v>212</v>
      </c>
    </row>
    <row r="540" spans="1:5" x14ac:dyDescent="0.2">
      <c r="A540" s="3">
        <v>534</v>
      </c>
      <c r="B540" s="3" t="s">
        <v>52</v>
      </c>
      <c r="C540" s="3" t="s">
        <v>169</v>
      </c>
      <c r="D540" s="3" t="s">
        <v>1025</v>
      </c>
      <c r="E540" s="3" t="s">
        <v>212</v>
      </c>
    </row>
    <row r="541" spans="1:5" x14ac:dyDescent="0.2">
      <c r="A541" s="3">
        <v>535</v>
      </c>
      <c r="B541" s="3" t="s">
        <v>52</v>
      </c>
      <c r="C541" s="3" t="s">
        <v>169</v>
      </c>
      <c r="D541" s="3" t="s">
        <v>1026</v>
      </c>
      <c r="E541" s="3" t="s">
        <v>249</v>
      </c>
    </row>
    <row r="542" spans="1:5" x14ac:dyDescent="0.2">
      <c r="A542" s="3">
        <v>536</v>
      </c>
      <c r="B542" s="3" t="s">
        <v>52</v>
      </c>
      <c r="C542" s="3" t="s">
        <v>169</v>
      </c>
      <c r="D542" s="3" t="s">
        <v>1027</v>
      </c>
      <c r="E542" s="3" t="s">
        <v>249</v>
      </c>
    </row>
    <row r="543" spans="1:5" x14ac:dyDescent="0.2">
      <c r="A543" s="3">
        <v>537</v>
      </c>
      <c r="B543" s="3" t="s">
        <v>52</v>
      </c>
      <c r="C543" s="3" t="s">
        <v>169</v>
      </c>
      <c r="D543" s="3" t="s">
        <v>1028</v>
      </c>
      <c r="E543" s="3" t="s">
        <v>460</v>
      </c>
    </row>
    <row r="544" spans="1:5" x14ac:dyDescent="0.2">
      <c r="A544" s="3">
        <v>538</v>
      </c>
      <c r="B544" s="3" t="s">
        <v>52</v>
      </c>
      <c r="C544" s="3" t="s">
        <v>169</v>
      </c>
      <c r="D544" s="3" t="s">
        <v>1029</v>
      </c>
      <c r="E544" s="3" t="s">
        <v>212</v>
      </c>
    </row>
    <row r="545" spans="1:5" x14ac:dyDescent="0.2">
      <c r="A545" s="3">
        <v>539</v>
      </c>
      <c r="B545" s="3" t="s">
        <v>52</v>
      </c>
      <c r="C545" s="3" t="s">
        <v>169</v>
      </c>
      <c r="D545" s="3" t="s">
        <v>577</v>
      </c>
      <c r="E545" s="3" t="s">
        <v>212</v>
      </c>
    </row>
    <row r="546" spans="1:5" x14ac:dyDescent="0.2">
      <c r="A546" s="3">
        <v>540</v>
      </c>
      <c r="B546" s="3" t="s">
        <v>52</v>
      </c>
      <c r="C546" s="3" t="s">
        <v>169</v>
      </c>
      <c r="D546" s="3" t="s">
        <v>578</v>
      </c>
      <c r="E546" s="3" t="s">
        <v>212</v>
      </c>
    </row>
    <row r="547" spans="1:5" x14ac:dyDescent="0.2">
      <c r="A547" s="3">
        <v>541</v>
      </c>
      <c r="B547" s="3" t="s">
        <v>52</v>
      </c>
      <c r="C547" s="3" t="s">
        <v>169</v>
      </c>
      <c r="D547" s="3" t="s">
        <v>1030</v>
      </c>
      <c r="E547" s="3" t="s">
        <v>212</v>
      </c>
    </row>
    <row r="548" spans="1:5" x14ac:dyDescent="0.2">
      <c r="A548" s="3">
        <v>542</v>
      </c>
      <c r="B548" s="3" t="s">
        <v>52</v>
      </c>
      <c r="C548" s="3" t="s">
        <v>169</v>
      </c>
      <c r="D548" s="3" t="s">
        <v>575</v>
      </c>
      <c r="E548" s="3" t="s">
        <v>212</v>
      </c>
    </row>
    <row r="549" spans="1:5" x14ac:dyDescent="0.2">
      <c r="A549" s="3">
        <v>543</v>
      </c>
      <c r="B549" s="3" t="s">
        <v>52</v>
      </c>
      <c r="C549" s="3" t="s">
        <v>185</v>
      </c>
      <c r="D549" s="3" t="s">
        <v>1031</v>
      </c>
      <c r="E549" s="3" t="s">
        <v>791</v>
      </c>
    </row>
    <row r="550" spans="1:5" x14ac:dyDescent="0.2">
      <c r="A550" s="3">
        <v>544</v>
      </c>
      <c r="B550" s="3" t="s">
        <v>52</v>
      </c>
      <c r="C550" s="3" t="s">
        <v>185</v>
      </c>
      <c r="D550" s="3" t="s">
        <v>1032</v>
      </c>
      <c r="E550" s="3" t="s">
        <v>212</v>
      </c>
    </row>
    <row r="551" spans="1:5" x14ac:dyDescent="0.2">
      <c r="A551" s="3">
        <v>545</v>
      </c>
      <c r="B551" s="3" t="s">
        <v>52</v>
      </c>
      <c r="C551" s="3" t="s">
        <v>185</v>
      </c>
      <c r="D551" s="3" t="s">
        <v>579</v>
      </c>
      <c r="E551" s="3" t="s">
        <v>212</v>
      </c>
    </row>
    <row r="552" spans="1:5" x14ac:dyDescent="0.2">
      <c r="A552" s="3">
        <v>546</v>
      </c>
      <c r="B552" s="3" t="s">
        <v>52</v>
      </c>
      <c r="C552" s="3" t="s">
        <v>185</v>
      </c>
      <c r="D552" s="3" t="s">
        <v>580</v>
      </c>
      <c r="E552" s="3" t="s">
        <v>795</v>
      </c>
    </row>
    <row r="553" spans="1:5" x14ac:dyDescent="0.2">
      <c r="A553" s="3">
        <v>547</v>
      </c>
      <c r="B553" s="3" t="s">
        <v>52</v>
      </c>
      <c r="C553" s="3" t="s">
        <v>185</v>
      </c>
      <c r="D553" s="3" t="s">
        <v>1033</v>
      </c>
      <c r="E553" s="3" t="s">
        <v>793</v>
      </c>
    </row>
    <row r="554" spans="1:5" x14ac:dyDescent="0.2">
      <c r="A554" s="3">
        <v>548</v>
      </c>
      <c r="B554" s="3" t="s">
        <v>52</v>
      </c>
      <c r="C554" s="3" t="s">
        <v>185</v>
      </c>
      <c r="D554" s="3" t="s">
        <v>581</v>
      </c>
      <c r="E554" s="3" t="s">
        <v>212</v>
      </c>
    </row>
    <row r="555" spans="1:5" x14ac:dyDescent="0.2">
      <c r="A555" s="3">
        <v>549</v>
      </c>
      <c r="B555" s="3" t="s">
        <v>52</v>
      </c>
      <c r="C555" s="3" t="s">
        <v>582</v>
      </c>
      <c r="D555" s="3" t="s">
        <v>1034</v>
      </c>
      <c r="E555" s="3" t="s">
        <v>791</v>
      </c>
    </row>
    <row r="556" spans="1:5" x14ac:dyDescent="0.2">
      <c r="A556" s="3">
        <v>550</v>
      </c>
      <c r="B556" s="3" t="s">
        <v>52</v>
      </c>
      <c r="C556" s="3" t="s">
        <v>582</v>
      </c>
      <c r="D556" s="3" t="s">
        <v>1035</v>
      </c>
      <c r="E556" s="3" t="s">
        <v>799</v>
      </c>
    </row>
    <row r="557" spans="1:5" x14ac:dyDescent="0.2">
      <c r="A557" s="3">
        <v>551</v>
      </c>
      <c r="B557" s="3" t="s">
        <v>52</v>
      </c>
      <c r="C557" s="3" t="s">
        <v>582</v>
      </c>
      <c r="D557" s="3" t="s">
        <v>583</v>
      </c>
      <c r="E557" s="3" t="s">
        <v>799</v>
      </c>
    </row>
    <row r="558" spans="1:5" x14ac:dyDescent="0.2">
      <c r="A558" s="3">
        <v>552</v>
      </c>
      <c r="B558" s="3" t="s">
        <v>52</v>
      </c>
      <c r="C558" s="3" t="s">
        <v>582</v>
      </c>
      <c r="D558" s="3" t="s">
        <v>584</v>
      </c>
      <c r="E558" s="3" t="s">
        <v>799</v>
      </c>
    </row>
    <row r="559" spans="1:5" x14ac:dyDescent="0.2">
      <c r="A559" s="3">
        <v>553</v>
      </c>
      <c r="B559" s="3" t="s">
        <v>52</v>
      </c>
      <c r="C559" s="3" t="s">
        <v>582</v>
      </c>
      <c r="D559" s="3" t="s">
        <v>1036</v>
      </c>
      <c r="E559" s="3" t="s">
        <v>212</v>
      </c>
    </row>
    <row r="560" spans="1:5" x14ac:dyDescent="0.2">
      <c r="A560" s="3">
        <v>554</v>
      </c>
      <c r="B560" s="3" t="s">
        <v>52</v>
      </c>
      <c r="C560" s="3" t="s">
        <v>582</v>
      </c>
      <c r="D560" s="3" t="s">
        <v>585</v>
      </c>
      <c r="E560" s="3" t="s">
        <v>208</v>
      </c>
    </row>
    <row r="561" spans="1:5" x14ac:dyDescent="0.2">
      <c r="A561" s="3">
        <v>555</v>
      </c>
      <c r="B561" s="3" t="s">
        <v>53</v>
      </c>
      <c r="C561" s="3" t="s">
        <v>103</v>
      </c>
      <c r="D561" s="3" t="s">
        <v>586</v>
      </c>
      <c r="E561" s="3" t="s">
        <v>587</v>
      </c>
    </row>
    <row r="562" spans="1:5" x14ac:dyDescent="0.2">
      <c r="A562" s="3">
        <v>556</v>
      </c>
      <c r="B562" s="3" t="s">
        <v>53</v>
      </c>
      <c r="C562" s="3" t="s">
        <v>103</v>
      </c>
      <c r="D562" s="3" t="s">
        <v>1037</v>
      </c>
      <c r="E562" s="3" t="s">
        <v>791</v>
      </c>
    </row>
    <row r="563" spans="1:5" x14ac:dyDescent="0.2">
      <c r="A563" s="3">
        <v>557</v>
      </c>
      <c r="B563" s="3" t="s">
        <v>53</v>
      </c>
      <c r="C563" s="3" t="s">
        <v>103</v>
      </c>
      <c r="D563" s="3" t="s">
        <v>1038</v>
      </c>
      <c r="E563" s="3" t="s">
        <v>792</v>
      </c>
    </row>
    <row r="564" spans="1:5" x14ac:dyDescent="0.2">
      <c r="A564" s="3">
        <v>558</v>
      </c>
      <c r="B564" s="3" t="s">
        <v>53</v>
      </c>
      <c r="C564" s="3" t="s">
        <v>103</v>
      </c>
      <c r="D564" s="3" t="s">
        <v>1039</v>
      </c>
      <c r="E564" s="3" t="s">
        <v>212</v>
      </c>
    </row>
    <row r="565" spans="1:5" x14ac:dyDescent="0.2">
      <c r="A565" s="3">
        <v>559</v>
      </c>
      <c r="B565" s="3" t="s">
        <v>53</v>
      </c>
      <c r="C565" s="3" t="s">
        <v>103</v>
      </c>
      <c r="D565" s="3" t="s">
        <v>1040</v>
      </c>
      <c r="E565" s="3" t="s">
        <v>249</v>
      </c>
    </row>
    <row r="566" spans="1:5" x14ac:dyDescent="0.2">
      <c r="A566" s="3">
        <v>560</v>
      </c>
      <c r="B566" s="3" t="s">
        <v>53</v>
      </c>
      <c r="C566" s="3" t="s">
        <v>103</v>
      </c>
      <c r="D566" s="3" t="s">
        <v>1041</v>
      </c>
      <c r="E566" s="3" t="s">
        <v>587</v>
      </c>
    </row>
    <row r="567" spans="1:5" x14ac:dyDescent="0.2">
      <c r="A567" s="3">
        <v>561</v>
      </c>
      <c r="B567" s="3" t="s">
        <v>53</v>
      </c>
      <c r="C567" s="3" t="s">
        <v>104</v>
      </c>
      <c r="D567" s="3" t="s">
        <v>588</v>
      </c>
      <c r="E567" s="3" t="s">
        <v>212</v>
      </c>
    </row>
    <row r="568" spans="1:5" x14ac:dyDescent="0.2">
      <c r="A568" s="3">
        <v>562</v>
      </c>
      <c r="B568" s="3" t="s">
        <v>53</v>
      </c>
      <c r="C568" s="3" t="s">
        <v>104</v>
      </c>
      <c r="D568" s="3" t="s">
        <v>589</v>
      </c>
      <c r="E568" s="3" t="s">
        <v>796</v>
      </c>
    </row>
    <row r="569" spans="1:5" x14ac:dyDescent="0.2">
      <c r="A569" s="3">
        <v>563</v>
      </c>
      <c r="B569" s="3" t="s">
        <v>53</v>
      </c>
      <c r="C569" s="3" t="s">
        <v>104</v>
      </c>
      <c r="D569" s="3" t="s">
        <v>591</v>
      </c>
      <c r="E569" s="3" t="s">
        <v>450</v>
      </c>
    </row>
    <row r="570" spans="1:5" x14ac:dyDescent="0.2">
      <c r="A570" s="3">
        <v>564</v>
      </c>
      <c r="B570" s="3" t="s">
        <v>53</v>
      </c>
      <c r="C570" s="3" t="s">
        <v>104</v>
      </c>
      <c r="D570" s="3" t="s">
        <v>590</v>
      </c>
      <c r="E570" s="3" t="s">
        <v>212</v>
      </c>
    </row>
    <row r="571" spans="1:5" x14ac:dyDescent="0.2">
      <c r="A571" s="3">
        <v>565</v>
      </c>
      <c r="B571" s="3" t="s">
        <v>53</v>
      </c>
      <c r="C571" s="3" t="s">
        <v>107</v>
      </c>
      <c r="D571" s="3" t="s">
        <v>1042</v>
      </c>
      <c r="E571" s="3" t="s">
        <v>212</v>
      </c>
    </row>
    <row r="572" spans="1:5" x14ac:dyDescent="0.2">
      <c r="A572" s="3">
        <v>566</v>
      </c>
      <c r="B572" s="3" t="s">
        <v>53</v>
      </c>
      <c r="C572" s="3" t="s">
        <v>107</v>
      </c>
      <c r="D572" s="3" t="s">
        <v>592</v>
      </c>
      <c r="E572" s="3" t="s">
        <v>791</v>
      </c>
    </row>
    <row r="573" spans="1:5" x14ac:dyDescent="0.2">
      <c r="A573" s="3">
        <v>567</v>
      </c>
      <c r="B573" s="3" t="s">
        <v>53</v>
      </c>
      <c r="C573" s="3" t="s">
        <v>107</v>
      </c>
      <c r="D573" s="3" t="s">
        <v>1043</v>
      </c>
      <c r="E573" s="3" t="s">
        <v>418</v>
      </c>
    </row>
    <row r="574" spans="1:5" x14ac:dyDescent="0.2">
      <c r="A574" s="3">
        <v>568</v>
      </c>
      <c r="B574" s="3" t="s">
        <v>53</v>
      </c>
      <c r="C574" s="3" t="s">
        <v>107</v>
      </c>
      <c r="D574" s="3" t="s">
        <v>1044</v>
      </c>
      <c r="E574" s="3" t="s">
        <v>238</v>
      </c>
    </row>
    <row r="575" spans="1:5" x14ac:dyDescent="0.2">
      <c r="A575" s="3">
        <v>569</v>
      </c>
      <c r="B575" s="3" t="s">
        <v>53</v>
      </c>
      <c r="C575" s="3" t="s">
        <v>108</v>
      </c>
      <c r="D575" s="3" t="s">
        <v>1045</v>
      </c>
      <c r="E575" s="3" t="s">
        <v>593</v>
      </c>
    </row>
    <row r="576" spans="1:5" x14ac:dyDescent="0.2">
      <c r="A576" s="3">
        <v>570</v>
      </c>
      <c r="B576" s="3" t="s">
        <v>53</v>
      </c>
      <c r="C576" s="3" t="s">
        <v>108</v>
      </c>
      <c r="D576" s="3" t="s">
        <v>1046</v>
      </c>
      <c r="E576" s="3" t="s">
        <v>791</v>
      </c>
    </row>
    <row r="577" spans="1:5" x14ac:dyDescent="0.2">
      <c r="A577" s="3">
        <v>571</v>
      </c>
      <c r="B577" s="3" t="s">
        <v>53</v>
      </c>
      <c r="C577" s="3" t="s">
        <v>108</v>
      </c>
      <c r="D577" s="3" t="s">
        <v>1047</v>
      </c>
      <c r="E577" s="3" t="s">
        <v>791</v>
      </c>
    </row>
    <row r="578" spans="1:5" x14ac:dyDescent="0.2">
      <c r="A578" s="3">
        <v>572</v>
      </c>
      <c r="B578" s="3" t="s">
        <v>53</v>
      </c>
      <c r="C578" s="3" t="s">
        <v>108</v>
      </c>
      <c r="D578" s="3" t="s">
        <v>1048</v>
      </c>
      <c r="E578" s="3" t="s">
        <v>212</v>
      </c>
    </row>
    <row r="579" spans="1:5" x14ac:dyDescent="0.2">
      <c r="A579" s="3">
        <v>573</v>
      </c>
      <c r="B579" s="3" t="s">
        <v>53</v>
      </c>
      <c r="C579" s="3" t="s">
        <v>110</v>
      </c>
      <c r="D579" s="3" t="s">
        <v>594</v>
      </c>
      <c r="E579" s="3" t="s">
        <v>235</v>
      </c>
    </row>
    <row r="580" spans="1:5" x14ac:dyDescent="0.2">
      <c r="A580" s="3">
        <v>574</v>
      </c>
      <c r="B580" s="3" t="s">
        <v>53</v>
      </c>
      <c r="C580" s="3" t="s">
        <v>110</v>
      </c>
      <c r="D580" s="3" t="s">
        <v>1049</v>
      </c>
      <c r="E580" s="3" t="s">
        <v>208</v>
      </c>
    </row>
    <row r="581" spans="1:5" x14ac:dyDescent="0.2">
      <c r="A581" s="3">
        <v>575</v>
      </c>
      <c r="B581" s="3" t="s">
        <v>53</v>
      </c>
      <c r="C581" s="3" t="s">
        <v>110</v>
      </c>
      <c r="D581" s="3" t="s">
        <v>1050</v>
      </c>
      <c r="E581" s="3" t="s">
        <v>249</v>
      </c>
    </row>
    <row r="582" spans="1:5" x14ac:dyDescent="0.2">
      <c r="A582" s="3">
        <v>576</v>
      </c>
      <c r="B582" s="3" t="s">
        <v>53</v>
      </c>
      <c r="C582" s="3" t="s">
        <v>110</v>
      </c>
      <c r="D582" s="3" t="s">
        <v>1051</v>
      </c>
      <c r="E582" s="3" t="s">
        <v>212</v>
      </c>
    </row>
    <row r="583" spans="1:5" x14ac:dyDescent="0.2">
      <c r="A583" s="3">
        <v>577</v>
      </c>
      <c r="B583" s="3" t="s">
        <v>53</v>
      </c>
      <c r="C583" s="3" t="s">
        <v>110</v>
      </c>
      <c r="D583" s="3" t="s">
        <v>1052</v>
      </c>
      <c r="E583" s="3" t="s">
        <v>208</v>
      </c>
    </row>
    <row r="584" spans="1:5" x14ac:dyDescent="0.2">
      <c r="A584" s="3">
        <v>578</v>
      </c>
      <c r="B584" s="3" t="s">
        <v>53</v>
      </c>
      <c r="C584" s="3" t="s">
        <v>110</v>
      </c>
      <c r="D584" s="3" t="s">
        <v>1053</v>
      </c>
      <c r="E584" s="3" t="s">
        <v>460</v>
      </c>
    </row>
    <row r="585" spans="1:5" x14ac:dyDescent="0.2">
      <c r="A585" s="3">
        <v>579</v>
      </c>
      <c r="B585" s="3" t="s">
        <v>53</v>
      </c>
      <c r="C585" s="3" t="s">
        <v>112</v>
      </c>
      <c r="D585" s="3" t="s">
        <v>595</v>
      </c>
      <c r="E585" s="3" t="s">
        <v>791</v>
      </c>
    </row>
    <row r="586" spans="1:5" x14ac:dyDescent="0.2">
      <c r="A586" s="3">
        <v>580</v>
      </c>
      <c r="B586" s="3" t="s">
        <v>53</v>
      </c>
      <c r="C586" s="3" t="s">
        <v>112</v>
      </c>
      <c r="D586" s="3" t="s">
        <v>1054</v>
      </c>
      <c r="E586" s="3" t="s">
        <v>212</v>
      </c>
    </row>
    <row r="587" spans="1:5" x14ac:dyDescent="0.2">
      <c r="A587" s="3">
        <v>581</v>
      </c>
      <c r="B587" s="3" t="s">
        <v>53</v>
      </c>
      <c r="C587" s="3" t="s">
        <v>112</v>
      </c>
      <c r="D587" s="3" t="s">
        <v>1055</v>
      </c>
      <c r="E587" s="3" t="s">
        <v>801</v>
      </c>
    </row>
    <row r="588" spans="1:5" x14ac:dyDescent="0.2">
      <c r="A588" s="3">
        <v>582</v>
      </c>
      <c r="B588" s="3" t="s">
        <v>53</v>
      </c>
      <c r="C588" s="3" t="s">
        <v>112</v>
      </c>
      <c r="D588" s="3" t="s">
        <v>1056</v>
      </c>
      <c r="E588" s="3" t="s">
        <v>791</v>
      </c>
    </row>
    <row r="589" spans="1:5" x14ac:dyDescent="0.2">
      <c r="A589" s="3">
        <v>583</v>
      </c>
      <c r="B589" s="3" t="s">
        <v>53</v>
      </c>
      <c r="C589" s="3" t="s">
        <v>113</v>
      </c>
      <c r="D589" s="3" t="s">
        <v>828</v>
      </c>
      <c r="E589" s="3" t="s">
        <v>806</v>
      </c>
    </row>
    <row r="590" spans="1:5" x14ac:dyDescent="0.2">
      <c r="A590" s="3">
        <v>584</v>
      </c>
      <c r="B590" s="3" t="s">
        <v>53</v>
      </c>
      <c r="C590" s="3" t="s">
        <v>113</v>
      </c>
      <c r="D590" s="3" t="s">
        <v>829</v>
      </c>
      <c r="E590" s="3" t="s">
        <v>212</v>
      </c>
    </row>
    <row r="591" spans="1:5" x14ac:dyDescent="0.2">
      <c r="A591" s="3">
        <v>585</v>
      </c>
      <c r="B591" s="3" t="s">
        <v>53</v>
      </c>
      <c r="C591" s="3" t="s">
        <v>113</v>
      </c>
      <c r="D591" s="3" t="s">
        <v>1057</v>
      </c>
      <c r="E591" s="3" t="s">
        <v>249</v>
      </c>
    </row>
    <row r="592" spans="1:5" x14ac:dyDescent="0.2">
      <c r="A592" s="3">
        <v>586</v>
      </c>
      <c r="B592" s="3" t="s">
        <v>53</v>
      </c>
      <c r="C592" s="3" t="s">
        <v>113</v>
      </c>
      <c r="D592" s="3" t="s">
        <v>1058</v>
      </c>
      <c r="E592" s="3" t="s">
        <v>418</v>
      </c>
    </row>
    <row r="593" spans="1:5" x14ac:dyDescent="0.2">
      <c r="A593" s="3">
        <v>587</v>
      </c>
      <c r="B593" s="3" t="s">
        <v>53</v>
      </c>
      <c r="C593" s="3" t="s">
        <v>113</v>
      </c>
      <c r="D593" s="3" t="s">
        <v>1059</v>
      </c>
      <c r="E593" s="3" t="s">
        <v>596</v>
      </c>
    </row>
    <row r="594" spans="1:5" x14ac:dyDescent="0.2">
      <c r="A594" s="3">
        <v>588</v>
      </c>
      <c r="B594" s="3" t="s">
        <v>53</v>
      </c>
      <c r="C594" s="3" t="s">
        <v>113</v>
      </c>
      <c r="D594" s="3" t="s">
        <v>830</v>
      </c>
      <c r="E594" s="3" t="s">
        <v>212</v>
      </c>
    </row>
    <row r="595" spans="1:5" x14ac:dyDescent="0.2">
      <c r="A595" s="3">
        <v>589</v>
      </c>
      <c r="B595" s="3" t="s">
        <v>53</v>
      </c>
      <c r="C595" s="3" t="s">
        <v>116</v>
      </c>
      <c r="D595" s="3" t="s">
        <v>807</v>
      </c>
      <c r="E595" s="3" t="s">
        <v>587</v>
      </c>
    </row>
    <row r="596" spans="1:5" x14ac:dyDescent="0.2">
      <c r="A596" s="3">
        <v>590</v>
      </c>
      <c r="B596" s="3" t="s">
        <v>53</v>
      </c>
      <c r="C596" s="3" t="s">
        <v>116</v>
      </c>
      <c r="D596" s="3" t="s">
        <v>1060</v>
      </c>
      <c r="E596" s="3" t="s">
        <v>212</v>
      </c>
    </row>
    <row r="597" spans="1:5" x14ac:dyDescent="0.2">
      <c r="A597" s="3">
        <v>591</v>
      </c>
      <c r="B597" s="3" t="s">
        <v>53</v>
      </c>
      <c r="C597" s="3" t="s">
        <v>116</v>
      </c>
      <c r="D597" s="3" t="s">
        <v>1061</v>
      </c>
      <c r="E597" s="3" t="s">
        <v>212</v>
      </c>
    </row>
    <row r="598" spans="1:5" x14ac:dyDescent="0.2">
      <c r="A598" s="3">
        <v>592</v>
      </c>
      <c r="B598" s="3" t="s">
        <v>53</v>
      </c>
      <c r="C598" s="3" t="s">
        <v>116</v>
      </c>
      <c r="D598" s="3" t="s">
        <v>1062</v>
      </c>
      <c r="E598" s="3" t="s">
        <v>212</v>
      </c>
    </row>
    <row r="599" spans="1:5" x14ac:dyDescent="0.2">
      <c r="A599" s="3">
        <v>593</v>
      </c>
      <c r="B599" s="3" t="s">
        <v>53</v>
      </c>
      <c r="C599" s="3" t="s">
        <v>116</v>
      </c>
      <c r="D599" s="3" t="s">
        <v>1063</v>
      </c>
      <c r="E599" s="3" t="s">
        <v>212</v>
      </c>
    </row>
    <row r="600" spans="1:5" x14ac:dyDescent="0.2">
      <c r="A600" s="3">
        <v>594</v>
      </c>
      <c r="B600" s="3" t="s">
        <v>53</v>
      </c>
      <c r="C600" s="3" t="s">
        <v>116</v>
      </c>
      <c r="D600" s="3" t="s">
        <v>1064</v>
      </c>
      <c r="E600" s="3" t="s">
        <v>212</v>
      </c>
    </row>
    <row r="601" spans="1:5" x14ac:dyDescent="0.2">
      <c r="A601" s="3">
        <v>595</v>
      </c>
      <c r="B601" s="3" t="s">
        <v>53</v>
      </c>
      <c r="C601" s="3" t="s">
        <v>119</v>
      </c>
      <c r="D601" s="3" t="s">
        <v>1065</v>
      </c>
      <c r="E601" s="3" t="s">
        <v>212</v>
      </c>
    </row>
    <row r="602" spans="1:5" x14ac:dyDescent="0.2">
      <c r="A602" s="3">
        <v>596</v>
      </c>
      <c r="B602" s="3" t="s">
        <v>53</v>
      </c>
      <c r="C602" s="3" t="s">
        <v>119</v>
      </c>
      <c r="D602" s="3" t="s">
        <v>1066</v>
      </c>
      <c r="E602" s="3" t="s">
        <v>212</v>
      </c>
    </row>
    <row r="603" spans="1:5" x14ac:dyDescent="0.2">
      <c r="A603" s="3">
        <v>597</v>
      </c>
      <c r="B603" s="3" t="s">
        <v>53</v>
      </c>
      <c r="C603" s="3" t="s">
        <v>119</v>
      </c>
      <c r="D603" s="3" t="s">
        <v>809</v>
      </c>
      <c r="E603" s="3" t="s">
        <v>212</v>
      </c>
    </row>
    <row r="604" spans="1:5" x14ac:dyDescent="0.2">
      <c r="A604" s="3">
        <v>598</v>
      </c>
      <c r="B604" s="3" t="s">
        <v>53</v>
      </c>
      <c r="C604" s="3" t="s">
        <v>119</v>
      </c>
      <c r="D604" s="3" t="s">
        <v>1067</v>
      </c>
      <c r="E604" s="3" t="s">
        <v>212</v>
      </c>
    </row>
    <row r="605" spans="1:5" x14ac:dyDescent="0.2">
      <c r="A605" s="3">
        <v>599</v>
      </c>
      <c r="B605" s="3" t="s">
        <v>53</v>
      </c>
      <c r="C605" s="3" t="s">
        <v>119</v>
      </c>
      <c r="D605" s="3" t="s">
        <v>808</v>
      </c>
      <c r="E605" s="3" t="s">
        <v>791</v>
      </c>
    </row>
    <row r="606" spans="1:5" x14ac:dyDescent="0.2">
      <c r="A606" s="3">
        <v>600</v>
      </c>
      <c r="B606" s="3" t="s">
        <v>53</v>
      </c>
      <c r="C606" s="3" t="s">
        <v>119</v>
      </c>
      <c r="D606" s="3" t="s">
        <v>1068</v>
      </c>
      <c r="E606" s="3" t="s">
        <v>791</v>
      </c>
    </row>
    <row r="607" spans="1:5" x14ac:dyDescent="0.2">
      <c r="A607" s="3">
        <v>601</v>
      </c>
      <c r="B607" s="3" t="s">
        <v>53</v>
      </c>
      <c r="C607" s="3" t="s">
        <v>121</v>
      </c>
      <c r="D607" s="3" t="s">
        <v>810</v>
      </c>
      <c r="E607" s="3" t="s">
        <v>212</v>
      </c>
    </row>
    <row r="608" spans="1:5" x14ac:dyDescent="0.2">
      <c r="A608" s="3">
        <v>602</v>
      </c>
      <c r="B608" s="3" t="s">
        <v>53</v>
      </c>
      <c r="C608" s="3" t="s">
        <v>121</v>
      </c>
      <c r="D608" s="3" t="s">
        <v>1069</v>
      </c>
      <c r="E608" s="3" t="s">
        <v>212</v>
      </c>
    </row>
    <row r="609" spans="1:5" x14ac:dyDescent="0.2">
      <c r="A609" s="3">
        <v>603</v>
      </c>
      <c r="B609" s="3" t="s">
        <v>53</v>
      </c>
      <c r="C609" s="3" t="s">
        <v>121</v>
      </c>
      <c r="D609" s="3" t="s">
        <v>1070</v>
      </c>
      <c r="E609" s="3" t="s">
        <v>212</v>
      </c>
    </row>
    <row r="610" spans="1:5" x14ac:dyDescent="0.2">
      <c r="A610" s="3">
        <v>604</v>
      </c>
      <c r="B610" s="3" t="s">
        <v>53</v>
      </c>
      <c r="C610" s="3" t="s">
        <v>121</v>
      </c>
      <c r="D610" s="3" t="s">
        <v>1071</v>
      </c>
      <c r="E610" s="3" t="s">
        <v>587</v>
      </c>
    </row>
    <row r="611" spans="1:5" x14ac:dyDescent="0.2">
      <c r="A611" s="3">
        <v>605</v>
      </c>
      <c r="B611" s="3" t="s">
        <v>53</v>
      </c>
      <c r="C611" s="3" t="s">
        <v>121</v>
      </c>
      <c r="D611" s="3" t="s">
        <v>831</v>
      </c>
      <c r="E611" s="3" t="s">
        <v>212</v>
      </c>
    </row>
    <row r="612" spans="1:5" x14ac:dyDescent="0.2">
      <c r="A612" s="3">
        <v>606</v>
      </c>
      <c r="B612" s="3" t="s">
        <v>53</v>
      </c>
      <c r="C612" s="3" t="s">
        <v>121</v>
      </c>
      <c r="D612" s="3" t="s">
        <v>832</v>
      </c>
      <c r="E612" s="3" t="s">
        <v>523</v>
      </c>
    </row>
    <row r="613" spans="1:5" x14ac:dyDescent="0.2">
      <c r="A613" s="3">
        <v>607</v>
      </c>
      <c r="B613" s="3" t="s">
        <v>53</v>
      </c>
      <c r="C613" s="3" t="s">
        <v>53</v>
      </c>
      <c r="D613" s="3" t="s">
        <v>1072</v>
      </c>
      <c r="E613" s="3" t="s">
        <v>212</v>
      </c>
    </row>
    <row r="614" spans="1:5" x14ac:dyDescent="0.2">
      <c r="A614" s="3">
        <v>608</v>
      </c>
      <c r="B614" s="3" t="s">
        <v>53</v>
      </c>
      <c r="C614" s="3" t="s">
        <v>53</v>
      </c>
      <c r="D614" s="3" t="s">
        <v>1073</v>
      </c>
      <c r="E614" s="3" t="s">
        <v>212</v>
      </c>
    </row>
    <row r="615" spans="1:5" x14ac:dyDescent="0.2">
      <c r="A615" s="3">
        <v>609</v>
      </c>
      <c r="B615" s="3" t="s">
        <v>53</v>
      </c>
      <c r="C615" s="3" t="s">
        <v>53</v>
      </c>
      <c r="D615" s="3" t="s">
        <v>598</v>
      </c>
      <c r="E615" s="3" t="s">
        <v>212</v>
      </c>
    </row>
    <row r="616" spans="1:5" x14ac:dyDescent="0.2">
      <c r="A616" s="3">
        <v>610</v>
      </c>
      <c r="B616" s="3" t="s">
        <v>53</v>
      </c>
      <c r="C616" s="3" t="s">
        <v>53</v>
      </c>
      <c r="D616" s="3" t="s">
        <v>1074</v>
      </c>
      <c r="E616" s="3" t="s">
        <v>212</v>
      </c>
    </row>
    <row r="617" spans="1:5" x14ac:dyDescent="0.2">
      <c r="A617" s="3">
        <v>611</v>
      </c>
      <c r="B617" s="3" t="s">
        <v>53</v>
      </c>
      <c r="C617" s="3" t="s">
        <v>53</v>
      </c>
      <c r="D617" s="3" t="s">
        <v>1075</v>
      </c>
      <c r="E617" s="3" t="s">
        <v>212</v>
      </c>
    </row>
    <row r="618" spans="1:5" x14ac:dyDescent="0.2">
      <c r="A618" s="3">
        <v>612</v>
      </c>
      <c r="B618" s="3" t="s">
        <v>53</v>
      </c>
      <c r="C618" s="3" t="s">
        <v>53</v>
      </c>
      <c r="D618" s="3" t="s">
        <v>599</v>
      </c>
      <c r="E618" s="3" t="s">
        <v>212</v>
      </c>
    </row>
    <row r="619" spans="1:5" x14ac:dyDescent="0.2">
      <c r="A619" s="3">
        <v>613</v>
      </c>
      <c r="B619" s="3" t="s">
        <v>53</v>
      </c>
      <c r="C619" s="3" t="s">
        <v>123</v>
      </c>
      <c r="D619" s="3" t="s">
        <v>1076</v>
      </c>
      <c r="E619" s="3" t="s">
        <v>795</v>
      </c>
    </row>
    <row r="620" spans="1:5" x14ac:dyDescent="0.2">
      <c r="A620" s="3">
        <v>614</v>
      </c>
      <c r="B620" s="3" t="s">
        <v>53</v>
      </c>
      <c r="C620" s="3" t="s">
        <v>123</v>
      </c>
      <c r="D620" s="3" t="s">
        <v>1077</v>
      </c>
      <c r="E620" s="3" t="s">
        <v>212</v>
      </c>
    </row>
    <row r="621" spans="1:5" x14ac:dyDescent="0.2">
      <c r="A621" s="3">
        <v>615</v>
      </c>
      <c r="B621" s="3" t="s">
        <v>53</v>
      </c>
      <c r="C621" s="3" t="s">
        <v>123</v>
      </c>
      <c r="D621" s="3" t="s">
        <v>833</v>
      </c>
      <c r="E621" s="3" t="s">
        <v>214</v>
      </c>
    </row>
    <row r="622" spans="1:5" x14ac:dyDescent="0.2">
      <c r="A622" s="3">
        <v>616</v>
      </c>
      <c r="B622" s="3" t="s">
        <v>53</v>
      </c>
      <c r="C622" s="3" t="s">
        <v>123</v>
      </c>
      <c r="D622" s="3" t="s">
        <v>834</v>
      </c>
      <c r="E622" s="3" t="s">
        <v>523</v>
      </c>
    </row>
    <row r="623" spans="1:5" x14ac:dyDescent="0.2">
      <c r="A623" s="3">
        <v>617</v>
      </c>
      <c r="B623" s="3" t="s">
        <v>53</v>
      </c>
      <c r="C623" s="3" t="s">
        <v>123</v>
      </c>
      <c r="D623" s="3" t="s">
        <v>1078</v>
      </c>
      <c r="E623" s="3" t="s">
        <v>523</v>
      </c>
    </row>
    <row r="624" spans="1:5" x14ac:dyDescent="0.2">
      <c r="A624" s="3">
        <v>618</v>
      </c>
      <c r="B624" s="3" t="s">
        <v>53</v>
      </c>
      <c r="C624" s="3" t="s">
        <v>123</v>
      </c>
      <c r="D624" s="3" t="s">
        <v>1079</v>
      </c>
      <c r="E624" s="3" t="s">
        <v>212</v>
      </c>
    </row>
    <row r="625" spans="1:5" x14ac:dyDescent="0.2">
      <c r="A625" s="3">
        <v>619</v>
      </c>
      <c r="B625" s="3" t="s">
        <v>53</v>
      </c>
      <c r="C625" s="3" t="s">
        <v>125</v>
      </c>
      <c r="D625" s="3" t="s">
        <v>1080</v>
      </c>
      <c r="E625" s="3" t="s">
        <v>801</v>
      </c>
    </row>
    <row r="626" spans="1:5" x14ac:dyDescent="0.2">
      <c r="A626" s="3">
        <v>620</v>
      </c>
      <c r="B626" s="3" t="s">
        <v>53</v>
      </c>
      <c r="C626" s="3" t="s">
        <v>125</v>
      </c>
      <c r="D626" s="3" t="s">
        <v>1080</v>
      </c>
      <c r="E626" s="3" t="s">
        <v>212</v>
      </c>
    </row>
    <row r="627" spans="1:5" x14ac:dyDescent="0.2">
      <c r="A627" s="3">
        <v>621</v>
      </c>
      <c r="B627" s="3" t="s">
        <v>53</v>
      </c>
      <c r="C627" s="3" t="s">
        <v>125</v>
      </c>
      <c r="D627" s="3" t="s">
        <v>1081</v>
      </c>
      <c r="E627" s="3" t="s">
        <v>795</v>
      </c>
    </row>
    <row r="628" spans="1:5" x14ac:dyDescent="0.2">
      <c r="A628" s="3">
        <v>622</v>
      </c>
      <c r="B628" s="3" t="s">
        <v>53</v>
      </c>
      <c r="C628" s="3" t="s">
        <v>125</v>
      </c>
      <c r="D628" s="3" t="s">
        <v>1082</v>
      </c>
      <c r="E628" s="3" t="s">
        <v>212</v>
      </c>
    </row>
    <row r="629" spans="1:5" x14ac:dyDescent="0.2">
      <c r="A629" s="3">
        <v>623</v>
      </c>
      <c r="B629" s="3" t="s">
        <v>53</v>
      </c>
      <c r="C629" s="3" t="s">
        <v>125</v>
      </c>
      <c r="D629" s="3" t="s">
        <v>835</v>
      </c>
      <c r="E629" s="3" t="s">
        <v>212</v>
      </c>
    </row>
    <row r="630" spans="1:5" x14ac:dyDescent="0.2">
      <c r="A630" s="3">
        <v>624</v>
      </c>
      <c r="B630" s="3" t="s">
        <v>53</v>
      </c>
      <c r="C630" s="3" t="s">
        <v>125</v>
      </c>
      <c r="D630" s="3" t="s">
        <v>1083</v>
      </c>
      <c r="E630" s="3" t="s">
        <v>212</v>
      </c>
    </row>
    <row r="631" spans="1:5" x14ac:dyDescent="0.2">
      <c r="A631" s="3">
        <v>625</v>
      </c>
      <c r="B631" s="3" t="s">
        <v>53</v>
      </c>
      <c r="C631" s="3" t="s">
        <v>129</v>
      </c>
      <c r="D631" s="3" t="s">
        <v>597</v>
      </c>
      <c r="E631" s="3" t="s">
        <v>212</v>
      </c>
    </row>
    <row r="632" spans="1:5" x14ac:dyDescent="0.2">
      <c r="A632" s="3">
        <v>626</v>
      </c>
      <c r="B632" s="3" t="s">
        <v>53</v>
      </c>
      <c r="C632" s="3" t="s">
        <v>129</v>
      </c>
      <c r="D632" s="3" t="s">
        <v>1084</v>
      </c>
      <c r="E632" s="3" t="s">
        <v>212</v>
      </c>
    </row>
    <row r="633" spans="1:5" x14ac:dyDescent="0.2">
      <c r="A633" s="3">
        <v>627</v>
      </c>
      <c r="B633" s="3" t="s">
        <v>53</v>
      </c>
      <c r="C633" s="3" t="s">
        <v>129</v>
      </c>
      <c r="D633" s="3" t="s">
        <v>811</v>
      </c>
      <c r="E633" s="3" t="s">
        <v>212</v>
      </c>
    </row>
    <row r="634" spans="1:5" x14ac:dyDescent="0.2">
      <c r="A634" s="3">
        <v>628</v>
      </c>
      <c r="B634" s="3" t="s">
        <v>53</v>
      </c>
      <c r="C634" s="3" t="s">
        <v>129</v>
      </c>
      <c r="D634" s="3" t="s">
        <v>597</v>
      </c>
      <c r="E634" s="3" t="s">
        <v>212</v>
      </c>
    </row>
    <row r="635" spans="1:5" x14ac:dyDescent="0.2">
      <c r="A635" s="3">
        <v>629</v>
      </c>
      <c r="B635" s="3" t="s">
        <v>53</v>
      </c>
      <c r="C635" s="3" t="s">
        <v>131</v>
      </c>
      <c r="D635" s="3" t="s">
        <v>1085</v>
      </c>
      <c r="E635" s="3" t="s">
        <v>212</v>
      </c>
    </row>
    <row r="636" spans="1:5" x14ac:dyDescent="0.2">
      <c r="A636" s="3">
        <v>630</v>
      </c>
      <c r="B636" s="3" t="s">
        <v>53</v>
      </c>
      <c r="C636" s="3" t="s">
        <v>131</v>
      </c>
      <c r="D636" s="3" t="s">
        <v>1086</v>
      </c>
      <c r="E636" s="3" t="s">
        <v>212</v>
      </c>
    </row>
    <row r="637" spans="1:5" x14ac:dyDescent="0.2">
      <c r="A637" s="3">
        <v>631</v>
      </c>
      <c r="B637" s="3" t="s">
        <v>53</v>
      </c>
      <c r="C637" s="3" t="s">
        <v>131</v>
      </c>
      <c r="D637" s="3" t="s">
        <v>812</v>
      </c>
      <c r="E637" s="3" t="s">
        <v>212</v>
      </c>
    </row>
    <row r="638" spans="1:5" x14ac:dyDescent="0.2">
      <c r="A638" s="3">
        <v>632</v>
      </c>
      <c r="B638" s="3" t="s">
        <v>53</v>
      </c>
      <c r="C638" s="3" t="s">
        <v>131</v>
      </c>
      <c r="D638" s="3" t="s">
        <v>1087</v>
      </c>
      <c r="E638" s="3" t="s">
        <v>212</v>
      </c>
    </row>
    <row r="639" spans="1:5" x14ac:dyDescent="0.2">
      <c r="A639" s="3">
        <v>633</v>
      </c>
      <c r="B639" s="3" t="s">
        <v>53</v>
      </c>
      <c r="C639" s="3" t="s">
        <v>133</v>
      </c>
      <c r="D639" s="3" t="s">
        <v>1088</v>
      </c>
      <c r="E639" s="3" t="s">
        <v>212</v>
      </c>
    </row>
    <row r="640" spans="1:5" x14ac:dyDescent="0.2">
      <c r="A640" s="3">
        <v>634</v>
      </c>
      <c r="B640" s="3" t="s">
        <v>53</v>
      </c>
      <c r="C640" s="3" t="s">
        <v>133</v>
      </c>
      <c r="D640" s="3" t="s">
        <v>1089</v>
      </c>
      <c r="E640" s="3" t="s">
        <v>212</v>
      </c>
    </row>
    <row r="641" spans="1:5" x14ac:dyDescent="0.2">
      <c r="A641" s="3">
        <v>635</v>
      </c>
      <c r="B641" s="3" t="s">
        <v>53</v>
      </c>
      <c r="C641" s="3" t="s">
        <v>133</v>
      </c>
      <c r="D641" s="3" t="s">
        <v>1090</v>
      </c>
      <c r="E641" s="3" t="s">
        <v>212</v>
      </c>
    </row>
    <row r="642" spans="1:5" x14ac:dyDescent="0.2">
      <c r="A642" s="3">
        <v>636</v>
      </c>
      <c r="B642" s="3" t="s">
        <v>53</v>
      </c>
      <c r="C642" s="3" t="s">
        <v>133</v>
      </c>
      <c r="D642" s="3" t="s">
        <v>1091</v>
      </c>
      <c r="E642" s="3" t="s">
        <v>212</v>
      </c>
    </row>
    <row r="643" spans="1:5" x14ac:dyDescent="0.2">
      <c r="A643" s="3">
        <v>637</v>
      </c>
      <c r="B643" s="3" t="s">
        <v>53</v>
      </c>
      <c r="C643" s="3" t="s">
        <v>90</v>
      </c>
      <c r="D643" s="3" t="s">
        <v>1092</v>
      </c>
      <c r="E643" s="3" t="s">
        <v>600</v>
      </c>
    </row>
    <row r="644" spans="1:5" x14ac:dyDescent="0.2">
      <c r="A644" s="3">
        <v>638</v>
      </c>
      <c r="B644" s="3" t="s">
        <v>53</v>
      </c>
      <c r="C644" s="3" t="s">
        <v>90</v>
      </c>
      <c r="D644" s="3" t="s">
        <v>1093</v>
      </c>
      <c r="E644" s="3" t="s">
        <v>212</v>
      </c>
    </row>
    <row r="645" spans="1:5" x14ac:dyDescent="0.2">
      <c r="A645" s="3">
        <v>639</v>
      </c>
      <c r="B645" s="3" t="s">
        <v>53</v>
      </c>
      <c r="C645" s="3" t="s">
        <v>90</v>
      </c>
      <c r="D645" s="3" t="s">
        <v>1094</v>
      </c>
      <c r="E645" s="3" t="s">
        <v>212</v>
      </c>
    </row>
    <row r="646" spans="1:5" x14ac:dyDescent="0.2">
      <c r="A646" s="3">
        <v>640</v>
      </c>
      <c r="B646" s="3" t="s">
        <v>53</v>
      </c>
      <c r="C646" s="3" t="s">
        <v>90</v>
      </c>
      <c r="D646" s="3" t="s">
        <v>1095</v>
      </c>
      <c r="E646" s="3" t="s">
        <v>794</v>
      </c>
    </row>
    <row r="647" spans="1:5" x14ac:dyDescent="0.2">
      <c r="A647" s="3">
        <v>641</v>
      </c>
      <c r="B647" s="3" t="s">
        <v>53</v>
      </c>
      <c r="C647" s="3" t="s">
        <v>90</v>
      </c>
      <c r="D647" s="3" t="s">
        <v>1096</v>
      </c>
      <c r="E647" s="3" t="s">
        <v>791</v>
      </c>
    </row>
    <row r="648" spans="1:5" x14ac:dyDescent="0.2">
      <c r="A648" s="3">
        <v>642</v>
      </c>
      <c r="B648" s="3" t="s">
        <v>53</v>
      </c>
      <c r="C648" s="3" t="s">
        <v>90</v>
      </c>
      <c r="D648" s="3" t="s">
        <v>601</v>
      </c>
      <c r="E648" s="3" t="s">
        <v>791</v>
      </c>
    </row>
    <row r="649" spans="1:5" x14ac:dyDescent="0.2">
      <c r="A649" s="3">
        <v>643</v>
      </c>
      <c r="B649" s="3" t="s">
        <v>53</v>
      </c>
      <c r="C649" s="3" t="s">
        <v>136</v>
      </c>
      <c r="D649" s="3" t="s">
        <v>1097</v>
      </c>
      <c r="E649" s="3" t="s">
        <v>801</v>
      </c>
    </row>
    <row r="650" spans="1:5" x14ac:dyDescent="0.2">
      <c r="A650" s="3">
        <v>644</v>
      </c>
      <c r="B650" s="3" t="s">
        <v>53</v>
      </c>
      <c r="C650" s="3" t="s">
        <v>136</v>
      </c>
      <c r="D650" s="3" t="s">
        <v>1098</v>
      </c>
      <c r="E650" s="3" t="s">
        <v>212</v>
      </c>
    </row>
    <row r="651" spans="1:5" x14ac:dyDescent="0.2">
      <c r="A651" s="3">
        <v>645</v>
      </c>
      <c r="B651" s="3" t="s">
        <v>53</v>
      </c>
      <c r="C651" s="3" t="s">
        <v>136</v>
      </c>
      <c r="D651" s="3" t="s">
        <v>836</v>
      </c>
      <c r="E651" s="3" t="s">
        <v>212</v>
      </c>
    </row>
    <row r="652" spans="1:5" x14ac:dyDescent="0.2">
      <c r="A652" s="3">
        <v>646</v>
      </c>
      <c r="B652" s="3" t="s">
        <v>53</v>
      </c>
      <c r="C652" s="3" t="s">
        <v>136</v>
      </c>
      <c r="D652" s="3" t="s">
        <v>1099</v>
      </c>
      <c r="E652" s="3" t="s">
        <v>212</v>
      </c>
    </row>
    <row r="653" spans="1:5" x14ac:dyDescent="0.2">
      <c r="A653" s="3">
        <v>647</v>
      </c>
      <c r="B653" s="3" t="s">
        <v>53</v>
      </c>
      <c r="C653" s="3" t="s">
        <v>136</v>
      </c>
      <c r="D653" s="3" t="s">
        <v>837</v>
      </c>
      <c r="E653" s="3" t="s">
        <v>820</v>
      </c>
    </row>
    <row r="654" spans="1:5" x14ac:dyDescent="0.2">
      <c r="A654" s="3">
        <v>648</v>
      </c>
      <c r="B654" s="3" t="s">
        <v>53</v>
      </c>
      <c r="C654" s="3" t="s">
        <v>83</v>
      </c>
      <c r="D654" s="3" t="s">
        <v>1100</v>
      </c>
      <c r="E654" s="3" t="s">
        <v>212</v>
      </c>
    </row>
    <row r="655" spans="1:5" x14ac:dyDescent="0.2">
      <c r="A655" s="3">
        <v>649</v>
      </c>
      <c r="B655" s="3" t="s">
        <v>53</v>
      </c>
      <c r="C655" s="3" t="s">
        <v>83</v>
      </c>
      <c r="D655" s="3" t="s">
        <v>1101</v>
      </c>
      <c r="E655" s="3" t="s">
        <v>313</v>
      </c>
    </row>
    <row r="656" spans="1:5" x14ac:dyDescent="0.2">
      <c r="A656" s="3">
        <v>650</v>
      </c>
      <c r="B656" s="3" t="s">
        <v>53</v>
      </c>
      <c r="C656" s="3" t="s">
        <v>83</v>
      </c>
      <c r="D656" s="3" t="s">
        <v>1102</v>
      </c>
      <c r="E656" s="3" t="s">
        <v>418</v>
      </c>
    </row>
    <row r="657" spans="1:5" x14ac:dyDescent="0.2">
      <c r="A657" s="3">
        <v>651</v>
      </c>
      <c r="B657" s="3" t="s">
        <v>53</v>
      </c>
      <c r="C657" s="3" t="s">
        <v>83</v>
      </c>
      <c r="D657" s="3" t="s">
        <v>602</v>
      </c>
      <c r="E657" s="3" t="s">
        <v>212</v>
      </c>
    </row>
    <row r="658" spans="1:5" x14ac:dyDescent="0.2">
      <c r="A658" s="3">
        <v>652</v>
      </c>
      <c r="B658" s="3" t="s">
        <v>53</v>
      </c>
      <c r="C658" s="3" t="s">
        <v>83</v>
      </c>
      <c r="D658" s="3" t="s">
        <v>603</v>
      </c>
      <c r="E658" s="3" t="s">
        <v>460</v>
      </c>
    </row>
    <row r="659" spans="1:5" x14ac:dyDescent="0.2">
      <c r="A659" s="3">
        <v>653</v>
      </c>
      <c r="B659" s="3" t="s">
        <v>53</v>
      </c>
      <c r="C659" s="3" t="s">
        <v>83</v>
      </c>
      <c r="D659" s="3" t="s">
        <v>1103</v>
      </c>
      <c r="E659" s="3" t="s">
        <v>606</v>
      </c>
    </row>
    <row r="660" spans="1:5" x14ac:dyDescent="0.2">
      <c r="A660" s="3">
        <v>654</v>
      </c>
      <c r="B660" s="3" t="s">
        <v>53</v>
      </c>
      <c r="C660" s="3" t="s">
        <v>105</v>
      </c>
      <c r="D660" s="3" t="s">
        <v>1104</v>
      </c>
      <c r="E660" s="3" t="s">
        <v>796</v>
      </c>
    </row>
    <row r="661" spans="1:5" x14ac:dyDescent="0.2">
      <c r="A661" s="3">
        <v>655</v>
      </c>
      <c r="B661" s="3" t="s">
        <v>53</v>
      </c>
      <c r="C661" s="3" t="s">
        <v>105</v>
      </c>
      <c r="D661" s="3" t="s">
        <v>1105</v>
      </c>
      <c r="E661" s="3" t="s">
        <v>791</v>
      </c>
    </row>
    <row r="662" spans="1:5" x14ac:dyDescent="0.2">
      <c r="A662" s="3">
        <v>656</v>
      </c>
      <c r="B662" s="3" t="s">
        <v>53</v>
      </c>
      <c r="C662" s="3" t="s">
        <v>106</v>
      </c>
      <c r="D662" s="3" t="s">
        <v>604</v>
      </c>
      <c r="E662" s="3" t="s">
        <v>605</v>
      </c>
    </row>
    <row r="663" spans="1:5" x14ac:dyDescent="0.2">
      <c r="A663" s="3">
        <v>657</v>
      </c>
      <c r="B663" s="3" t="s">
        <v>53</v>
      </c>
      <c r="C663" s="3" t="s">
        <v>106</v>
      </c>
      <c r="D663" s="3" t="s">
        <v>604</v>
      </c>
      <c r="E663" s="3" t="s">
        <v>212</v>
      </c>
    </row>
    <row r="664" spans="1:5" x14ac:dyDescent="0.2">
      <c r="A664" s="3">
        <v>658</v>
      </c>
      <c r="B664" s="3" t="s">
        <v>53</v>
      </c>
      <c r="C664" s="3" t="s">
        <v>106</v>
      </c>
      <c r="D664" s="3" t="s">
        <v>1106</v>
      </c>
      <c r="E664" s="3" t="s">
        <v>212</v>
      </c>
    </row>
    <row r="665" spans="1:5" x14ac:dyDescent="0.2">
      <c r="A665" s="3">
        <v>659</v>
      </c>
      <c r="B665" s="3" t="s">
        <v>53</v>
      </c>
      <c r="C665" s="3" t="s">
        <v>106</v>
      </c>
      <c r="D665" s="3" t="s">
        <v>1107</v>
      </c>
      <c r="E665" s="3" t="s">
        <v>212</v>
      </c>
    </row>
    <row r="666" spans="1:5" x14ac:dyDescent="0.2">
      <c r="A666" s="3">
        <v>660</v>
      </c>
      <c r="B666" s="3" t="s">
        <v>56</v>
      </c>
      <c r="C666" s="3" t="s">
        <v>109</v>
      </c>
      <c r="D666" s="3" t="s">
        <v>1108</v>
      </c>
      <c r="E666" s="3" t="s">
        <v>606</v>
      </c>
    </row>
    <row r="667" spans="1:5" x14ac:dyDescent="0.2">
      <c r="A667" s="3">
        <v>661</v>
      </c>
      <c r="B667" s="3" t="s">
        <v>56</v>
      </c>
      <c r="C667" s="3" t="s">
        <v>109</v>
      </c>
      <c r="D667" s="3" t="s">
        <v>1109</v>
      </c>
      <c r="E667" s="3" t="s">
        <v>450</v>
      </c>
    </row>
    <row r="668" spans="1:5" x14ac:dyDescent="0.2">
      <c r="A668" s="3">
        <v>662</v>
      </c>
      <c r="B668" s="3" t="s">
        <v>56</v>
      </c>
      <c r="C668" s="3" t="s">
        <v>109</v>
      </c>
      <c r="D668" s="3" t="s">
        <v>1110</v>
      </c>
      <c r="E668" s="3" t="s">
        <v>460</v>
      </c>
    </row>
    <row r="669" spans="1:5" x14ac:dyDescent="0.2">
      <c r="A669" s="3">
        <v>663</v>
      </c>
      <c r="B669" s="3" t="s">
        <v>56</v>
      </c>
      <c r="C669" s="3" t="s">
        <v>109</v>
      </c>
      <c r="D669" s="3" t="s">
        <v>1111</v>
      </c>
      <c r="E669" s="3" t="s">
        <v>313</v>
      </c>
    </row>
    <row r="670" spans="1:5" x14ac:dyDescent="0.2">
      <c r="A670" s="3">
        <v>664</v>
      </c>
      <c r="B670" s="3" t="s">
        <v>56</v>
      </c>
      <c r="C670" s="3" t="s">
        <v>109</v>
      </c>
      <c r="D670" s="3" t="s">
        <v>607</v>
      </c>
      <c r="E670" s="3" t="s">
        <v>791</v>
      </c>
    </row>
    <row r="671" spans="1:5" x14ac:dyDescent="0.2">
      <c r="A671" s="3">
        <v>665</v>
      </c>
      <c r="B671" s="3" t="s">
        <v>56</v>
      </c>
      <c r="C671" s="3" t="s">
        <v>109</v>
      </c>
      <c r="D671" s="3" t="s">
        <v>1112</v>
      </c>
      <c r="E671" s="3" t="s">
        <v>587</v>
      </c>
    </row>
    <row r="672" spans="1:5" x14ac:dyDescent="0.2">
      <c r="A672" s="3">
        <v>666</v>
      </c>
      <c r="B672" s="3" t="s">
        <v>56</v>
      </c>
      <c r="C672" s="3" t="s">
        <v>109</v>
      </c>
      <c r="D672" s="3" t="s">
        <v>1113</v>
      </c>
      <c r="E672" s="3" t="s">
        <v>791</v>
      </c>
    </row>
    <row r="673" spans="1:5" x14ac:dyDescent="0.2">
      <c r="A673" s="3">
        <v>667</v>
      </c>
      <c r="B673" s="3" t="s">
        <v>56</v>
      </c>
      <c r="C673" s="3" t="s">
        <v>109</v>
      </c>
      <c r="D673" s="3" t="s">
        <v>1114</v>
      </c>
      <c r="E673" s="3" t="s">
        <v>587</v>
      </c>
    </row>
    <row r="674" spans="1:5" x14ac:dyDescent="0.2">
      <c r="A674" s="3">
        <v>668</v>
      </c>
      <c r="B674" s="3" t="s">
        <v>56</v>
      </c>
      <c r="C674" s="3" t="s">
        <v>109</v>
      </c>
      <c r="D674" s="3" t="s">
        <v>1115</v>
      </c>
      <c r="E674" s="3" t="s">
        <v>212</v>
      </c>
    </row>
    <row r="675" spans="1:5" x14ac:dyDescent="0.2">
      <c r="A675" s="3">
        <v>669</v>
      </c>
      <c r="B675" s="3" t="s">
        <v>56</v>
      </c>
      <c r="C675" s="3" t="s">
        <v>111</v>
      </c>
      <c r="D675" s="3" t="s">
        <v>1116</v>
      </c>
      <c r="E675" s="3" t="s">
        <v>212</v>
      </c>
    </row>
    <row r="676" spans="1:5" x14ac:dyDescent="0.2">
      <c r="A676" s="3">
        <v>670</v>
      </c>
      <c r="B676" s="3" t="s">
        <v>56</v>
      </c>
      <c r="C676" s="3" t="s">
        <v>111</v>
      </c>
      <c r="D676" s="3" t="s">
        <v>1117</v>
      </c>
      <c r="E676" s="3" t="s">
        <v>208</v>
      </c>
    </row>
    <row r="677" spans="1:5" x14ac:dyDescent="0.2">
      <c r="A677" s="3">
        <v>671</v>
      </c>
      <c r="B677" s="3" t="s">
        <v>56</v>
      </c>
      <c r="C677" s="3" t="s">
        <v>111</v>
      </c>
      <c r="D677" s="3" t="s">
        <v>1118</v>
      </c>
      <c r="E677" s="3" t="s">
        <v>208</v>
      </c>
    </row>
    <row r="678" spans="1:5" x14ac:dyDescent="0.2">
      <c r="A678" s="3">
        <v>672</v>
      </c>
      <c r="B678" s="3" t="s">
        <v>56</v>
      </c>
      <c r="C678" s="3" t="s">
        <v>111</v>
      </c>
      <c r="D678" s="3" t="s">
        <v>1119</v>
      </c>
      <c r="E678" s="3" t="s">
        <v>249</v>
      </c>
    </row>
    <row r="679" spans="1:5" x14ac:dyDescent="0.2">
      <c r="A679" s="3">
        <v>673</v>
      </c>
      <c r="B679" s="3" t="s">
        <v>56</v>
      </c>
      <c r="C679" s="3" t="s">
        <v>111</v>
      </c>
      <c r="D679" s="3" t="s">
        <v>1120</v>
      </c>
      <c r="E679" s="3" t="s">
        <v>791</v>
      </c>
    </row>
    <row r="680" spans="1:5" x14ac:dyDescent="0.2">
      <c r="A680" s="3">
        <v>674</v>
      </c>
      <c r="B680" s="3" t="s">
        <v>56</v>
      </c>
      <c r="C680" s="3" t="s">
        <v>111</v>
      </c>
      <c r="D680" s="3" t="s">
        <v>1121</v>
      </c>
      <c r="E680" s="3" t="s">
        <v>791</v>
      </c>
    </row>
    <row r="681" spans="1:5" x14ac:dyDescent="0.2">
      <c r="A681" s="3">
        <v>675</v>
      </c>
      <c r="B681" s="3" t="s">
        <v>56</v>
      </c>
      <c r="C681" s="3" t="s">
        <v>111</v>
      </c>
      <c r="D681" s="3" t="s">
        <v>1122</v>
      </c>
      <c r="E681" s="3" t="s">
        <v>791</v>
      </c>
    </row>
    <row r="682" spans="1:5" x14ac:dyDescent="0.2">
      <c r="A682" s="3">
        <v>676</v>
      </c>
      <c r="B682" s="3" t="s">
        <v>56</v>
      </c>
      <c r="C682" s="3" t="s">
        <v>111</v>
      </c>
      <c r="D682" s="3" t="s">
        <v>1123</v>
      </c>
      <c r="E682" s="3" t="s">
        <v>813</v>
      </c>
    </row>
    <row r="683" spans="1:5" x14ac:dyDescent="0.2">
      <c r="A683" s="3">
        <v>677</v>
      </c>
      <c r="B683" s="3" t="s">
        <v>56</v>
      </c>
      <c r="C683" s="3" t="s">
        <v>111</v>
      </c>
      <c r="D683" s="3" t="s">
        <v>1124</v>
      </c>
      <c r="E683" s="3" t="s">
        <v>791</v>
      </c>
    </row>
    <row r="684" spans="1:5" x14ac:dyDescent="0.2">
      <c r="A684" s="3">
        <v>678</v>
      </c>
      <c r="B684" s="3" t="s">
        <v>56</v>
      </c>
      <c r="C684" s="3" t="s">
        <v>114</v>
      </c>
      <c r="D684" s="3" t="s">
        <v>1125</v>
      </c>
      <c r="E684" s="3" t="s">
        <v>212</v>
      </c>
    </row>
    <row r="685" spans="1:5" x14ac:dyDescent="0.2">
      <c r="A685" s="3">
        <v>679</v>
      </c>
      <c r="B685" s="3" t="s">
        <v>56</v>
      </c>
      <c r="C685" s="3" t="s">
        <v>114</v>
      </c>
      <c r="D685" s="3" t="s">
        <v>1126</v>
      </c>
      <c r="E685" s="3" t="s">
        <v>212</v>
      </c>
    </row>
    <row r="686" spans="1:5" x14ac:dyDescent="0.2">
      <c r="A686" s="3">
        <v>680</v>
      </c>
      <c r="B686" s="3" t="s">
        <v>56</v>
      </c>
      <c r="C686" s="3" t="s">
        <v>114</v>
      </c>
      <c r="D686" s="3" t="s">
        <v>1127</v>
      </c>
      <c r="E686" s="3" t="s">
        <v>212</v>
      </c>
    </row>
    <row r="687" spans="1:5" x14ac:dyDescent="0.2">
      <c r="A687" s="3">
        <v>681</v>
      </c>
      <c r="B687" s="3" t="s">
        <v>56</v>
      </c>
      <c r="C687" s="3" t="s">
        <v>115</v>
      </c>
      <c r="D687" s="3" t="s">
        <v>1128</v>
      </c>
      <c r="E687" s="3" t="s">
        <v>587</v>
      </c>
    </row>
    <row r="688" spans="1:5" x14ac:dyDescent="0.2">
      <c r="A688" s="3">
        <v>682</v>
      </c>
      <c r="B688" s="3" t="s">
        <v>56</v>
      </c>
      <c r="C688" s="3" t="s">
        <v>115</v>
      </c>
      <c r="D688" s="3" t="s">
        <v>1129</v>
      </c>
      <c r="E688" s="3" t="s">
        <v>791</v>
      </c>
    </row>
    <row r="689" spans="1:5" x14ac:dyDescent="0.2">
      <c r="A689" s="3">
        <v>683</v>
      </c>
      <c r="B689" s="3" t="s">
        <v>56</v>
      </c>
      <c r="C689" s="3" t="s">
        <v>117</v>
      </c>
      <c r="D689" s="3" t="s">
        <v>1130</v>
      </c>
      <c r="E689" s="3" t="s">
        <v>212</v>
      </c>
    </row>
    <row r="690" spans="1:5" x14ac:dyDescent="0.2">
      <c r="A690" s="3">
        <v>684</v>
      </c>
      <c r="B690" s="3" t="s">
        <v>56</v>
      </c>
      <c r="C690" s="3" t="s">
        <v>117</v>
      </c>
      <c r="D690" s="3" t="s">
        <v>608</v>
      </c>
      <c r="E690" s="3" t="s">
        <v>212</v>
      </c>
    </row>
    <row r="691" spans="1:5" x14ac:dyDescent="0.2">
      <c r="A691" s="3">
        <v>685</v>
      </c>
      <c r="B691" s="3" t="s">
        <v>56</v>
      </c>
      <c r="C691" s="3" t="s">
        <v>117</v>
      </c>
      <c r="D691" s="3" t="s">
        <v>1131</v>
      </c>
      <c r="E691" s="3" t="s">
        <v>313</v>
      </c>
    </row>
    <row r="692" spans="1:5" x14ac:dyDescent="0.2">
      <c r="A692" s="3">
        <v>686</v>
      </c>
      <c r="B692" s="3" t="s">
        <v>56</v>
      </c>
      <c r="C692" s="3" t="s">
        <v>117</v>
      </c>
      <c r="D692" s="3" t="s">
        <v>1132</v>
      </c>
      <c r="E692" s="3" t="s">
        <v>217</v>
      </c>
    </row>
    <row r="693" spans="1:5" x14ac:dyDescent="0.2">
      <c r="A693" s="3">
        <v>687</v>
      </c>
      <c r="B693" s="3" t="s">
        <v>56</v>
      </c>
      <c r="C693" s="3" t="s">
        <v>117</v>
      </c>
      <c r="D693" s="3" t="s">
        <v>1133</v>
      </c>
      <c r="E693" s="3" t="s">
        <v>795</v>
      </c>
    </row>
    <row r="694" spans="1:5" x14ac:dyDescent="0.2">
      <c r="A694" s="3">
        <v>688</v>
      </c>
      <c r="B694" s="3" t="s">
        <v>56</v>
      </c>
      <c r="C694" s="3" t="s">
        <v>117</v>
      </c>
      <c r="D694" s="3" t="s">
        <v>1134</v>
      </c>
      <c r="E694" s="3" t="s">
        <v>587</v>
      </c>
    </row>
    <row r="695" spans="1:5" x14ac:dyDescent="0.2">
      <c r="A695" s="3">
        <v>689</v>
      </c>
      <c r="B695" s="3" t="s">
        <v>56</v>
      </c>
      <c r="C695" s="3" t="s">
        <v>117</v>
      </c>
      <c r="D695" s="3" t="s">
        <v>610</v>
      </c>
      <c r="E695" s="3" t="s">
        <v>795</v>
      </c>
    </row>
    <row r="696" spans="1:5" x14ac:dyDescent="0.2">
      <c r="A696" s="3">
        <v>690</v>
      </c>
      <c r="B696" s="3" t="s">
        <v>56</v>
      </c>
      <c r="C696" s="3" t="s">
        <v>117</v>
      </c>
      <c r="D696" s="3" t="s">
        <v>609</v>
      </c>
      <c r="E696" s="3" t="s">
        <v>490</v>
      </c>
    </row>
    <row r="697" spans="1:5" x14ac:dyDescent="0.2">
      <c r="A697" s="3">
        <v>691</v>
      </c>
      <c r="B697" s="3" t="s">
        <v>56</v>
      </c>
      <c r="C697" s="3" t="s">
        <v>117</v>
      </c>
      <c r="D697" s="3" t="s">
        <v>1135</v>
      </c>
      <c r="E697" s="3" t="s">
        <v>212</v>
      </c>
    </row>
    <row r="698" spans="1:5" x14ac:dyDescent="0.2">
      <c r="A698" s="3">
        <v>692</v>
      </c>
      <c r="B698" s="3" t="s">
        <v>56</v>
      </c>
      <c r="C698" s="3" t="s">
        <v>117</v>
      </c>
      <c r="D698" s="3" t="s">
        <v>1136</v>
      </c>
      <c r="E698" s="3" t="s">
        <v>212</v>
      </c>
    </row>
    <row r="699" spans="1:5" x14ac:dyDescent="0.2">
      <c r="A699" s="3">
        <v>693</v>
      </c>
      <c r="B699" s="3" t="s">
        <v>56</v>
      </c>
      <c r="C699" s="3" t="s">
        <v>117</v>
      </c>
      <c r="D699" s="3" t="s">
        <v>1137</v>
      </c>
      <c r="E699" s="3" t="s">
        <v>212</v>
      </c>
    </row>
    <row r="700" spans="1:5" x14ac:dyDescent="0.2">
      <c r="A700" s="3">
        <v>694</v>
      </c>
      <c r="B700" s="3" t="s">
        <v>56</v>
      </c>
      <c r="C700" s="3" t="s">
        <v>117</v>
      </c>
      <c r="D700" s="3" t="s">
        <v>1138</v>
      </c>
      <c r="E700" s="3" t="s">
        <v>212</v>
      </c>
    </row>
    <row r="701" spans="1:5" x14ac:dyDescent="0.2">
      <c r="A701" s="3">
        <v>695</v>
      </c>
      <c r="B701" s="3" t="s">
        <v>56</v>
      </c>
      <c r="C701" s="3" t="s">
        <v>120</v>
      </c>
      <c r="D701" s="3" t="s">
        <v>1139</v>
      </c>
      <c r="E701" s="3" t="s">
        <v>460</v>
      </c>
    </row>
    <row r="702" spans="1:5" x14ac:dyDescent="0.2">
      <c r="A702" s="3">
        <v>696</v>
      </c>
      <c r="B702" s="3" t="s">
        <v>56</v>
      </c>
      <c r="C702" s="3" t="s">
        <v>120</v>
      </c>
      <c r="D702" s="3" t="s">
        <v>1140</v>
      </c>
      <c r="E702" s="3" t="s">
        <v>212</v>
      </c>
    </row>
    <row r="703" spans="1:5" x14ac:dyDescent="0.2">
      <c r="A703" s="3">
        <v>697</v>
      </c>
      <c r="B703" s="3" t="s">
        <v>56</v>
      </c>
      <c r="C703" s="3" t="s">
        <v>120</v>
      </c>
      <c r="D703" s="3" t="s">
        <v>1141</v>
      </c>
      <c r="E703" s="3" t="s">
        <v>212</v>
      </c>
    </row>
    <row r="704" spans="1:5" x14ac:dyDescent="0.2">
      <c r="A704" s="3">
        <v>698</v>
      </c>
      <c r="B704" s="3" t="s">
        <v>56</v>
      </c>
      <c r="C704" s="3" t="s">
        <v>120</v>
      </c>
      <c r="D704" s="3" t="s">
        <v>611</v>
      </c>
      <c r="E704" s="3" t="s">
        <v>418</v>
      </c>
    </row>
    <row r="705" spans="1:5" x14ac:dyDescent="0.2">
      <c r="A705" s="3">
        <v>699</v>
      </c>
      <c r="B705" s="3" t="s">
        <v>56</v>
      </c>
      <c r="C705" s="3" t="s">
        <v>120</v>
      </c>
      <c r="D705" s="3" t="s">
        <v>1142</v>
      </c>
      <c r="E705" s="3" t="s">
        <v>212</v>
      </c>
    </row>
    <row r="706" spans="1:5" x14ac:dyDescent="0.2">
      <c r="A706" s="3">
        <v>700</v>
      </c>
      <c r="B706" s="3" t="s">
        <v>56</v>
      </c>
      <c r="C706" s="3" t="s">
        <v>120</v>
      </c>
      <c r="D706" s="3" t="s">
        <v>1143</v>
      </c>
      <c r="E706" s="3" t="s">
        <v>212</v>
      </c>
    </row>
    <row r="707" spans="1:5" x14ac:dyDescent="0.2">
      <c r="A707" s="3">
        <v>701</v>
      </c>
      <c r="B707" s="3" t="s">
        <v>56</v>
      </c>
      <c r="C707" s="3" t="s">
        <v>120</v>
      </c>
      <c r="D707" s="3" t="s">
        <v>1144</v>
      </c>
      <c r="E707" s="3" t="s">
        <v>212</v>
      </c>
    </row>
    <row r="708" spans="1:5" x14ac:dyDescent="0.2">
      <c r="A708" s="3">
        <v>702</v>
      </c>
      <c r="B708" s="3" t="s">
        <v>56</v>
      </c>
      <c r="C708" s="3" t="s">
        <v>120</v>
      </c>
      <c r="D708" s="3" t="s">
        <v>814</v>
      </c>
      <c r="E708" s="3" t="s">
        <v>208</v>
      </c>
    </row>
    <row r="709" spans="1:5" x14ac:dyDescent="0.2">
      <c r="A709" s="3">
        <v>703</v>
      </c>
      <c r="B709" s="3" t="s">
        <v>56</v>
      </c>
      <c r="C709" s="3" t="s">
        <v>170</v>
      </c>
      <c r="D709" s="3" t="s">
        <v>1145</v>
      </c>
      <c r="E709" s="3" t="s">
        <v>212</v>
      </c>
    </row>
    <row r="710" spans="1:5" x14ac:dyDescent="0.2">
      <c r="A710" s="3">
        <v>704</v>
      </c>
      <c r="B710" s="3" t="s">
        <v>56</v>
      </c>
      <c r="C710" s="3" t="s">
        <v>170</v>
      </c>
      <c r="D710" s="3" t="s">
        <v>1146</v>
      </c>
      <c r="E710" s="3" t="s">
        <v>212</v>
      </c>
    </row>
    <row r="711" spans="1:5" x14ac:dyDescent="0.2">
      <c r="A711" s="3">
        <v>705</v>
      </c>
      <c r="B711" s="3" t="s">
        <v>56</v>
      </c>
      <c r="C711" s="3" t="s">
        <v>122</v>
      </c>
      <c r="D711" s="3" t="s">
        <v>1147</v>
      </c>
      <c r="E711" s="3" t="s">
        <v>791</v>
      </c>
    </row>
    <row r="712" spans="1:5" x14ac:dyDescent="0.2">
      <c r="A712" s="3">
        <v>706</v>
      </c>
      <c r="B712" s="3" t="s">
        <v>56</v>
      </c>
      <c r="C712" s="3" t="s">
        <v>122</v>
      </c>
      <c r="D712" s="3" t="s">
        <v>612</v>
      </c>
      <c r="E712" s="3" t="s">
        <v>791</v>
      </c>
    </row>
    <row r="713" spans="1:5" x14ac:dyDescent="0.2">
      <c r="A713" s="3">
        <v>707</v>
      </c>
      <c r="B713" s="3" t="s">
        <v>56</v>
      </c>
      <c r="C713" s="3" t="s">
        <v>122</v>
      </c>
      <c r="D713" s="3" t="s">
        <v>1148</v>
      </c>
      <c r="E713" s="3" t="s">
        <v>212</v>
      </c>
    </row>
    <row r="714" spans="1:5" x14ac:dyDescent="0.2">
      <c r="A714" s="3">
        <v>708</v>
      </c>
      <c r="B714" s="3" t="s">
        <v>58</v>
      </c>
      <c r="C714" s="3" t="s">
        <v>124</v>
      </c>
      <c r="D714" s="3" t="s">
        <v>1149</v>
      </c>
      <c r="E714" s="3" t="s">
        <v>791</v>
      </c>
    </row>
    <row r="715" spans="1:5" x14ac:dyDescent="0.2">
      <c r="A715" s="3">
        <v>709</v>
      </c>
      <c r="B715" s="3" t="s">
        <v>58</v>
      </c>
      <c r="C715" s="3" t="s">
        <v>124</v>
      </c>
      <c r="D715" s="3" t="s">
        <v>1150</v>
      </c>
      <c r="E715" s="3" t="s">
        <v>804</v>
      </c>
    </row>
    <row r="716" spans="1:5" x14ac:dyDescent="0.2">
      <c r="A716" s="3">
        <v>710</v>
      </c>
      <c r="B716" s="3" t="s">
        <v>58</v>
      </c>
      <c r="C716" s="3" t="s">
        <v>124</v>
      </c>
      <c r="D716" s="3" t="s">
        <v>1151</v>
      </c>
      <c r="E716" s="3" t="s">
        <v>212</v>
      </c>
    </row>
    <row r="717" spans="1:5" x14ac:dyDescent="0.2">
      <c r="A717" s="3">
        <v>711</v>
      </c>
      <c r="B717" s="3" t="s">
        <v>58</v>
      </c>
      <c r="C717" s="3" t="s">
        <v>124</v>
      </c>
      <c r="D717" s="3" t="s">
        <v>1152</v>
      </c>
      <c r="E717" s="3" t="s">
        <v>212</v>
      </c>
    </row>
    <row r="718" spans="1:5" x14ac:dyDescent="0.2">
      <c r="A718" s="3">
        <v>712</v>
      </c>
      <c r="B718" s="3" t="s">
        <v>58</v>
      </c>
      <c r="C718" s="3" t="s">
        <v>124</v>
      </c>
      <c r="D718" s="3" t="s">
        <v>1153</v>
      </c>
      <c r="E718" s="3" t="s">
        <v>212</v>
      </c>
    </row>
    <row r="719" spans="1:5" x14ac:dyDescent="0.2">
      <c r="A719" s="3">
        <v>713</v>
      </c>
      <c r="B719" s="3" t="s">
        <v>58</v>
      </c>
      <c r="C719" s="3" t="s">
        <v>124</v>
      </c>
      <c r="D719" s="3" t="s">
        <v>1154</v>
      </c>
      <c r="E719" s="3" t="s">
        <v>212</v>
      </c>
    </row>
    <row r="720" spans="1:5" x14ac:dyDescent="0.2">
      <c r="A720" s="3">
        <v>714</v>
      </c>
      <c r="B720" s="3" t="s">
        <v>58</v>
      </c>
      <c r="C720" s="3" t="s">
        <v>126</v>
      </c>
      <c r="D720" s="3" t="s">
        <v>1155</v>
      </c>
      <c r="E720" s="3" t="s">
        <v>212</v>
      </c>
    </row>
    <row r="721" spans="1:5" x14ac:dyDescent="0.2">
      <c r="A721" s="3">
        <v>715</v>
      </c>
      <c r="B721" s="3" t="s">
        <v>58</v>
      </c>
      <c r="C721" s="3" t="s">
        <v>126</v>
      </c>
      <c r="D721" s="3" t="s">
        <v>1156</v>
      </c>
      <c r="E721" s="3" t="s">
        <v>212</v>
      </c>
    </row>
    <row r="722" spans="1:5" x14ac:dyDescent="0.2">
      <c r="A722" s="3">
        <v>716</v>
      </c>
      <c r="B722" s="3" t="s">
        <v>58</v>
      </c>
      <c r="C722" s="3" t="s">
        <v>126</v>
      </c>
      <c r="D722" s="3" t="s">
        <v>1157</v>
      </c>
      <c r="E722" s="3" t="s">
        <v>212</v>
      </c>
    </row>
    <row r="723" spans="1:5" x14ac:dyDescent="0.2">
      <c r="A723" s="3">
        <v>717</v>
      </c>
      <c r="B723" s="3" t="s">
        <v>58</v>
      </c>
      <c r="C723" s="3" t="s">
        <v>126</v>
      </c>
      <c r="D723" s="3" t="s">
        <v>1158</v>
      </c>
      <c r="E723" s="3" t="s">
        <v>212</v>
      </c>
    </row>
    <row r="724" spans="1:5" x14ac:dyDescent="0.2">
      <c r="A724" s="3">
        <v>718</v>
      </c>
      <c r="B724" s="3" t="s">
        <v>58</v>
      </c>
      <c r="C724" s="3" t="s">
        <v>128</v>
      </c>
      <c r="D724" s="3" t="s">
        <v>613</v>
      </c>
      <c r="E724" s="3" t="s">
        <v>212</v>
      </c>
    </row>
    <row r="725" spans="1:5" x14ac:dyDescent="0.2">
      <c r="A725" s="3">
        <v>719</v>
      </c>
      <c r="B725" s="3" t="s">
        <v>58</v>
      </c>
      <c r="C725" s="3" t="s">
        <v>128</v>
      </c>
      <c r="D725" s="3" t="s">
        <v>1159</v>
      </c>
      <c r="E725" s="3" t="s">
        <v>212</v>
      </c>
    </row>
    <row r="726" spans="1:5" x14ac:dyDescent="0.2">
      <c r="A726" s="3">
        <v>720</v>
      </c>
      <c r="B726" s="3" t="s">
        <v>58</v>
      </c>
      <c r="C726" s="3" t="s">
        <v>128</v>
      </c>
      <c r="D726" s="3" t="s">
        <v>614</v>
      </c>
      <c r="E726" s="3" t="s">
        <v>212</v>
      </c>
    </row>
    <row r="727" spans="1:5" x14ac:dyDescent="0.2">
      <c r="A727" s="3">
        <v>721</v>
      </c>
      <c r="B727" s="3" t="s">
        <v>58</v>
      </c>
      <c r="C727" s="3" t="s">
        <v>128</v>
      </c>
      <c r="D727" s="3" t="s">
        <v>1160</v>
      </c>
      <c r="E727" s="3" t="s">
        <v>212</v>
      </c>
    </row>
    <row r="728" spans="1:5" x14ac:dyDescent="0.2">
      <c r="A728" s="3">
        <v>722</v>
      </c>
      <c r="B728" s="3" t="s">
        <v>58</v>
      </c>
      <c r="C728" s="3" t="s">
        <v>130</v>
      </c>
      <c r="D728" s="3" t="s">
        <v>616</v>
      </c>
      <c r="E728" s="3" t="s">
        <v>796</v>
      </c>
    </row>
    <row r="729" spans="1:5" x14ac:dyDescent="0.2">
      <c r="A729" s="3">
        <v>723</v>
      </c>
      <c r="B729" s="3" t="s">
        <v>58</v>
      </c>
      <c r="C729" s="3" t="s">
        <v>130</v>
      </c>
      <c r="D729" s="3" t="s">
        <v>615</v>
      </c>
      <c r="E729" s="3" t="s">
        <v>212</v>
      </c>
    </row>
    <row r="730" spans="1:5" x14ac:dyDescent="0.2">
      <c r="A730" s="3">
        <v>724</v>
      </c>
      <c r="B730" s="3" t="s">
        <v>58</v>
      </c>
      <c r="C730" s="3" t="s">
        <v>130</v>
      </c>
      <c r="D730" s="3" t="s">
        <v>618</v>
      </c>
      <c r="E730" s="3" t="s">
        <v>523</v>
      </c>
    </row>
    <row r="731" spans="1:5" x14ac:dyDescent="0.2">
      <c r="A731" s="3">
        <v>725</v>
      </c>
      <c r="B731" s="3" t="s">
        <v>58</v>
      </c>
      <c r="C731" s="3" t="s">
        <v>130</v>
      </c>
      <c r="D731" s="3" t="s">
        <v>617</v>
      </c>
      <c r="E731" s="3" t="s">
        <v>212</v>
      </c>
    </row>
    <row r="732" spans="1:5" x14ac:dyDescent="0.2">
      <c r="A732" s="3">
        <v>726</v>
      </c>
      <c r="B732" s="3" t="s">
        <v>58</v>
      </c>
      <c r="C732" s="3" t="s">
        <v>130</v>
      </c>
      <c r="D732" s="3" t="s">
        <v>619</v>
      </c>
      <c r="E732" s="3" t="s">
        <v>212</v>
      </c>
    </row>
    <row r="733" spans="1:5" x14ac:dyDescent="0.2">
      <c r="A733" s="3">
        <v>727</v>
      </c>
      <c r="B733" s="3" t="s">
        <v>58</v>
      </c>
      <c r="C733" s="3" t="s">
        <v>130</v>
      </c>
      <c r="D733" s="3" t="s">
        <v>620</v>
      </c>
      <c r="E733" s="3" t="s">
        <v>212</v>
      </c>
    </row>
    <row r="734" spans="1:5" x14ac:dyDescent="0.2">
      <c r="A734" s="3">
        <v>728</v>
      </c>
      <c r="B734" s="3" t="s">
        <v>58</v>
      </c>
      <c r="C734" s="3" t="s">
        <v>132</v>
      </c>
      <c r="D734" s="3" t="s">
        <v>621</v>
      </c>
      <c r="E734" s="3" t="s">
        <v>212</v>
      </c>
    </row>
    <row r="735" spans="1:5" x14ac:dyDescent="0.2">
      <c r="A735" s="3">
        <v>729</v>
      </c>
      <c r="B735" s="3" t="s">
        <v>58</v>
      </c>
      <c r="C735" s="3" t="s">
        <v>132</v>
      </c>
      <c r="D735" s="3" t="s">
        <v>1161</v>
      </c>
      <c r="E735" s="3" t="s">
        <v>523</v>
      </c>
    </row>
    <row r="736" spans="1:5" x14ac:dyDescent="0.2">
      <c r="A736" s="3">
        <v>730</v>
      </c>
      <c r="B736" s="3" t="s">
        <v>58</v>
      </c>
      <c r="C736" s="3" t="s">
        <v>132</v>
      </c>
      <c r="D736" s="3" t="s">
        <v>1162</v>
      </c>
      <c r="E736" s="3" t="s">
        <v>212</v>
      </c>
    </row>
    <row r="737" spans="1:5" x14ac:dyDescent="0.2">
      <c r="A737" s="3">
        <v>731</v>
      </c>
      <c r="B737" s="3" t="s">
        <v>58</v>
      </c>
      <c r="C737" s="3" t="s">
        <v>132</v>
      </c>
      <c r="D737" s="3" t="s">
        <v>622</v>
      </c>
      <c r="E737" s="3" t="s">
        <v>796</v>
      </c>
    </row>
    <row r="738" spans="1:5" x14ac:dyDescent="0.2">
      <c r="A738" s="3">
        <v>732</v>
      </c>
      <c r="B738" s="3" t="s">
        <v>58</v>
      </c>
      <c r="C738" s="3" t="s">
        <v>134</v>
      </c>
      <c r="D738" s="3" t="s">
        <v>623</v>
      </c>
      <c r="E738" s="3" t="s">
        <v>212</v>
      </c>
    </row>
    <row r="739" spans="1:5" x14ac:dyDescent="0.2">
      <c r="A739" s="3">
        <v>733</v>
      </c>
      <c r="B739" s="3" t="s">
        <v>58</v>
      </c>
      <c r="C739" s="3" t="s">
        <v>134</v>
      </c>
      <c r="D739" s="3" t="s">
        <v>1163</v>
      </c>
      <c r="E739" s="3" t="s">
        <v>212</v>
      </c>
    </row>
    <row r="740" spans="1:5" x14ac:dyDescent="0.2">
      <c r="A740" s="3">
        <v>734</v>
      </c>
      <c r="B740" s="3" t="s">
        <v>58</v>
      </c>
      <c r="C740" s="3" t="s">
        <v>135</v>
      </c>
      <c r="D740" s="3" t="s">
        <v>1164</v>
      </c>
      <c r="E740" s="3" t="s">
        <v>212</v>
      </c>
    </row>
    <row r="741" spans="1:5" x14ac:dyDescent="0.2">
      <c r="A741" s="3">
        <v>735</v>
      </c>
      <c r="B741" s="3" t="s">
        <v>58</v>
      </c>
      <c r="C741" s="3" t="s">
        <v>135</v>
      </c>
      <c r="D741" s="3" t="s">
        <v>624</v>
      </c>
      <c r="E741" s="3" t="s">
        <v>523</v>
      </c>
    </row>
    <row r="742" spans="1:5" x14ac:dyDescent="0.2">
      <c r="A742" s="3">
        <v>736</v>
      </c>
      <c r="B742" s="3" t="s">
        <v>58</v>
      </c>
      <c r="C742" s="3" t="s">
        <v>135</v>
      </c>
      <c r="D742" s="3" t="s">
        <v>1165</v>
      </c>
      <c r="E742" s="3" t="s">
        <v>212</v>
      </c>
    </row>
    <row r="743" spans="1:5" x14ac:dyDescent="0.2">
      <c r="A743" s="3">
        <v>737</v>
      </c>
      <c r="B743" s="3" t="s">
        <v>58</v>
      </c>
      <c r="C743" s="3" t="s">
        <v>135</v>
      </c>
      <c r="D743" s="3" t="s">
        <v>1166</v>
      </c>
      <c r="E743" s="3" t="s">
        <v>523</v>
      </c>
    </row>
    <row r="744" spans="1:5" x14ac:dyDescent="0.2">
      <c r="A744" s="3">
        <v>738</v>
      </c>
      <c r="B744" s="3" t="s">
        <v>58</v>
      </c>
      <c r="C744" s="3" t="s">
        <v>137</v>
      </c>
      <c r="D744" s="3" t="s">
        <v>625</v>
      </c>
      <c r="E744" s="3" t="s">
        <v>212</v>
      </c>
    </row>
    <row r="745" spans="1:5" x14ac:dyDescent="0.2">
      <c r="A745" s="3">
        <v>739</v>
      </c>
      <c r="B745" s="3" t="s">
        <v>58</v>
      </c>
      <c r="C745" s="3" t="s">
        <v>137</v>
      </c>
      <c r="D745" s="3" t="s">
        <v>1167</v>
      </c>
      <c r="E745" s="3" t="s">
        <v>804</v>
      </c>
    </row>
    <row r="746" spans="1:5" x14ac:dyDescent="0.2">
      <c r="A746" s="3">
        <v>740</v>
      </c>
      <c r="B746" s="3" t="s">
        <v>58</v>
      </c>
      <c r="C746" s="3" t="s">
        <v>137</v>
      </c>
      <c r="D746" s="3" t="s">
        <v>1168</v>
      </c>
      <c r="E746" s="3" t="s">
        <v>212</v>
      </c>
    </row>
    <row r="747" spans="1:5" x14ac:dyDescent="0.2">
      <c r="A747" s="3">
        <v>741</v>
      </c>
      <c r="B747" s="3" t="s">
        <v>58</v>
      </c>
      <c r="C747" s="3" t="s">
        <v>137</v>
      </c>
      <c r="D747" s="3" t="s">
        <v>1169</v>
      </c>
      <c r="E747" s="3" t="s">
        <v>796</v>
      </c>
    </row>
    <row r="748" spans="1:5" x14ac:dyDescent="0.2">
      <c r="A748" s="3">
        <v>742</v>
      </c>
      <c r="B748" s="3" t="s">
        <v>58</v>
      </c>
      <c r="C748" s="3" t="s">
        <v>138</v>
      </c>
      <c r="D748" s="3" t="s">
        <v>1170</v>
      </c>
      <c r="E748" s="3" t="s">
        <v>212</v>
      </c>
    </row>
    <row r="749" spans="1:5" x14ac:dyDescent="0.2">
      <c r="A749" s="3">
        <v>743</v>
      </c>
      <c r="B749" s="3" t="s">
        <v>58</v>
      </c>
      <c r="C749" s="3" t="s">
        <v>138</v>
      </c>
      <c r="D749" s="3" t="s">
        <v>1171</v>
      </c>
      <c r="E749" s="3" t="s">
        <v>212</v>
      </c>
    </row>
    <row r="750" spans="1:5" x14ac:dyDescent="0.2">
      <c r="A750" s="3">
        <v>744</v>
      </c>
      <c r="B750" s="3" t="s">
        <v>58</v>
      </c>
      <c r="C750" s="3" t="s">
        <v>139</v>
      </c>
      <c r="D750" s="3" t="s">
        <v>1172</v>
      </c>
      <c r="E750" s="3" t="s">
        <v>212</v>
      </c>
    </row>
    <row r="751" spans="1:5" x14ac:dyDescent="0.2">
      <c r="A751" s="3">
        <v>745</v>
      </c>
      <c r="B751" s="3" t="s">
        <v>58</v>
      </c>
      <c r="C751" s="3" t="s">
        <v>139</v>
      </c>
      <c r="D751" s="3" t="s">
        <v>1173</v>
      </c>
      <c r="E751" s="3" t="s">
        <v>212</v>
      </c>
    </row>
    <row r="752" spans="1:5" x14ac:dyDescent="0.2">
      <c r="A752" s="3">
        <v>746</v>
      </c>
      <c r="B752" s="3" t="s">
        <v>54</v>
      </c>
      <c r="C752" s="3" t="s">
        <v>140</v>
      </c>
      <c r="D752" s="3" t="s">
        <v>1174</v>
      </c>
      <c r="E752" s="3" t="s">
        <v>212</v>
      </c>
    </row>
    <row r="753" spans="1:5" x14ac:dyDescent="0.2">
      <c r="A753" s="3">
        <v>747</v>
      </c>
      <c r="B753" s="3" t="s">
        <v>54</v>
      </c>
      <c r="C753" s="3" t="s">
        <v>140</v>
      </c>
      <c r="D753" s="3" t="s">
        <v>626</v>
      </c>
      <c r="E753" s="3" t="s">
        <v>208</v>
      </c>
    </row>
    <row r="754" spans="1:5" x14ac:dyDescent="0.2">
      <c r="A754" s="3">
        <v>748</v>
      </c>
      <c r="B754" s="3" t="s">
        <v>54</v>
      </c>
      <c r="C754" s="3" t="s">
        <v>140</v>
      </c>
      <c r="D754" s="3" t="s">
        <v>627</v>
      </c>
      <c r="E754" s="3" t="s">
        <v>212</v>
      </c>
    </row>
    <row r="755" spans="1:5" x14ac:dyDescent="0.2">
      <c r="A755" s="3">
        <v>749</v>
      </c>
      <c r="B755" s="3" t="s">
        <v>54</v>
      </c>
      <c r="C755" s="3" t="s">
        <v>140</v>
      </c>
      <c r="D755" s="3" t="s">
        <v>628</v>
      </c>
      <c r="E755" s="3" t="s">
        <v>212</v>
      </c>
    </row>
    <row r="756" spans="1:5" x14ac:dyDescent="0.2">
      <c r="A756" s="3">
        <v>750</v>
      </c>
      <c r="B756" s="3" t="s">
        <v>54</v>
      </c>
      <c r="C756" s="3" t="s">
        <v>140</v>
      </c>
      <c r="D756" s="3" t="s">
        <v>1175</v>
      </c>
      <c r="E756" s="3" t="s">
        <v>212</v>
      </c>
    </row>
    <row r="757" spans="1:5" x14ac:dyDescent="0.2">
      <c r="A757" s="3">
        <v>751</v>
      </c>
      <c r="B757" s="3" t="s">
        <v>54</v>
      </c>
      <c r="C757" s="3" t="s">
        <v>140</v>
      </c>
      <c r="D757" s="3" t="s">
        <v>629</v>
      </c>
      <c r="E757" s="3" t="s">
        <v>212</v>
      </c>
    </row>
    <row r="758" spans="1:5" x14ac:dyDescent="0.2">
      <c r="A758" s="3">
        <v>752</v>
      </c>
      <c r="B758" s="3" t="s">
        <v>54</v>
      </c>
      <c r="C758" s="3" t="s">
        <v>140</v>
      </c>
      <c r="D758" s="3" t="s">
        <v>1176</v>
      </c>
      <c r="E758" s="3" t="s">
        <v>212</v>
      </c>
    </row>
    <row r="759" spans="1:5" x14ac:dyDescent="0.2">
      <c r="A759" s="3">
        <v>753</v>
      </c>
      <c r="B759" s="3" t="s">
        <v>54</v>
      </c>
      <c r="C759" s="3" t="s">
        <v>140</v>
      </c>
      <c r="D759" s="3" t="s">
        <v>630</v>
      </c>
      <c r="E759" s="3" t="s">
        <v>212</v>
      </c>
    </row>
    <row r="760" spans="1:5" x14ac:dyDescent="0.2">
      <c r="A760" s="3">
        <v>754</v>
      </c>
      <c r="B760" s="3" t="s">
        <v>54</v>
      </c>
      <c r="C760" s="3" t="s">
        <v>142</v>
      </c>
      <c r="D760" s="3" t="s">
        <v>1177</v>
      </c>
      <c r="E760" s="3" t="s">
        <v>212</v>
      </c>
    </row>
    <row r="761" spans="1:5" x14ac:dyDescent="0.2">
      <c r="A761" s="3">
        <v>755</v>
      </c>
      <c r="B761" s="3" t="s">
        <v>54</v>
      </c>
      <c r="C761" s="3" t="s">
        <v>142</v>
      </c>
      <c r="D761" s="3" t="s">
        <v>631</v>
      </c>
      <c r="E761" s="3" t="s">
        <v>214</v>
      </c>
    </row>
    <row r="762" spans="1:5" x14ac:dyDescent="0.2">
      <c r="A762" s="3">
        <v>756</v>
      </c>
      <c r="B762" s="3" t="s">
        <v>54</v>
      </c>
      <c r="C762" s="3" t="s">
        <v>143</v>
      </c>
      <c r="D762" s="3" t="s">
        <v>1178</v>
      </c>
      <c r="E762" s="3" t="s">
        <v>212</v>
      </c>
    </row>
    <row r="763" spans="1:5" x14ac:dyDescent="0.2">
      <c r="A763" s="3">
        <v>757</v>
      </c>
      <c r="B763" s="3" t="s">
        <v>54</v>
      </c>
      <c r="C763" s="3" t="s">
        <v>143</v>
      </c>
      <c r="D763" s="3" t="s">
        <v>632</v>
      </c>
      <c r="E763" s="3" t="s">
        <v>308</v>
      </c>
    </row>
    <row r="764" spans="1:5" x14ac:dyDescent="0.2">
      <c r="A764" s="3">
        <v>758</v>
      </c>
      <c r="B764" s="3" t="s">
        <v>54</v>
      </c>
      <c r="C764" s="3" t="s">
        <v>143</v>
      </c>
      <c r="D764" s="3" t="s">
        <v>1179</v>
      </c>
      <c r="E764" s="3" t="s">
        <v>212</v>
      </c>
    </row>
    <row r="765" spans="1:5" x14ac:dyDescent="0.2">
      <c r="A765" s="3">
        <v>759</v>
      </c>
      <c r="B765" s="3" t="s">
        <v>54</v>
      </c>
      <c r="C765" s="3" t="s">
        <v>143</v>
      </c>
      <c r="D765" s="3" t="s">
        <v>1180</v>
      </c>
      <c r="E765" s="3" t="s">
        <v>214</v>
      </c>
    </row>
    <row r="766" spans="1:5" x14ac:dyDescent="0.2">
      <c r="A766" s="3">
        <v>760</v>
      </c>
      <c r="B766" s="3" t="s">
        <v>54</v>
      </c>
      <c r="C766" s="3" t="s">
        <v>145</v>
      </c>
      <c r="D766" s="3" t="s">
        <v>634</v>
      </c>
      <c r="E766" s="3" t="s">
        <v>214</v>
      </c>
    </row>
    <row r="767" spans="1:5" x14ac:dyDescent="0.2">
      <c r="A767" s="3">
        <v>761</v>
      </c>
      <c r="B767" s="3" t="s">
        <v>54</v>
      </c>
      <c r="C767" s="3" t="s">
        <v>145</v>
      </c>
      <c r="D767" s="3" t="s">
        <v>633</v>
      </c>
      <c r="E767" s="3" t="s">
        <v>212</v>
      </c>
    </row>
    <row r="768" spans="1:5" x14ac:dyDescent="0.2">
      <c r="A768" s="3">
        <v>762</v>
      </c>
      <c r="B768" s="3" t="s">
        <v>54</v>
      </c>
      <c r="C768" s="3" t="s">
        <v>145</v>
      </c>
      <c r="D768" s="3" t="s">
        <v>635</v>
      </c>
      <c r="E768" s="3" t="s">
        <v>212</v>
      </c>
    </row>
    <row r="769" spans="1:5" x14ac:dyDescent="0.2">
      <c r="A769" s="3">
        <v>763</v>
      </c>
      <c r="B769" s="3" t="s">
        <v>54</v>
      </c>
      <c r="C769" s="3" t="s">
        <v>145</v>
      </c>
      <c r="D769" s="3" t="s">
        <v>636</v>
      </c>
      <c r="E769" s="3" t="s">
        <v>416</v>
      </c>
    </row>
    <row r="770" spans="1:5" x14ac:dyDescent="0.2">
      <c r="A770" s="3">
        <v>764</v>
      </c>
      <c r="B770" s="3" t="s">
        <v>54</v>
      </c>
      <c r="C770" s="3" t="s">
        <v>146</v>
      </c>
      <c r="D770" s="3" t="s">
        <v>638</v>
      </c>
      <c r="E770" s="3" t="s">
        <v>212</v>
      </c>
    </row>
    <row r="771" spans="1:5" x14ac:dyDescent="0.2">
      <c r="A771" s="3">
        <v>765</v>
      </c>
      <c r="B771" s="3" t="s">
        <v>54</v>
      </c>
      <c r="C771" s="3" t="s">
        <v>146</v>
      </c>
      <c r="D771" s="3" t="s">
        <v>639</v>
      </c>
      <c r="E771" s="3" t="s">
        <v>212</v>
      </c>
    </row>
    <row r="772" spans="1:5" x14ac:dyDescent="0.2">
      <c r="A772" s="3">
        <v>766</v>
      </c>
      <c r="B772" s="3" t="s">
        <v>54</v>
      </c>
      <c r="C772" s="3" t="s">
        <v>146</v>
      </c>
      <c r="D772" s="3" t="s">
        <v>1181</v>
      </c>
      <c r="E772" s="3" t="s">
        <v>212</v>
      </c>
    </row>
    <row r="773" spans="1:5" x14ac:dyDescent="0.2">
      <c r="A773" s="3">
        <v>767</v>
      </c>
      <c r="B773" s="3" t="s">
        <v>54</v>
      </c>
      <c r="C773" s="3" t="s">
        <v>146</v>
      </c>
      <c r="D773" s="3" t="s">
        <v>637</v>
      </c>
      <c r="E773" s="3" t="s">
        <v>208</v>
      </c>
    </row>
    <row r="774" spans="1:5" x14ac:dyDescent="0.2">
      <c r="A774" s="3">
        <v>768</v>
      </c>
      <c r="B774" s="3" t="s">
        <v>54</v>
      </c>
      <c r="C774" s="3" t="s">
        <v>149</v>
      </c>
      <c r="D774" s="3" t="s">
        <v>1182</v>
      </c>
      <c r="E774" s="3" t="s">
        <v>212</v>
      </c>
    </row>
    <row r="775" spans="1:5" x14ac:dyDescent="0.2">
      <c r="A775" s="3">
        <v>769</v>
      </c>
      <c r="B775" s="3" t="s">
        <v>54</v>
      </c>
      <c r="C775" s="3" t="s">
        <v>149</v>
      </c>
      <c r="D775" s="3" t="s">
        <v>640</v>
      </c>
      <c r="E775" s="3" t="s">
        <v>212</v>
      </c>
    </row>
    <row r="776" spans="1:5" x14ac:dyDescent="0.2">
      <c r="A776" s="3">
        <v>770</v>
      </c>
      <c r="B776" s="3" t="s">
        <v>54</v>
      </c>
      <c r="C776" s="3" t="s">
        <v>149</v>
      </c>
      <c r="D776" s="3" t="s">
        <v>641</v>
      </c>
      <c r="E776" s="3" t="s">
        <v>208</v>
      </c>
    </row>
    <row r="777" spans="1:5" x14ac:dyDescent="0.2">
      <c r="A777" s="3">
        <v>771</v>
      </c>
      <c r="B777" s="3" t="s">
        <v>54</v>
      </c>
      <c r="C777" s="3" t="s">
        <v>149</v>
      </c>
      <c r="D777" s="3" t="s">
        <v>642</v>
      </c>
      <c r="E777" s="3" t="s">
        <v>801</v>
      </c>
    </row>
    <row r="778" spans="1:5" x14ac:dyDescent="0.2">
      <c r="A778" s="3">
        <v>772</v>
      </c>
      <c r="B778" s="3" t="s">
        <v>54</v>
      </c>
      <c r="C778" s="3" t="s">
        <v>149</v>
      </c>
      <c r="D778" s="3" t="s">
        <v>643</v>
      </c>
      <c r="E778" s="3" t="s">
        <v>212</v>
      </c>
    </row>
    <row r="779" spans="1:5" x14ac:dyDescent="0.2">
      <c r="A779" s="3">
        <v>773</v>
      </c>
      <c r="B779" s="3" t="s">
        <v>54</v>
      </c>
      <c r="C779" s="3" t="s">
        <v>149</v>
      </c>
      <c r="D779" s="3" t="s">
        <v>644</v>
      </c>
      <c r="E779" s="3" t="s">
        <v>208</v>
      </c>
    </row>
    <row r="780" spans="1:5" x14ac:dyDescent="0.2">
      <c r="A780" s="3">
        <v>774</v>
      </c>
      <c r="B780" s="3" t="s">
        <v>54</v>
      </c>
      <c r="C780" s="3" t="s">
        <v>150</v>
      </c>
      <c r="D780" s="3" t="s">
        <v>645</v>
      </c>
      <c r="E780" s="3" t="s">
        <v>523</v>
      </c>
    </row>
    <row r="781" spans="1:5" x14ac:dyDescent="0.2">
      <c r="A781" s="3">
        <v>775</v>
      </c>
      <c r="B781" s="3" t="s">
        <v>54</v>
      </c>
      <c r="C781" s="3" t="s">
        <v>150</v>
      </c>
      <c r="D781" s="3" t="s">
        <v>1183</v>
      </c>
      <c r="E781" s="3" t="s">
        <v>230</v>
      </c>
    </row>
    <row r="782" spans="1:5" x14ac:dyDescent="0.2">
      <c r="A782" s="3">
        <v>776</v>
      </c>
      <c r="B782" s="3" t="s">
        <v>54</v>
      </c>
      <c r="C782" s="3" t="s">
        <v>150</v>
      </c>
      <c r="D782" s="3" t="s">
        <v>1184</v>
      </c>
      <c r="E782" s="3" t="s">
        <v>212</v>
      </c>
    </row>
    <row r="783" spans="1:5" x14ac:dyDescent="0.2">
      <c r="A783" s="3">
        <v>777</v>
      </c>
      <c r="B783" s="3" t="s">
        <v>54</v>
      </c>
      <c r="C783" s="3" t="s">
        <v>150</v>
      </c>
      <c r="D783" s="3" t="s">
        <v>1185</v>
      </c>
      <c r="E783" s="3" t="s">
        <v>801</v>
      </c>
    </row>
    <row r="784" spans="1:5" x14ac:dyDescent="0.2">
      <c r="A784" s="3">
        <v>778</v>
      </c>
      <c r="B784" s="3" t="s">
        <v>54</v>
      </c>
      <c r="C784" s="3" t="s">
        <v>152</v>
      </c>
      <c r="D784" s="3" t="s">
        <v>1186</v>
      </c>
      <c r="E784" s="3" t="s">
        <v>792</v>
      </c>
    </row>
    <row r="785" spans="1:5" x14ac:dyDescent="0.2">
      <c r="A785" s="3">
        <v>779</v>
      </c>
      <c r="B785" s="3" t="s">
        <v>54</v>
      </c>
      <c r="C785" s="3" t="s">
        <v>152</v>
      </c>
      <c r="D785" s="3" t="s">
        <v>646</v>
      </c>
      <c r="E785" s="3" t="s">
        <v>212</v>
      </c>
    </row>
    <row r="786" spans="1:5" x14ac:dyDescent="0.2">
      <c r="A786" s="3">
        <v>780</v>
      </c>
      <c r="B786" s="3" t="s">
        <v>54</v>
      </c>
      <c r="C786" s="3" t="s">
        <v>152</v>
      </c>
      <c r="D786" s="3" t="s">
        <v>648</v>
      </c>
      <c r="E786" s="3" t="s">
        <v>212</v>
      </c>
    </row>
    <row r="787" spans="1:5" x14ac:dyDescent="0.2">
      <c r="A787" s="3">
        <v>781</v>
      </c>
      <c r="B787" s="3" t="s">
        <v>54</v>
      </c>
      <c r="C787" s="3" t="s">
        <v>152</v>
      </c>
      <c r="D787" s="3" t="s">
        <v>647</v>
      </c>
      <c r="E787" s="3" t="s">
        <v>212</v>
      </c>
    </row>
    <row r="788" spans="1:5" x14ac:dyDescent="0.2">
      <c r="A788" s="3">
        <v>782</v>
      </c>
      <c r="B788" s="3" t="s">
        <v>54</v>
      </c>
      <c r="C788" s="3" t="s">
        <v>153</v>
      </c>
      <c r="D788" s="3" t="s">
        <v>649</v>
      </c>
      <c r="E788" s="3" t="s">
        <v>208</v>
      </c>
    </row>
    <row r="789" spans="1:5" x14ac:dyDescent="0.2">
      <c r="A789" s="3">
        <v>783</v>
      </c>
      <c r="B789" s="3" t="s">
        <v>54</v>
      </c>
      <c r="C789" s="3" t="s">
        <v>153</v>
      </c>
      <c r="D789" s="3" t="s">
        <v>838</v>
      </c>
      <c r="E789" s="3" t="s">
        <v>212</v>
      </c>
    </row>
    <row r="790" spans="1:5" x14ac:dyDescent="0.2">
      <c r="A790" s="3">
        <v>784</v>
      </c>
      <c r="B790" s="3" t="s">
        <v>54</v>
      </c>
      <c r="C790" s="3" t="s">
        <v>153</v>
      </c>
      <c r="D790" s="3" t="s">
        <v>1187</v>
      </c>
      <c r="E790" s="3" t="s">
        <v>208</v>
      </c>
    </row>
    <row r="791" spans="1:5" x14ac:dyDescent="0.2">
      <c r="A791" s="3">
        <v>785</v>
      </c>
      <c r="B791" s="3" t="s">
        <v>54</v>
      </c>
      <c r="C791" s="3" t="s">
        <v>153</v>
      </c>
      <c r="D791" s="3" t="s">
        <v>838</v>
      </c>
      <c r="E791" s="3" t="s">
        <v>806</v>
      </c>
    </row>
    <row r="792" spans="1:5" x14ac:dyDescent="0.2">
      <c r="A792" s="3">
        <v>786</v>
      </c>
      <c r="B792" s="3" t="s">
        <v>54</v>
      </c>
      <c r="C792" s="3" t="s">
        <v>154</v>
      </c>
      <c r="D792" s="3" t="s">
        <v>815</v>
      </c>
      <c r="E792" s="3" t="s">
        <v>212</v>
      </c>
    </row>
    <row r="793" spans="1:5" x14ac:dyDescent="0.2">
      <c r="A793" s="3">
        <v>787</v>
      </c>
      <c r="B793" s="3" t="s">
        <v>54</v>
      </c>
      <c r="C793" s="3" t="s">
        <v>154</v>
      </c>
      <c r="D793" s="3" t="s">
        <v>839</v>
      </c>
      <c r="E793" s="3" t="s">
        <v>212</v>
      </c>
    </row>
    <row r="794" spans="1:5" x14ac:dyDescent="0.2">
      <c r="A794" s="3">
        <v>788</v>
      </c>
      <c r="B794" s="3" t="s">
        <v>54</v>
      </c>
      <c r="C794" s="3" t="s">
        <v>154</v>
      </c>
      <c r="D794" s="3" t="s">
        <v>1188</v>
      </c>
      <c r="E794" s="3" t="s">
        <v>212</v>
      </c>
    </row>
    <row r="795" spans="1:5" x14ac:dyDescent="0.2">
      <c r="A795" s="3">
        <v>789</v>
      </c>
      <c r="B795" s="3" t="s">
        <v>54</v>
      </c>
      <c r="C795" s="3" t="s">
        <v>154</v>
      </c>
      <c r="D795" s="3" t="s">
        <v>650</v>
      </c>
      <c r="E795" s="3" t="s">
        <v>212</v>
      </c>
    </row>
    <row r="796" spans="1:5" x14ac:dyDescent="0.2">
      <c r="A796" s="3">
        <v>790</v>
      </c>
      <c r="B796" s="3" t="s">
        <v>54</v>
      </c>
      <c r="C796" s="3" t="s">
        <v>155</v>
      </c>
      <c r="D796" s="3" t="s">
        <v>651</v>
      </c>
      <c r="E796" s="3" t="s">
        <v>212</v>
      </c>
    </row>
    <row r="797" spans="1:5" x14ac:dyDescent="0.2">
      <c r="A797" s="3">
        <v>791</v>
      </c>
      <c r="B797" s="3" t="s">
        <v>54</v>
      </c>
      <c r="C797" s="3" t="s">
        <v>155</v>
      </c>
      <c r="D797" s="3" t="s">
        <v>652</v>
      </c>
      <c r="E797" s="3" t="s">
        <v>308</v>
      </c>
    </row>
    <row r="798" spans="1:5" x14ac:dyDescent="0.2">
      <c r="A798" s="3">
        <v>792</v>
      </c>
      <c r="B798" s="3" t="s">
        <v>49</v>
      </c>
      <c r="C798" s="3" t="s">
        <v>157</v>
      </c>
      <c r="D798" s="3" t="s">
        <v>653</v>
      </c>
      <c r="E798" s="3" t="s">
        <v>212</v>
      </c>
    </row>
    <row r="799" spans="1:5" x14ac:dyDescent="0.2">
      <c r="A799" s="3">
        <v>793</v>
      </c>
      <c r="B799" s="3" t="s">
        <v>49</v>
      </c>
      <c r="C799" s="3" t="s">
        <v>157</v>
      </c>
      <c r="D799" s="3" t="s">
        <v>654</v>
      </c>
      <c r="E799" s="3" t="s">
        <v>212</v>
      </c>
    </row>
    <row r="800" spans="1:5" x14ac:dyDescent="0.2">
      <c r="A800" s="3">
        <v>794</v>
      </c>
      <c r="B800" s="3" t="s">
        <v>49</v>
      </c>
      <c r="C800" s="3" t="s">
        <v>157</v>
      </c>
      <c r="D800" s="3" t="s">
        <v>655</v>
      </c>
      <c r="E800" s="3" t="s">
        <v>212</v>
      </c>
    </row>
    <row r="801" spans="1:5" x14ac:dyDescent="0.2">
      <c r="A801" s="3">
        <v>795</v>
      </c>
      <c r="B801" s="3" t="s">
        <v>49</v>
      </c>
      <c r="C801" s="3" t="s">
        <v>157</v>
      </c>
      <c r="D801" s="3" t="s">
        <v>1189</v>
      </c>
      <c r="E801" s="3" t="s">
        <v>212</v>
      </c>
    </row>
    <row r="802" spans="1:5" x14ac:dyDescent="0.2">
      <c r="A802" s="3">
        <v>796</v>
      </c>
      <c r="B802" s="3" t="s">
        <v>49</v>
      </c>
      <c r="C802" s="3" t="s">
        <v>157</v>
      </c>
      <c r="D802" s="3" t="s">
        <v>656</v>
      </c>
      <c r="E802" s="3" t="s">
        <v>212</v>
      </c>
    </row>
    <row r="803" spans="1:5" x14ac:dyDescent="0.2">
      <c r="A803" s="3">
        <v>797</v>
      </c>
      <c r="B803" s="3" t="s">
        <v>49</v>
      </c>
      <c r="C803" s="3" t="s">
        <v>157</v>
      </c>
      <c r="D803" s="3" t="s">
        <v>657</v>
      </c>
      <c r="E803" s="3" t="s">
        <v>212</v>
      </c>
    </row>
    <row r="804" spans="1:5" x14ac:dyDescent="0.2">
      <c r="A804" s="3">
        <v>798</v>
      </c>
      <c r="B804" s="3" t="s">
        <v>49</v>
      </c>
      <c r="C804" s="3" t="s">
        <v>157</v>
      </c>
      <c r="D804" s="3" t="s">
        <v>658</v>
      </c>
      <c r="E804" s="3" t="s">
        <v>212</v>
      </c>
    </row>
    <row r="805" spans="1:5" x14ac:dyDescent="0.2">
      <c r="A805" s="3">
        <v>799</v>
      </c>
      <c r="B805" s="3" t="s">
        <v>49</v>
      </c>
      <c r="C805" s="3" t="s">
        <v>157</v>
      </c>
      <c r="D805" s="3" t="s">
        <v>1190</v>
      </c>
      <c r="E805" s="3" t="s">
        <v>212</v>
      </c>
    </row>
    <row r="806" spans="1:5" x14ac:dyDescent="0.2">
      <c r="A806" s="3">
        <v>800</v>
      </c>
      <c r="B806" s="3" t="s">
        <v>49</v>
      </c>
      <c r="C806" s="3" t="s">
        <v>157</v>
      </c>
      <c r="D806" s="3" t="s">
        <v>659</v>
      </c>
      <c r="E806" s="3" t="s">
        <v>212</v>
      </c>
    </row>
    <row r="807" spans="1:5" x14ac:dyDescent="0.2">
      <c r="A807" s="3">
        <v>801</v>
      </c>
      <c r="B807" s="3" t="s">
        <v>49</v>
      </c>
      <c r="C807" s="3" t="s">
        <v>157</v>
      </c>
      <c r="D807" s="3" t="s">
        <v>661</v>
      </c>
      <c r="E807" s="3" t="s">
        <v>208</v>
      </c>
    </row>
    <row r="808" spans="1:5" x14ac:dyDescent="0.2">
      <c r="A808" s="3">
        <v>802</v>
      </c>
      <c r="B808" s="3" t="s">
        <v>49</v>
      </c>
      <c r="C808" s="3" t="s">
        <v>157</v>
      </c>
      <c r="D808" s="3" t="s">
        <v>660</v>
      </c>
      <c r="E808" s="3" t="s">
        <v>212</v>
      </c>
    </row>
    <row r="809" spans="1:5" x14ac:dyDescent="0.2">
      <c r="A809" s="3">
        <v>803</v>
      </c>
      <c r="B809" s="3" t="s">
        <v>49</v>
      </c>
      <c r="C809" s="3" t="s">
        <v>157</v>
      </c>
      <c r="D809" s="3" t="s">
        <v>662</v>
      </c>
      <c r="E809" s="3" t="s">
        <v>208</v>
      </c>
    </row>
    <row r="810" spans="1:5" x14ac:dyDescent="0.2">
      <c r="A810" s="3">
        <v>804</v>
      </c>
      <c r="B810" s="3" t="s">
        <v>49</v>
      </c>
      <c r="C810" s="3" t="s">
        <v>159</v>
      </c>
      <c r="D810" s="3" t="s">
        <v>663</v>
      </c>
      <c r="E810" s="3" t="s">
        <v>393</v>
      </c>
    </row>
    <row r="811" spans="1:5" x14ac:dyDescent="0.2">
      <c r="A811" s="3">
        <v>805</v>
      </c>
      <c r="B811" s="3" t="s">
        <v>49</v>
      </c>
      <c r="C811" s="3" t="s">
        <v>159</v>
      </c>
      <c r="D811" s="3" t="s">
        <v>1191</v>
      </c>
      <c r="E811" s="3" t="s">
        <v>450</v>
      </c>
    </row>
    <row r="812" spans="1:5" x14ac:dyDescent="0.2">
      <c r="A812" s="3">
        <v>806</v>
      </c>
      <c r="B812" s="3" t="s">
        <v>49</v>
      </c>
      <c r="C812" s="3" t="s">
        <v>159</v>
      </c>
      <c r="D812" s="3" t="s">
        <v>664</v>
      </c>
      <c r="E812" s="3" t="s">
        <v>249</v>
      </c>
    </row>
    <row r="813" spans="1:5" x14ac:dyDescent="0.2">
      <c r="A813" s="3">
        <v>807</v>
      </c>
      <c r="B813" s="3" t="s">
        <v>49</v>
      </c>
      <c r="C813" s="3" t="s">
        <v>159</v>
      </c>
      <c r="D813" s="3" t="s">
        <v>1192</v>
      </c>
      <c r="E813" s="3" t="s">
        <v>230</v>
      </c>
    </row>
    <row r="814" spans="1:5" x14ac:dyDescent="0.2">
      <c r="A814" s="3">
        <v>808</v>
      </c>
      <c r="B814" s="3" t="s">
        <v>49</v>
      </c>
      <c r="C814" s="3" t="s">
        <v>159</v>
      </c>
      <c r="D814" s="3" t="s">
        <v>666</v>
      </c>
      <c r="E814" s="3" t="s">
        <v>817</v>
      </c>
    </row>
    <row r="815" spans="1:5" x14ac:dyDescent="0.2">
      <c r="A815" s="3">
        <v>809</v>
      </c>
      <c r="B815" s="3" t="s">
        <v>49</v>
      </c>
      <c r="C815" s="3" t="s">
        <v>159</v>
      </c>
      <c r="D815" s="3" t="s">
        <v>665</v>
      </c>
      <c r="E815" s="3" t="s">
        <v>212</v>
      </c>
    </row>
    <row r="816" spans="1:5" x14ac:dyDescent="0.2">
      <c r="A816" s="3">
        <v>810</v>
      </c>
      <c r="B816" s="3" t="s">
        <v>49</v>
      </c>
      <c r="C816" s="3" t="s">
        <v>159</v>
      </c>
      <c r="D816" s="3" t="s">
        <v>667</v>
      </c>
      <c r="E816" s="3" t="s">
        <v>212</v>
      </c>
    </row>
    <row r="817" spans="1:5" x14ac:dyDescent="0.2">
      <c r="A817" s="3">
        <v>811</v>
      </c>
      <c r="B817" s="3" t="s">
        <v>49</v>
      </c>
      <c r="C817" s="3" t="s">
        <v>159</v>
      </c>
      <c r="D817" s="3" t="s">
        <v>1193</v>
      </c>
      <c r="E817" s="3" t="s">
        <v>235</v>
      </c>
    </row>
    <row r="818" spans="1:5" x14ac:dyDescent="0.2">
      <c r="A818" s="3">
        <v>812</v>
      </c>
      <c r="B818" s="3" t="s">
        <v>49</v>
      </c>
      <c r="C818" s="3" t="s">
        <v>159</v>
      </c>
      <c r="D818" s="3" t="s">
        <v>668</v>
      </c>
      <c r="E818" s="3" t="s">
        <v>816</v>
      </c>
    </row>
    <row r="819" spans="1:5" x14ac:dyDescent="0.2">
      <c r="A819" s="3">
        <v>813</v>
      </c>
      <c r="B819" s="3" t="s">
        <v>49</v>
      </c>
      <c r="C819" s="3" t="s">
        <v>161</v>
      </c>
      <c r="D819" s="3" t="s">
        <v>1194</v>
      </c>
      <c r="E819" s="3" t="s">
        <v>821</v>
      </c>
    </row>
    <row r="820" spans="1:5" x14ac:dyDescent="0.2">
      <c r="A820" s="3">
        <v>814</v>
      </c>
      <c r="B820" s="3" t="s">
        <v>49</v>
      </c>
      <c r="C820" s="3" t="s">
        <v>161</v>
      </c>
      <c r="D820" s="3" t="s">
        <v>1195</v>
      </c>
      <c r="E820" s="3" t="s">
        <v>212</v>
      </c>
    </row>
    <row r="821" spans="1:5" x14ac:dyDescent="0.2">
      <c r="A821" s="3">
        <v>815</v>
      </c>
      <c r="B821" s="3" t="s">
        <v>49</v>
      </c>
      <c r="C821" s="3" t="s">
        <v>161</v>
      </c>
      <c r="D821" s="3" t="s">
        <v>669</v>
      </c>
      <c r="E821" s="3" t="s">
        <v>460</v>
      </c>
    </row>
    <row r="822" spans="1:5" x14ac:dyDescent="0.2">
      <c r="A822" s="3">
        <v>816</v>
      </c>
      <c r="B822" s="3" t="s">
        <v>49</v>
      </c>
      <c r="C822" s="3" t="s">
        <v>161</v>
      </c>
      <c r="D822" s="3" t="s">
        <v>1196</v>
      </c>
      <c r="E822" s="3" t="s">
        <v>212</v>
      </c>
    </row>
    <row r="823" spans="1:5" x14ac:dyDescent="0.2">
      <c r="A823" s="3">
        <v>817</v>
      </c>
      <c r="B823" s="3" t="s">
        <v>49</v>
      </c>
      <c r="C823" s="3" t="s">
        <v>163</v>
      </c>
      <c r="D823" s="3" t="s">
        <v>1197</v>
      </c>
      <c r="E823" s="3" t="s">
        <v>793</v>
      </c>
    </row>
    <row r="824" spans="1:5" x14ac:dyDescent="0.2">
      <c r="A824" s="3">
        <v>818</v>
      </c>
      <c r="B824" s="3" t="s">
        <v>49</v>
      </c>
      <c r="C824" s="3" t="s">
        <v>163</v>
      </c>
      <c r="D824" s="3" t="s">
        <v>672</v>
      </c>
      <c r="E824" s="3" t="s">
        <v>212</v>
      </c>
    </row>
    <row r="825" spans="1:5" x14ac:dyDescent="0.2">
      <c r="A825" s="3">
        <v>819</v>
      </c>
      <c r="B825" s="3" t="s">
        <v>49</v>
      </c>
      <c r="C825" s="3" t="s">
        <v>163</v>
      </c>
      <c r="D825" s="3" t="s">
        <v>670</v>
      </c>
      <c r="E825" s="3" t="s">
        <v>212</v>
      </c>
    </row>
    <row r="826" spans="1:5" x14ac:dyDescent="0.2">
      <c r="A826" s="3">
        <v>820</v>
      </c>
      <c r="B826" s="3" t="s">
        <v>49</v>
      </c>
      <c r="C826" s="3" t="s">
        <v>163</v>
      </c>
      <c r="D826" s="3" t="s">
        <v>671</v>
      </c>
      <c r="E826" s="3" t="s">
        <v>212</v>
      </c>
    </row>
    <row r="827" spans="1:5" x14ac:dyDescent="0.2">
      <c r="A827" s="3">
        <v>821</v>
      </c>
      <c r="B827" s="3" t="s">
        <v>49</v>
      </c>
      <c r="C827" s="3" t="s">
        <v>164</v>
      </c>
      <c r="D827" s="3" t="s">
        <v>1198</v>
      </c>
      <c r="E827" s="3" t="s">
        <v>230</v>
      </c>
    </row>
    <row r="828" spans="1:5" x14ac:dyDescent="0.2">
      <c r="A828" s="3">
        <v>822</v>
      </c>
      <c r="B828" s="3" t="s">
        <v>49</v>
      </c>
      <c r="C828" s="3" t="s">
        <v>164</v>
      </c>
      <c r="D828" s="3" t="s">
        <v>673</v>
      </c>
      <c r="E828" s="3" t="s">
        <v>230</v>
      </c>
    </row>
    <row r="829" spans="1:5" x14ac:dyDescent="0.2">
      <c r="A829" s="3">
        <v>823</v>
      </c>
      <c r="B829" s="3" t="s">
        <v>49</v>
      </c>
      <c r="C829" s="3" t="s">
        <v>164</v>
      </c>
      <c r="D829" s="3" t="s">
        <v>674</v>
      </c>
      <c r="E829" s="3" t="s">
        <v>212</v>
      </c>
    </row>
    <row r="830" spans="1:5" x14ac:dyDescent="0.2">
      <c r="A830" s="3">
        <v>824</v>
      </c>
      <c r="B830" s="3" t="s">
        <v>49</v>
      </c>
      <c r="C830" s="3" t="s">
        <v>164</v>
      </c>
      <c r="D830" s="3" t="s">
        <v>675</v>
      </c>
      <c r="E830" s="3" t="s">
        <v>212</v>
      </c>
    </row>
    <row r="831" spans="1:5" x14ac:dyDescent="0.2">
      <c r="A831" s="3">
        <v>825</v>
      </c>
      <c r="B831" s="3" t="s">
        <v>49</v>
      </c>
      <c r="C831" s="3" t="s">
        <v>164</v>
      </c>
      <c r="D831" s="3" t="s">
        <v>677</v>
      </c>
      <c r="E831" s="3" t="s">
        <v>214</v>
      </c>
    </row>
    <row r="832" spans="1:5" x14ac:dyDescent="0.2">
      <c r="A832" s="3">
        <v>826</v>
      </c>
      <c r="B832" s="3" t="s">
        <v>49</v>
      </c>
      <c r="C832" s="3" t="s">
        <v>164</v>
      </c>
      <c r="D832" s="3" t="s">
        <v>676</v>
      </c>
      <c r="E832" s="3" t="s">
        <v>212</v>
      </c>
    </row>
    <row r="833" spans="1:5" x14ac:dyDescent="0.2">
      <c r="A833" s="3">
        <v>827</v>
      </c>
      <c r="B833" s="3" t="s">
        <v>49</v>
      </c>
      <c r="C833" s="3" t="s">
        <v>164</v>
      </c>
      <c r="D833" s="3" t="s">
        <v>678</v>
      </c>
      <c r="E833" s="3" t="s">
        <v>230</v>
      </c>
    </row>
    <row r="834" spans="1:5" x14ac:dyDescent="0.2">
      <c r="A834" s="3">
        <v>828</v>
      </c>
      <c r="B834" s="3" t="s">
        <v>49</v>
      </c>
      <c r="C834" s="3" t="s">
        <v>164</v>
      </c>
      <c r="D834" s="3" t="s">
        <v>1199</v>
      </c>
      <c r="E834" s="3" t="s">
        <v>230</v>
      </c>
    </row>
    <row r="835" spans="1:5" x14ac:dyDescent="0.2">
      <c r="A835" s="3">
        <v>829</v>
      </c>
      <c r="B835" s="3" t="s">
        <v>49</v>
      </c>
      <c r="C835" s="3" t="s">
        <v>167</v>
      </c>
      <c r="D835" s="3" t="s">
        <v>681</v>
      </c>
      <c r="E835" s="3" t="s">
        <v>230</v>
      </c>
    </row>
    <row r="836" spans="1:5" x14ac:dyDescent="0.2">
      <c r="A836" s="3">
        <v>830</v>
      </c>
      <c r="B836" s="3" t="s">
        <v>49</v>
      </c>
      <c r="C836" s="3" t="s">
        <v>167</v>
      </c>
      <c r="D836" s="3" t="s">
        <v>679</v>
      </c>
      <c r="E836" s="3" t="s">
        <v>680</v>
      </c>
    </row>
    <row r="837" spans="1:5" x14ac:dyDescent="0.2">
      <c r="A837" s="3">
        <v>831</v>
      </c>
      <c r="B837" s="3" t="s">
        <v>49</v>
      </c>
      <c r="C837" s="3" t="s">
        <v>167</v>
      </c>
      <c r="D837" s="3" t="s">
        <v>682</v>
      </c>
      <c r="E837" s="3" t="s">
        <v>212</v>
      </c>
    </row>
    <row r="838" spans="1:5" x14ac:dyDescent="0.2">
      <c r="A838" s="3">
        <v>832</v>
      </c>
      <c r="B838" s="3" t="s">
        <v>49</v>
      </c>
      <c r="C838" s="3" t="s">
        <v>167</v>
      </c>
      <c r="D838" s="3" t="s">
        <v>683</v>
      </c>
      <c r="E838" s="3" t="s">
        <v>212</v>
      </c>
    </row>
    <row r="839" spans="1:5" x14ac:dyDescent="0.2">
      <c r="A839" s="3">
        <v>833</v>
      </c>
      <c r="B839" s="3" t="s">
        <v>49</v>
      </c>
      <c r="C839" s="3" t="s">
        <v>167</v>
      </c>
      <c r="D839" s="3" t="s">
        <v>684</v>
      </c>
      <c r="E839" s="3" t="s">
        <v>212</v>
      </c>
    </row>
    <row r="840" spans="1:5" x14ac:dyDescent="0.2">
      <c r="A840" s="3">
        <v>834</v>
      </c>
      <c r="B840" s="3" t="s">
        <v>49</v>
      </c>
      <c r="C840" s="3" t="s">
        <v>167</v>
      </c>
      <c r="D840" s="3" t="s">
        <v>685</v>
      </c>
      <c r="E840" s="3" t="s">
        <v>212</v>
      </c>
    </row>
    <row r="841" spans="1:5" x14ac:dyDescent="0.2">
      <c r="A841" s="3">
        <v>835</v>
      </c>
      <c r="B841" s="3" t="s">
        <v>49</v>
      </c>
      <c r="C841" s="3" t="s">
        <v>118</v>
      </c>
      <c r="D841" s="3" t="s">
        <v>686</v>
      </c>
      <c r="E841" s="3" t="s">
        <v>212</v>
      </c>
    </row>
    <row r="842" spans="1:5" x14ac:dyDescent="0.2">
      <c r="A842" s="3">
        <v>836</v>
      </c>
      <c r="B842" s="3" t="s">
        <v>49</v>
      </c>
      <c r="C842" s="3" t="s">
        <v>118</v>
      </c>
      <c r="D842" s="3" t="s">
        <v>687</v>
      </c>
      <c r="E842" s="3" t="s">
        <v>212</v>
      </c>
    </row>
    <row r="843" spans="1:5" x14ac:dyDescent="0.2">
      <c r="A843" s="3">
        <v>837</v>
      </c>
      <c r="B843" s="3" t="s">
        <v>49</v>
      </c>
      <c r="C843" s="3" t="s">
        <v>118</v>
      </c>
      <c r="D843" s="3" t="s">
        <v>1200</v>
      </c>
      <c r="E843" s="3" t="s">
        <v>212</v>
      </c>
    </row>
    <row r="844" spans="1:5" x14ac:dyDescent="0.2">
      <c r="A844" s="3">
        <v>838</v>
      </c>
      <c r="B844" s="3" t="s">
        <v>49</v>
      </c>
      <c r="C844" s="3" t="s">
        <v>118</v>
      </c>
      <c r="D844" s="3" t="s">
        <v>688</v>
      </c>
      <c r="E844" s="3" t="s">
        <v>418</v>
      </c>
    </row>
    <row r="845" spans="1:5" x14ac:dyDescent="0.2">
      <c r="A845" s="3">
        <v>839</v>
      </c>
      <c r="B845" s="3" t="s">
        <v>49</v>
      </c>
      <c r="C845" s="3" t="s">
        <v>118</v>
      </c>
      <c r="D845" s="3" t="s">
        <v>689</v>
      </c>
      <c r="E845" s="3" t="s">
        <v>230</v>
      </c>
    </row>
    <row r="846" spans="1:5" x14ac:dyDescent="0.2">
      <c r="A846" s="3">
        <v>840</v>
      </c>
      <c r="B846" s="3" t="s">
        <v>49</v>
      </c>
      <c r="C846" s="3" t="s">
        <v>118</v>
      </c>
      <c r="D846" s="3" t="s">
        <v>1201</v>
      </c>
      <c r="E846" s="3" t="s">
        <v>208</v>
      </c>
    </row>
    <row r="847" spans="1:5" x14ac:dyDescent="0.2">
      <c r="A847" s="3">
        <v>841</v>
      </c>
      <c r="B847" s="3" t="s">
        <v>49</v>
      </c>
      <c r="C847" s="3" t="s">
        <v>118</v>
      </c>
      <c r="D847" s="3" t="s">
        <v>690</v>
      </c>
      <c r="E847" s="3" t="s">
        <v>212</v>
      </c>
    </row>
    <row r="848" spans="1:5" x14ac:dyDescent="0.2">
      <c r="A848" s="3">
        <v>842</v>
      </c>
      <c r="B848" s="3" t="s">
        <v>49</v>
      </c>
      <c r="C848" s="3" t="s">
        <v>118</v>
      </c>
      <c r="D848" s="3" t="s">
        <v>691</v>
      </c>
      <c r="E848" s="3" t="s">
        <v>212</v>
      </c>
    </row>
    <row r="849" spans="1:5" x14ac:dyDescent="0.2">
      <c r="A849" s="3">
        <v>843</v>
      </c>
      <c r="B849" s="3" t="s">
        <v>49</v>
      </c>
      <c r="C849" s="3" t="s">
        <v>118</v>
      </c>
      <c r="D849" s="3" t="s">
        <v>1202</v>
      </c>
      <c r="E849" s="3" t="s">
        <v>212</v>
      </c>
    </row>
    <row r="850" spans="1:5" x14ac:dyDescent="0.2">
      <c r="A850" s="3">
        <v>844</v>
      </c>
      <c r="B850" s="3" t="s">
        <v>49</v>
      </c>
      <c r="C850" s="3" t="s">
        <v>141</v>
      </c>
      <c r="D850" s="3" t="s">
        <v>1203</v>
      </c>
      <c r="E850" s="3" t="s">
        <v>212</v>
      </c>
    </row>
    <row r="851" spans="1:5" x14ac:dyDescent="0.2">
      <c r="A851" s="3">
        <v>845</v>
      </c>
      <c r="B851" s="3" t="s">
        <v>49</v>
      </c>
      <c r="C851" s="3" t="s">
        <v>141</v>
      </c>
      <c r="D851" s="3" t="s">
        <v>692</v>
      </c>
      <c r="E851" s="3" t="s">
        <v>212</v>
      </c>
    </row>
    <row r="852" spans="1:5" x14ac:dyDescent="0.2">
      <c r="A852" s="3">
        <v>846</v>
      </c>
      <c r="B852" s="3" t="s">
        <v>49</v>
      </c>
      <c r="C852" s="3" t="s">
        <v>141</v>
      </c>
      <c r="D852" s="3" t="s">
        <v>693</v>
      </c>
      <c r="E852" s="3" t="s">
        <v>208</v>
      </c>
    </row>
    <row r="853" spans="1:5" x14ac:dyDescent="0.2">
      <c r="A853" s="3">
        <v>847</v>
      </c>
      <c r="B853" s="3" t="s">
        <v>49</v>
      </c>
      <c r="C853" s="3" t="s">
        <v>141</v>
      </c>
      <c r="D853" s="3" t="s">
        <v>1204</v>
      </c>
      <c r="E853" s="3" t="s">
        <v>249</v>
      </c>
    </row>
    <row r="854" spans="1:5" x14ac:dyDescent="0.2">
      <c r="A854" s="3">
        <v>848</v>
      </c>
      <c r="B854" s="3" t="s">
        <v>49</v>
      </c>
      <c r="C854" s="3" t="s">
        <v>141</v>
      </c>
      <c r="D854" s="3" t="s">
        <v>694</v>
      </c>
      <c r="E854" s="3" t="s">
        <v>212</v>
      </c>
    </row>
    <row r="855" spans="1:5" x14ac:dyDescent="0.2">
      <c r="A855" s="3">
        <v>849</v>
      </c>
      <c r="B855" s="3" t="s">
        <v>49</v>
      </c>
      <c r="C855" s="3" t="s">
        <v>141</v>
      </c>
      <c r="D855" s="3" t="s">
        <v>695</v>
      </c>
      <c r="E855" s="3" t="s">
        <v>801</v>
      </c>
    </row>
    <row r="856" spans="1:5" x14ac:dyDescent="0.2">
      <c r="A856" s="3">
        <v>850</v>
      </c>
      <c r="B856" s="3" t="s">
        <v>49</v>
      </c>
      <c r="C856" s="3" t="s">
        <v>141</v>
      </c>
      <c r="D856" s="3" t="s">
        <v>1205</v>
      </c>
      <c r="E856" s="3" t="s">
        <v>795</v>
      </c>
    </row>
    <row r="857" spans="1:5" x14ac:dyDescent="0.2">
      <c r="A857" s="3">
        <v>851</v>
      </c>
      <c r="B857" s="3" t="s">
        <v>49</v>
      </c>
      <c r="C857" s="3" t="s">
        <v>141</v>
      </c>
      <c r="D857" s="3" t="s">
        <v>1206</v>
      </c>
      <c r="E857" s="3" t="s">
        <v>230</v>
      </c>
    </row>
    <row r="858" spans="1:5" x14ac:dyDescent="0.2">
      <c r="A858" s="3">
        <v>852</v>
      </c>
      <c r="B858" s="3" t="s">
        <v>49</v>
      </c>
      <c r="C858" s="3" t="s">
        <v>141</v>
      </c>
      <c r="D858" s="3" t="s">
        <v>1207</v>
      </c>
      <c r="E858" s="3" t="s">
        <v>212</v>
      </c>
    </row>
    <row r="859" spans="1:5" x14ac:dyDescent="0.2">
      <c r="A859" s="3">
        <v>853</v>
      </c>
      <c r="B859" s="3" t="s">
        <v>49</v>
      </c>
      <c r="C859" s="3" t="s">
        <v>141</v>
      </c>
      <c r="D859" s="3" t="s">
        <v>697</v>
      </c>
      <c r="E859" s="3" t="s">
        <v>249</v>
      </c>
    </row>
    <row r="860" spans="1:5" x14ac:dyDescent="0.2">
      <c r="A860" s="3">
        <v>854</v>
      </c>
      <c r="B860" s="3" t="s">
        <v>49</v>
      </c>
      <c r="C860" s="3" t="s">
        <v>141</v>
      </c>
      <c r="D860" s="3" t="s">
        <v>696</v>
      </c>
      <c r="E860" s="3" t="s">
        <v>460</v>
      </c>
    </row>
    <row r="861" spans="1:5" x14ac:dyDescent="0.2">
      <c r="A861" s="3">
        <v>855</v>
      </c>
      <c r="B861" s="3" t="s">
        <v>49</v>
      </c>
      <c r="C861" s="3" t="s">
        <v>141</v>
      </c>
      <c r="D861" s="3" t="s">
        <v>1208</v>
      </c>
      <c r="E861" s="3" t="s">
        <v>212</v>
      </c>
    </row>
    <row r="862" spans="1:5" x14ac:dyDescent="0.2">
      <c r="A862" s="3">
        <v>856</v>
      </c>
      <c r="B862" s="3" t="s">
        <v>49</v>
      </c>
      <c r="C862" s="3" t="s">
        <v>141</v>
      </c>
      <c r="D862" s="3" t="s">
        <v>1209</v>
      </c>
      <c r="E862" s="3" t="s">
        <v>460</v>
      </c>
    </row>
    <row r="863" spans="1:5" x14ac:dyDescent="0.2">
      <c r="A863" s="3">
        <v>857</v>
      </c>
      <c r="B863" s="3" t="s">
        <v>49</v>
      </c>
      <c r="C863" s="3" t="s">
        <v>141</v>
      </c>
      <c r="D863" s="3" t="s">
        <v>1210</v>
      </c>
      <c r="E863" s="3" t="s">
        <v>212</v>
      </c>
    </row>
    <row r="864" spans="1:5" x14ac:dyDescent="0.2">
      <c r="A864" s="3">
        <v>858</v>
      </c>
      <c r="B864" s="3" t="s">
        <v>49</v>
      </c>
      <c r="C864" s="3" t="s">
        <v>141</v>
      </c>
      <c r="D864" s="3" t="s">
        <v>698</v>
      </c>
      <c r="E864" s="3" t="s">
        <v>208</v>
      </c>
    </row>
    <row r="865" spans="1:5" x14ac:dyDescent="0.2">
      <c r="A865" s="3">
        <v>859</v>
      </c>
      <c r="B865" s="3" t="s">
        <v>49</v>
      </c>
      <c r="C865" s="3" t="s">
        <v>141</v>
      </c>
      <c r="D865" s="3" t="s">
        <v>1211</v>
      </c>
      <c r="E865" s="3" t="s">
        <v>212</v>
      </c>
    </row>
    <row r="866" spans="1:5" x14ac:dyDescent="0.2">
      <c r="A866" s="3">
        <v>860</v>
      </c>
      <c r="B866" s="3" t="s">
        <v>49</v>
      </c>
      <c r="C866" s="3" t="s">
        <v>144</v>
      </c>
      <c r="D866" s="3" t="s">
        <v>1212</v>
      </c>
      <c r="E866" s="3" t="s">
        <v>212</v>
      </c>
    </row>
    <row r="867" spans="1:5" x14ac:dyDescent="0.2">
      <c r="A867" s="3">
        <v>861</v>
      </c>
      <c r="B867" s="3" t="s">
        <v>49</v>
      </c>
      <c r="C867" s="3" t="s">
        <v>144</v>
      </c>
      <c r="D867" s="3" t="s">
        <v>700</v>
      </c>
      <c r="E867" s="3" t="s">
        <v>795</v>
      </c>
    </row>
    <row r="868" spans="1:5" x14ac:dyDescent="0.2">
      <c r="A868" s="3">
        <v>862</v>
      </c>
      <c r="B868" s="3" t="s">
        <v>49</v>
      </c>
      <c r="C868" s="3" t="s">
        <v>144</v>
      </c>
      <c r="D868" s="3" t="s">
        <v>701</v>
      </c>
      <c r="E868" s="3" t="s">
        <v>217</v>
      </c>
    </row>
    <row r="869" spans="1:5" x14ac:dyDescent="0.2">
      <c r="A869" s="3">
        <v>863</v>
      </c>
      <c r="B869" s="3" t="s">
        <v>49</v>
      </c>
      <c r="C869" s="3" t="s">
        <v>144</v>
      </c>
      <c r="D869" s="3" t="s">
        <v>699</v>
      </c>
      <c r="E869" s="3" t="s">
        <v>212</v>
      </c>
    </row>
    <row r="870" spans="1:5" x14ac:dyDescent="0.2">
      <c r="A870" s="3">
        <v>864</v>
      </c>
      <c r="B870" s="3" t="s">
        <v>49</v>
      </c>
      <c r="C870" s="3" t="s">
        <v>144</v>
      </c>
      <c r="D870" s="3" t="s">
        <v>702</v>
      </c>
      <c r="E870" s="3" t="s">
        <v>212</v>
      </c>
    </row>
    <row r="871" spans="1:5" x14ac:dyDescent="0.2">
      <c r="A871" s="3">
        <v>865</v>
      </c>
      <c r="B871" s="3" t="s">
        <v>49</v>
      </c>
      <c r="C871" s="3" t="s">
        <v>144</v>
      </c>
      <c r="D871" s="3" t="s">
        <v>703</v>
      </c>
      <c r="E871" s="3" t="s">
        <v>212</v>
      </c>
    </row>
    <row r="872" spans="1:5" x14ac:dyDescent="0.2">
      <c r="A872" s="3">
        <v>866</v>
      </c>
      <c r="B872" s="3" t="s">
        <v>49</v>
      </c>
      <c r="C872" s="3" t="s">
        <v>144</v>
      </c>
      <c r="D872" s="3" t="s">
        <v>704</v>
      </c>
      <c r="E872" s="3" t="s">
        <v>705</v>
      </c>
    </row>
    <row r="873" spans="1:5" x14ac:dyDescent="0.2">
      <c r="A873" s="3">
        <v>867</v>
      </c>
      <c r="B873" s="3" t="s">
        <v>49</v>
      </c>
      <c r="C873" s="3" t="s">
        <v>144</v>
      </c>
      <c r="D873" s="3" t="s">
        <v>708</v>
      </c>
      <c r="E873" s="3" t="s">
        <v>450</v>
      </c>
    </row>
    <row r="874" spans="1:5" x14ac:dyDescent="0.2">
      <c r="A874" s="3">
        <v>868</v>
      </c>
      <c r="B874" s="3" t="s">
        <v>49</v>
      </c>
      <c r="C874" s="3" t="s">
        <v>144</v>
      </c>
      <c r="D874" s="3" t="s">
        <v>706</v>
      </c>
      <c r="E874" s="3" t="s">
        <v>212</v>
      </c>
    </row>
    <row r="875" spans="1:5" x14ac:dyDescent="0.2">
      <c r="A875" s="3">
        <v>869</v>
      </c>
      <c r="B875" s="3" t="s">
        <v>49</v>
      </c>
      <c r="C875" s="3" t="s">
        <v>144</v>
      </c>
      <c r="D875" s="3" t="s">
        <v>707</v>
      </c>
      <c r="E875" s="3" t="s">
        <v>212</v>
      </c>
    </row>
    <row r="876" spans="1:5" x14ac:dyDescent="0.2">
      <c r="A876" s="3">
        <v>870</v>
      </c>
      <c r="B876" s="3" t="s">
        <v>49</v>
      </c>
      <c r="C876" s="3" t="s">
        <v>144</v>
      </c>
      <c r="D876" s="3" t="s">
        <v>1213</v>
      </c>
      <c r="E876" s="3" t="s">
        <v>795</v>
      </c>
    </row>
    <row r="877" spans="1:5" x14ac:dyDescent="0.2">
      <c r="A877" s="3">
        <v>871</v>
      </c>
      <c r="B877" s="3" t="s">
        <v>49</v>
      </c>
      <c r="C877" s="3" t="s">
        <v>147</v>
      </c>
      <c r="D877" s="3" t="s">
        <v>710</v>
      </c>
      <c r="E877" s="3" t="s">
        <v>230</v>
      </c>
    </row>
    <row r="878" spans="1:5" x14ac:dyDescent="0.2">
      <c r="A878" s="3">
        <v>872</v>
      </c>
      <c r="B878" s="3" t="s">
        <v>49</v>
      </c>
      <c r="C878" s="3" t="s">
        <v>147</v>
      </c>
      <c r="D878" s="3" t="s">
        <v>709</v>
      </c>
      <c r="E878" s="3" t="s">
        <v>212</v>
      </c>
    </row>
    <row r="879" spans="1:5" x14ac:dyDescent="0.2">
      <c r="A879" s="3">
        <v>873</v>
      </c>
      <c r="B879" s="3" t="s">
        <v>49</v>
      </c>
      <c r="C879" s="3" t="s">
        <v>147</v>
      </c>
      <c r="D879" s="3" t="s">
        <v>711</v>
      </c>
      <c r="E879" s="3" t="s">
        <v>212</v>
      </c>
    </row>
    <row r="880" spans="1:5" x14ac:dyDescent="0.2">
      <c r="A880" s="3">
        <v>874</v>
      </c>
      <c r="B880" s="3" t="s">
        <v>49</v>
      </c>
      <c r="C880" s="3" t="s">
        <v>147</v>
      </c>
      <c r="D880" s="3" t="s">
        <v>712</v>
      </c>
      <c r="E880" s="3" t="s">
        <v>212</v>
      </c>
    </row>
    <row r="881" spans="1:5" x14ac:dyDescent="0.2">
      <c r="A881" s="3">
        <v>875</v>
      </c>
      <c r="B881" s="3" t="s">
        <v>49</v>
      </c>
      <c r="C881" s="3" t="s">
        <v>148</v>
      </c>
      <c r="D881" s="3" t="s">
        <v>714</v>
      </c>
      <c r="E881" s="3" t="s">
        <v>208</v>
      </c>
    </row>
    <row r="882" spans="1:5" x14ac:dyDescent="0.2">
      <c r="A882" s="3">
        <v>876</v>
      </c>
      <c r="B882" s="3" t="s">
        <v>49</v>
      </c>
      <c r="C882" s="3" t="s">
        <v>148</v>
      </c>
      <c r="D882" s="3" t="s">
        <v>1214</v>
      </c>
      <c r="E882" s="3" t="s">
        <v>212</v>
      </c>
    </row>
    <row r="883" spans="1:5" x14ac:dyDescent="0.2">
      <c r="A883" s="3">
        <v>877</v>
      </c>
      <c r="B883" s="3" t="s">
        <v>49</v>
      </c>
      <c r="C883" s="3" t="s">
        <v>148</v>
      </c>
      <c r="D883" s="3" t="s">
        <v>713</v>
      </c>
      <c r="E883" s="3" t="s">
        <v>212</v>
      </c>
    </row>
    <row r="884" spans="1:5" x14ac:dyDescent="0.2">
      <c r="A884" s="3">
        <v>878</v>
      </c>
      <c r="B884" s="3" t="s">
        <v>49</v>
      </c>
      <c r="C884" s="3" t="s">
        <v>148</v>
      </c>
      <c r="D884" s="3" t="s">
        <v>1215</v>
      </c>
      <c r="E884" s="3" t="s">
        <v>212</v>
      </c>
    </row>
    <row r="885" spans="1:5" x14ac:dyDescent="0.2">
      <c r="A885" s="3">
        <v>879</v>
      </c>
      <c r="B885" s="3" t="s">
        <v>49</v>
      </c>
      <c r="C885" s="3" t="s">
        <v>148</v>
      </c>
      <c r="D885" s="3" t="s">
        <v>715</v>
      </c>
      <c r="E885" s="3" t="s">
        <v>212</v>
      </c>
    </row>
    <row r="886" spans="1:5" x14ac:dyDescent="0.2">
      <c r="A886" s="3">
        <v>880</v>
      </c>
      <c r="B886" s="3" t="s">
        <v>49</v>
      </c>
      <c r="C886" s="3" t="s">
        <v>148</v>
      </c>
      <c r="D886" s="3" t="s">
        <v>716</v>
      </c>
      <c r="E886" s="3" t="s">
        <v>212</v>
      </c>
    </row>
    <row r="887" spans="1:5" x14ac:dyDescent="0.2">
      <c r="A887" s="3">
        <v>881</v>
      </c>
      <c r="B887" s="3" t="s">
        <v>49</v>
      </c>
      <c r="C887" s="3" t="s">
        <v>148</v>
      </c>
      <c r="D887" s="3" t="s">
        <v>719</v>
      </c>
      <c r="E887" s="3" t="s">
        <v>217</v>
      </c>
    </row>
    <row r="888" spans="1:5" x14ac:dyDescent="0.2">
      <c r="A888" s="3">
        <v>882</v>
      </c>
      <c r="B888" s="3" t="s">
        <v>49</v>
      </c>
      <c r="C888" s="3" t="s">
        <v>148</v>
      </c>
      <c r="D888" s="3" t="s">
        <v>717</v>
      </c>
      <c r="E888" s="3" t="s">
        <v>235</v>
      </c>
    </row>
    <row r="889" spans="1:5" x14ac:dyDescent="0.2">
      <c r="A889" s="3">
        <v>883</v>
      </c>
      <c r="B889" s="3" t="s">
        <v>49</v>
      </c>
      <c r="C889" s="3" t="s">
        <v>148</v>
      </c>
      <c r="D889" s="3" t="s">
        <v>1216</v>
      </c>
      <c r="E889" s="3" t="s">
        <v>208</v>
      </c>
    </row>
    <row r="890" spans="1:5" x14ac:dyDescent="0.2">
      <c r="A890" s="3">
        <v>884</v>
      </c>
      <c r="B890" s="3" t="s">
        <v>49</v>
      </c>
      <c r="C890" s="3" t="s">
        <v>148</v>
      </c>
      <c r="D890" s="3" t="s">
        <v>718</v>
      </c>
      <c r="E890" s="3" t="s">
        <v>418</v>
      </c>
    </row>
    <row r="891" spans="1:5" x14ac:dyDescent="0.2">
      <c r="A891" s="3">
        <v>885</v>
      </c>
      <c r="B891" s="3" t="s">
        <v>49</v>
      </c>
      <c r="C891" s="3" t="s">
        <v>148</v>
      </c>
      <c r="D891" s="3" t="s">
        <v>1217</v>
      </c>
      <c r="E891" s="3" t="s">
        <v>208</v>
      </c>
    </row>
    <row r="892" spans="1:5" x14ac:dyDescent="0.2">
      <c r="A892" s="3">
        <v>886</v>
      </c>
      <c r="B892" s="3" t="s">
        <v>49</v>
      </c>
      <c r="C892" s="3" t="s">
        <v>148</v>
      </c>
      <c r="D892" s="3" t="s">
        <v>720</v>
      </c>
      <c r="E892" s="3" t="s">
        <v>217</v>
      </c>
    </row>
    <row r="893" spans="1:5" x14ac:dyDescent="0.2">
      <c r="A893" s="3">
        <v>887</v>
      </c>
      <c r="B893" s="3" t="s">
        <v>49</v>
      </c>
      <c r="C893" s="3" t="s">
        <v>148</v>
      </c>
      <c r="D893" s="3" t="s">
        <v>721</v>
      </c>
      <c r="E893" s="3" t="s">
        <v>792</v>
      </c>
    </row>
    <row r="894" spans="1:5" x14ac:dyDescent="0.2">
      <c r="A894" s="3">
        <v>888</v>
      </c>
      <c r="B894" s="3" t="s">
        <v>49</v>
      </c>
      <c r="C894" s="3" t="s">
        <v>148</v>
      </c>
      <c r="D894" s="3" t="s">
        <v>1218</v>
      </c>
      <c r="E894" s="3" t="s">
        <v>418</v>
      </c>
    </row>
    <row r="895" spans="1:5" x14ac:dyDescent="0.2">
      <c r="A895" s="3">
        <v>889</v>
      </c>
      <c r="B895" s="3" t="s">
        <v>49</v>
      </c>
      <c r="C895" s="3" t="s">
        <v>151</v>
      </c>
      <c r="D895" s="3" t="s">
        <v>1219</v>
      </c>
      <c r="E895" s="3" t="s">
        <v>792</v>
      </c>
    </row>
    <row r="896" spans="1:5" x14ac:dyDescent="0.2">
      <c r="A896" s="3">
        <v>890</v>
      </c>
      <c r="B896" s="3" t="s">
        <v>49</v>
      </c>
      <c r="C896" s="3" t="s">
        <v>151</v>
      </c>
      <c r="D896" s="3" t="s">
        <v>1220</v>
      </c>
      <c r="E896" s="3" t="s">
        <v>230</v>
      </c>
    </row>
    <row r="897" spans="1:5" x14ac:dyDescent="0.2">
      <c r="A897" s="3">
        <v>891</v>
      </c>
      <c r="B897" s="3" t="s">
        <v>49</v>
      </c>
      <c r="C897" s="3" t="s">
        <v>151</v>
      </c>
      <c r="D897" s="3" t="s">
        <v>730</v>
      </c>
      <c r="E897" s="3" t="s">
        <v>212</v>
      </c>
    </row>
    <row r="898" spans="1:5" x14ac:dyDescent="0.2">
      <c r="A898" s="3">
        <v>892</v>
      </c>
      <c r="B898" s="3" t="s">
        <v>49</v>
      </c>
      <c r="C898" s="3" t="s">
        <v>151</v>
      </c>
      <c r="D898" s="3" t="s">
        <v>723</v>
      </c>
      <c r="E898" s="3" t="s">
        <v>208</v>
      </c>
    </row>
    <row r="899" spans="1:5" x14ac:dyDescent="0.2">
      <c r="A899" s="3">
        <v>893</v>
      </c>
      <c r="B899" s="3" t="s">
        <v>49</v>
      </c>
      <c r="C899" s="3" t="s">
        <v>151</v>
      </c>
      <c r="D899" s="3" t="s">
        <v>722</v>
      </c>
      <c r="E899" s="3" t="s">
        <v>418</v>
      </c>
    </row>
    <row r="900" spans="1:5" x14ac:dyDescent="0.2">
      <c r="A900" s="3">
        <v>894</v>
      </c>
      <c r="B900" s="3" t="s">
        <v>49</v>
      </c>
      <c r="C900" s="3" t="s">
        <v>151</v>
      </c>
      <c r="D900" s="3" t="s">
        <v>724</v>
      </c>
      <c r="E900" s="3" t="s">
        <v>249</v>
      </c>
    </row>
    <row r="901" spans="1:5" x14ac:dyDescent="0.2">
      <c r="A901" s="3">
        <v>895</v>
      </c>
      <c r="B901" s="3" t="s">
        <v>49</v>
      </c>
      <c r="C901" s="3" t="s">
        <v>151</v>
      </c>
      <c r="D901" s="3" t="s">
        <v>1221</v>
      </c>
      <c r="E901" s="3" t="s">
        <v>212</v>
      </c>
    </row>
    <row r="902" spans="1:5" x14ac:dyDescent="0.2">
      <c r="A902" s="3">
        <v>896</v>
      </c>
      <c r="B902" s="3" t="s">
        <v>49</v>
      </c>
      <c r="C902" s="3" t="s">
        <v>151</v>
      </c>
      <c r="D902" s="3" t="s">
        <v>1222</v>
      </c>
      <c r="E902" s="3" t="s">
        <v>212</v>
      </c>
    </row>
    <row r="903" spans="1:5" x14ac:dyDescent="0.2">
      <c r="A903" s="3">
        <v>897</v>
      </c>
      <c r="B903" s="3" t="s">
        <v>49</v>
      </c>
      <c r="C903" s="3" t="s">
        <v>151</v>
      </c>
      <c r="D903" s="3" t="s">
        <v>1223</v>
      </c>
      <c r="E903" s="3" t="s">
        <v>212</v>
      </c>
    </row>
    <row r="904" spans="1:5" x14ac:dyDescent="0.2">
      <c r="A904" s="3">
        <v>898</v>
      </c>
      <c r="B904" s="3" t="s">
        <v>49</v>
      </c>
      <c r="C904" s="3" t="s">
        <v>151</v>
      </c>
      <c r="D904" s="3" t="s">
        <v>1224</v>
      </c>
      <c r="E904" s="3" t="s">
        <v>212</v>
      </c>
    </row>
    <row r="905" spans="1:5" x14ac:dyDescent="0.2">
      <c r="A905" s="3">
        <v>899</v>
      </c>
      <c r="B905" s="3" t="s">
        <v>49</v>
      </c>
      <c r="C905" s="3" t="s">
        <v>151</v>
      </c>
      <c r="D905" s="3" t="s">
        <v>1225</v>
      </c>
      <c r="E905" s="3" t="s">
        <v>460</v>
      </c>
    </row>
    <row r="906" spans="1:5" x14ac:dyDescent="0.2">
      <c r="A906" s="3">
        <v>900</v>
      </c>
      <c r="B906" s="3" t="s">
        <v>49</v>
      </c>
      <c r="C906" s="3" t="s">
        <v>151</v>
      </c>
      <c r="D906" s="3" t="s">
        <v>1226</v>
      </c>
      <c r="E906" s="3" t="s">
        <v>249</v>
      </c>
    </row>
    <row r="907" spans="1:5" x14ac:dyDescent="0.2">
      <c r="A907" s="3">
        <v>901</v>
      </c>
      <c r="B907" s="3" t="s">
        <v>49</v>
      </c>
      <c r="C907" s="3" t="s">
        <v>151</v>
      </c>
      <c r="D907" s="3" t="s">
        <v>1227</v>
      </c>
      <c r="E907" s="3" t="s">
        <v>212</v>
      </c>
    </row>
    <row r="908" spans="1:5" x14ac:dyDescent="0.2">
      <c r="A908" s="3">
        <v>902</v>
      </c>
      <c r="B908" s="3" t="s">
        <v>49</v>
      </c>
      <c r="C908" s="3" t="s">
        <v>151</v>
      </c>
      <c r="D908" s="3" t="s">
        <v>726</v>
      </c>
      <c r="E908" s="3" t="s">
        <v>208</v>
      </c>
    </row>
    <row r="909" spans="1:5" x14ac:dyDescent="0.2">
      <c r="A909" s="3">
        <v>903</v>
      </c>
      <c r="B909" s="3" t="s">
        <v>49</v>
      </c>
      <c r="C909" s="3" t="s">
        <v>151</v>
      </c>
      <c r="D909" s="3" t="s">
        <v>725</v>
      </c>
      <c r="E909" s="3" t="s">
        <v>418</v>
      </c>
    </row>
    <row r="910" spans="1:5" x14ac:dyDescent="0.2">
      <c r="A910" s="3">
        <v>904</v>
      </c>
      <c r="B910" s="3" t="s">
        <v>49</v>
      </c>
      <c r="C910" s="3" t="s">
        <v>151</v>
      </c>
      <c r="D910" s="3" t="s">
        <v>1228</v>
      </c>
      <c r="E910" s="3" t="s">
        <v>792</v>
      </c>
    </row>
    <row r="911" spans="1:5" x14ac:dyDescent="0.2">
      <c r="A911" s="3">
        <v>905</v>
      </c>
      <c r="B911" s="3" t="s">
        <v>49</v>
      </c>
      <c r="C911" s="3" t="s">
        <v>151</v>
      </c>
      <c r="D911" s="3" t="s">
        <v>728</v>
      </c>
      <c r="E911" s="3" t="s">
        <v>208</v>
      </c>
    </row>
    <row r="912" spans="1:5" x14ac:dyDescent="0.2">
      <c r="A912" s="3">
        <v>906</v>
      </c>
      <c r="B912" s="3" t="s">
        <v>49</v>
      </c>
      <c r="C912" s="3" t="s">
        <v>151</v>
      </c>
      <c r="D912" s="3" t="s">
        <v>727</v>
      </c>
      <c r="E912" s="3" t="s">
        <v>212</v>
      </c>
    </row>
    <row r="913" spans="1:5" x14ac:dyDescent="0.2">
      <c r="A913" s="3">
        <v>907</v>
      </c>
      <c r="B913" s="3" t="s">
        <v>49</v>
      </c>
      <c r="C913" s="3" t="s">
        <v>151</v>
      </c>
      <c r="D913" s="3" t="s">
        <v>818</v>
      </c>
      <c r="E913" s="3" t="s">
        <v>230</v>
      </c>
    </row>
    <row r="914" spans="1:5" x14ac:dyDescent="0.2">
      <c r="A914" s="3">
        <v>908</v>
      </c>
      <c r="B914" s="3" t="s">
        <v>49</v>
      </c>
      <c r="C914" s="3" t="s">
        <v>151</v>
      </c>
      <c r="D914" s="3" t="s">
        <v>729</v>
      </c>
      <c r="E914" s="3" t="s">
        <v>230</v>
      </c>
    </row>
    <row r="915" spans="1:5" x14ac:dyDescent="0.2">
      <c r="A915" s="3">
        <v>909</v>
      </c>
      <c r="B915" s="3" t="s">
        <v>168</v>
      </c>
      <c r="C915" s="3" t="s">
        <v>55</v>
      </c>
      <c r="D915" s="3" t="s">
        <v>731</v>
      </c>
      <c r="E915" s="3" t="s">
        <v>794</v>
      </c>
    </row>
    <row r="916" spans="1:5" x14ac:dyDescent="0.2">
      <c r="A916" s="3">
        <v>910</v>
      </c>
      <c r="B916" s="3" t="s">
        <v>168</v>
      </c>
      <c r="C916" s="3" t="s">
        <v>55</v>
      </c>
      <c r="D916" s="3" t="s">
        <v>732</v>
      </c>
      <c r="E916" s="3" t="s">
        <v>794</v>
      </c>
    </row>
    <row r="917" spans="1:5" x14ac:dyDescent="0.2">
      <c r="A917" s="3">
        <v>911</v>
      </c>
      <c r="B917" s="3" t="s">
        <v>168</v>
      </c>
      <c r="C917" s="3" t="s">
        <v>55</v>
      </c>
      <c r="D917" s="3" t="s">
        <v>733</v>
      </c>
      <c r="E917" s="3" t="s">
        <v>794</v>
      </c>
    </row>
    <row r="918" spans="1:5" x14ac:dyDescent="0.2">
      <c r="A918" s="3">
        <v>912</v>
      </c>
      <c r="B918" s="3" t="s">
        <v>168</v>
      </c>
      <c r="C918" s="3" t="s">
        <v>55</v>
      </c>
      <c r="D918" s="3" t="s">
        <v>1229</v>
      </c>
      <c r="E918" s="3" t="s">
        <v>795</v>
      </c>
    </row>
    <row r="919" spans="1:5" x14ac:dyDescent="0.2">
      <c r="A919" s="3">
        <v>913</v>
      </c>
      <c r="B919" s="3" t="s">
        <v>168</v>
      </c>
      <c r="C919" s="3" t="s">
        <v>55</v>
      </c>
      <c r="D919" s="3" t="s">
        <v>735</v>
      </c>
      <c r="E919" s="3" t="s">
        <v>242</v>
      </c>
    </row>
    <row r="920" spans="1:5" x14ac:dyDescent="0.2">
      <c r="A920" s="3">
        <v>914</v>
      </c>
      <c r="B920" s="3" t="s">
        <v>168</v>
      </c>
      <c r="C920" s="3" t="s">
        <v>55</v>
      </c>
      <c r="D920" s="3" t="s">
        <v>734</v>
      </c>
      <c r="E920" s="3" t="s">
        <v>794</v>
      </c>
    </row>
    <row r="921" spans="1:5" x14ac:dyDescent="0.2">
      <c r="A921" s="3">
        <v>915</v>
      </c>
      <c r="B921" s="3" t="s">
        <v>168</v>
      </c>
      <c r="C921" s="3" t="s">
        <v>55</v>
      </c>
      <c r="D921" s="3" t="s">
        <v>1230</v>
      </c>
      <c r="E921" s="3" t="s">
        <v>794</v>
      </c>
    </row>
    <row r="922" spans="1:5" x14ac:dyDescent="0.2">
      <c r="A922" s="3">
        <v>916</v>
      </c>
      <c r="B922" s="3" t="s">
        <v>168</v>
      </c>
      <c r="C922" s="3" t="s">
        <v>55</v>
      </c>
      <c r="D922" s="3" t="s">
        <v>1231</v>
      </c>
      <c r="E922" s="3" t="s">
        <v>308</v>
      </c>
    </row>
    <row r="923" spans="1:5" x14ac:dyDescent="0.2">
      <c r="A923" s="3">
        <v>917</v>
      </c>
      <c r="B923" s="3" t="s">
        <v>168</v>
      </c>
      <c r="C923" s="3" t="s">
        <v>55</v>
      </c>
      <c r="D923" s="3" t="s">
        <v>736</v>
      </c>
      <c r="E923" s="3" t="s">
        <v>795</v>
      </c>
    </row>
    <row r="924" spans="1:5" x14ac:dyDescent="0.2">
      <c r="A924" s="3">
        <v>918</v>
      </c>
      <c r="B924" s="3" t="s">
        <v>168</v>
      </c>
      <c r="C924" s="3" t="s">
        <v>55</v>
      </c>
      <c r="D924" s="3" t="s">
        <v>1232</v>
      </c>
      <c r="E924" s="3" t="s">
        <v>794</v>
      </c>
    </row>
    <row r="925" spans="1:5" x14ac:dyDescent="0.2">
      <c r="A925" s="3">
        <v>919</v>
      </c>
      <c r="B925" s="3" t="s">
        <v>168</v>
      </c>
      <c r="C925" s="3" t="s">
        <v>55</v>
      </c>
      <c r="D925" s="3" t="s">
        <v>739</v>
      </c>
      <c r="E925" s="3" t="s">
        <v>795</v>
      </c>
    </row>
    <row r="926" spans="1:5" x14ac:dyDescent="0.2">
      <c r="A926" s="3">
        <v>920</v>
      </c>
      <c r="B926" s="3" t="s">
        <v>168</v>
      </c>
      <c r="C926" s="3" t="s">
        <v>55</v>
      </c>
      <c r="D926" s="3" t="s">
        <v>737</v>
      </c>
      <c r="E926" s="3" t="s">
        <v>794</v>
      </c>
    </row>
    <row r="927" spans="1:5" x14ac:dyDescent="0.2">
      <c r="A927" s="3">
        <v>921</v>
      </c>
      <c r="B927" s="3" t="s">
        <v>168</v>
      </c>
      <c r="C927" s="3" t="s">
        <v>55</v>
      </c>
      <c r="D927" s="3" t="s">
        <v>738</v>
      </c>
      <c r="E927" s="3" t="s">
        <v>794</v>
      </c>
    </row>
    <row r="928" spans="1:5" x14ac:dyDescent="0.2">
      <c r="A928" s="3">
        <v>922</v>
      </c>
      <c r="B928" s="3" t="s">
        <v>168</v>
      </c>
      <c r="C928" s="3" t="s">
        <v>55</v>
      </c>
      <c r="D928" s="3" t="s">
        <v>740</v>
      </c>
      <c r="E928" s="3" t="s">
        <v>795</v>
      </c>
    </row>
    <row r="929" spans="1:5" x14ac:dyDescent="0.2">
      <c r="A929" s="3">
        <v>923</v>
      </c>
      <c r="B929" s="3" t="s">
        <v>168</v>
      </c>
      <c r="C929" s="3" t="s">
        <v>55</v>
      </c>
      <c r="D929" s="3" t="s">
        <v>741</v>
      </c>
      <c r="E929" s="3" t="s">
        <v>794</v>
      </c>
    </row>
    <row r="930" spans="1:5" x14ac:dyDescent="0.2">
      <c r="A930" s="3">
        <v>924</v>
      </c>
      <c r="B930" s="3" t="s">
        <v>168</v>
      </c>
      <c r="C930" s="3" t="s">
        <v>55</v>
      </c>
      <c r="D930" s="3" t="s">
        <v>1233</v>
      </c>
      <c r="E930" s="3" t="s">
        <v>794</v>
      </c>
    </row>
    <row r="931" spans="1:5" x14ac:dyDescent="0.2">
      <c r="A931" s="3">
        <v>925</v>
      </c>
      <c r="B931" s="3" t="s">
        <v>168</v>
      </c>
      <c r="C931" s="3" t="s">
        <v>55</v>
      </c>
      <c r="D931" s="3" t="s">
        <v>742</v>
      </c>
      <c r="E931" s="3" t="s">
        <v>795</v>
      </c>
    </row>
    <row r="932" spans="1:5" x14ac:dyDescent="0.2">
      <c r="A932" s="3">
        <v>926</v>
      </c>
      <c r="B932" s="3" t="s">
        <v>168</v>
      </c>
      <c r="C932" s="3" t="s">
        <v>156</v>
      </c>
      <c r="D932" s="3" t="s">
        <v>743</v>
      </c>
      <c r="E932" s="3" t="s">
        <v>794</v>
      </c>
    </row>
    <row r="933" spans="1:5" x14ac:dyDescent="0.2">
      <c r="A933" s="3">
        <v>927</v>
      </c>
      <c r="B933" s="3" t="s">
        <v>168</v>
      </c>
      <c r="C933" s="3" t="s">
        <v>156</v>
      </c>
      <c r="D933" s="3" t="s">
        <v>745</v>
      </c>
      <c r="E933" s="3" t="s">
        <v>795</v>
      </c>
    </row>
    <row r="934" spans="1:5" x14ac:dyDescent="0.2">
      <c r="A934" s="3">
        <v>928</v>
      </c>
      <c r="B934" s="3" t="s">
        <v>168</v>
      </c>
      <c r="C934" s="3" t="s">
        <v>156</v>
      </c>
      <c r="D934" s="3" t="s">
        <v>744</v>
      </c>
      <c r="E934" s="3" t="s">
        <v>212</v>
      </c>
    </row>
    <row r="935" spans="1:5" x14ac:dyDescent="0.2">
      <c r="A935" s="3">
        <v>929</v>
      </c>
      <c r="B935" s="3" t="s">
        <v>168</v>
      </c>
      <c r="C935" s="3" t="s">
        <v>156</v>
      </c>
      <c r="D935" s="3" t="s">
        <v>746</v>
      </c>
      <c r="E935" s="3" t="s">
        <v>794</v>
      </c>
    </row>
    <row r="936" spans="1:5" x14ac:dyDescent="0.2">
      <c r="A936" s="3">
        <v>930</v>
      </c>
      <c r="B936" s="3" t="s">
        <v>168</v>
      </c>
      <c r="C936" s="3" t="s">
        <v>156</v>
      </c>
      <c r="D936" s="3" t="s">
        <v>747</v>
      </c>
      <c r="E936" s="3" t="s">
        <v>242</v>
      </c>
    </row>
    <row r="937" spans="1:5" x14ac:dyDescent="0.2">
      <c r="A937" s="3">
        <v>931</v>
      </c>
      <c r="B937" s="3" t="s">
        <v>168</v>
      </c>
      <c r="C937" s="3" t="s">
        <v>156</v>
      </c>
      <c r="D937" s="3" t="s">
        <v>1234</v>
      </c>
      <c r="E937" s="3" t="s">
        <v>801</v>
      </c>
    </row>
    <row r="938" spans="1:5" x14ac:dyDescent="0.2">
      <c r="A938" s="3">
        <v>932</v>
      </c>
      <c r="B938" s="3" t="s">
        <v>168</v>
      </c>
      <c r="C938" s="3" t="s">
        <v>158</v>
      </c>
      <c r="D938" s="3" t="s">
        <v>748</v>
      </c>
      <c r="E938" s="3" t="s">
        <v>794</v>
      </c>
    </row>
    <row r="939" spans="1:5" x14ac:dyDescent="0.2">
      <c r="A939" s="3">
        <v>933</v>
      </c>
      <c r="B939" s="3" t="s">
        <v>168</v>
      </c>
      <c r="C939" s="3" t="s">
        <v>158</v>
      </c>
      <c r="D939" s="3" t="s">
        <v>1235</v>
      </c>
      <c r="E939" s="3" t="s">
        <v>299</v>
      </c>
    </row>
    <row r="940" spans="1:5" x14ac:dyDescent="0.2">
      <c r="A940" s="3">
        <v>934</v>
      </c>
      <c r="B940" s="3" t="s">
        <v>168</v>
      </c>
      <c r="C940" s="3" t="s">
        <v>158</v>
      </c>
      <c r="D940" s="3" t="s">
        <v>749</v>
      </c>
      <c r="E940" s="3" t="s">
        <v>299</v>
      </c>
    </row>
    <row r="941" spans="1:5" x14ac:dyDescent="0.2">
      <c r="A941" s="3">
        <v>935</v>
      </c>
      <c r="B941" s="3" t="s">
        <v>168</v>
      </c>
      <c r="C941" s="3" t="s">
        <v>158</v>
      </c>
      <c r="D941" s="3" t="s">
        <v>752</v>
      </c>
      <c r="E941" s="3" t="s">
        <v>230</v>
      </c>
    </row>
    <row r="942" spans="1:5" x14ac:dyDescent="0.2">
      <c r="A942" s="3">
        <v>936</v>
      </c>
      <c r="B942" s="3" t="s">
        <v>168</v>
      </c>
      <c r="C942" s="3" t="s">
        <v>158</v>
      </c>
      <c r="D942" s="3" t="s">
        <v>751</v>
      </c>
      <c r="E942" s="3" t="s">
        <v>795</v>
      </c>
    </row>
    <row r="943" spans="1:5" x14ac:dyDescent="0.2">
      <c r="A943" s="3">
        <v>937</v>
      </c>
      <c r="B943" s="3" t="s">
        <v>168</v>
      </c>
      <c r="C943" s="3" t="s">
        <v>158</v>
      </c>
      <c r="D943" s="3" t="s">
        <v>750</v>
      </c>
      <c r="E943" s="3" t="s">
        <v>794</v>
      </c>
    </row>
    <row r="944" spans="1:5" x14ac:dyDescent="0.2">
      <c r="A944" s="3">
        <v>938</v>
      </c>
      <c r="B944" s="3" t="s">
        <v>168</v>
      </c>
      <c r="C944" s="3" t="s">
        <v>127</v>
      </c>
      <c r="D944" s="3" t="s">
        <v>753</v>
      </c>
      <c r="E944" s="3" t="s">
        <v>212</v>
      </c>
    </row>
    <row r="945" spans="1:5" x14ac:dyDescent="0.2">
      <c r="A945" s="3">
        <v>939</v>
      </c>
      <c r="B945" s="3" t="s">
        <v>168</v>
      </c>
      <c r="C945" s="3" t="s">
        <v>127</v>
      </c>
      <c r="D945" s="3" t="s">
        <v>754</v>
      </c>
      <c r="E945" s="3" t="s">
        <v>212</v>
      </c>
    </row>
    <row r="946" spans="1:5" x14ac:dyDescent="0.2">
      <c r="A946" s="3">
        <v>940</v>
      </c>
      <c r="B946" s="3" t="s">
        <v>168</v>
      </c>
      <c r="C946" s="3" t="s">
        <v>127</v>
      </c>
      <c r="D946" s="3" t="s">
        <v>755</v>
      </c>
      <c r="E946" s="3" t="s">
        <v>212</v>
      </c>
    </row>
    <row r="947" spans="1:5" x14ac:dyDescent="0.2">
      <c r="A947" s="3">
        <v>941</v>
      </c>
      <c r="B947" s="3" t="s">
        <v>168</v>
      </c>
      <c r="C947" s="3" t="s">
        <v>127</v>
      </c>
      <c r="D947" s="3" t="s">
        <v>757</v>
      </c>
      <c r="E947" s="3" t="s">
        <v>208</v>
      </c>
    </row>
    <row r="948" spans="1:5" x14ac:dyDescent="0.2">
      <c r="A948" s="3">
        <v>942</v>
      </c>
      <c r="B948" s="3" t="s">
        <v>168</v>
      </c>
      <c r="C948" s="3" t="s">
        <v>127</v>
      </c>
      <c r="D948" s="3" t="s">
        <v>756</v>
      </c>
      <c r="E948" s="3" t="s">
        <v>212</v>
      </c>
    </row>
    <row r="949" spans="1:5" x14ac:dyDescent="0.2">
      <c r="A949" s="3">
        <v>943</v>
      </c>
      <c r="B949" s="3" t="s">
        <v>168</v>
      </c>
      <c r="C949" s="3" t="s">
        <v>127</v>
      </c>
      <c r="D949" s="3" t="s">
        <v>758</v>
      </c>
      <c r="E949" s="3" t="s">
        <v>208</v>
      </c>
    </row>
    <row r="950" spans="1:5" x14ac:dyDescent="0.2">
      <c r="A950" s="3">
        <v>944</v>
      </c>
      <c r="B950" s="3" t="s">
        <v>168</v>
      </c>
      <c r="C950" s="3" t="s">
        <v>127</v>
      </c>
      <c r="D950" s="3" t="s">
        <v>759</v>
      </c>
      <c r="E950" s="3" t="s">
        <v>212</v>
      </c>
    </row>
    <row r="951" spans="1:5" x14ac:dyDescent="0.2">
      <c r="A951" s="3">
        <v>945</v>
      </c>
      <c r="B951" s="3" t="s">
        <v>168</v>
      </c>
      <c r="C951" s="3" t="s">
        <v>127</v>
      </c>
      <c r="D951" s="3" t="s">
        <v>760</v>
      </c>
      <c r="E951" s="3" t="s">
        <v>208</v>
      </c>
    </row>
    <row r="952" spans="1:5" x14ac:dyDescent="0.2">
      <c r="A952" s="3">
        <v>946</v>
      </c>
      <c r="B952" s="3" t="s">
        <v>168</v>
      </c>
      <c r="C952" s="3" t="s">
        <v>127</v>
      </c>
      <c r="D952" s="3" t="s">
        <v>761</v>
      </c>
      <c r="E952" s="3" t="s">
        <v>208</v>
      </c>
    </row>
    <row r="953" spans="1:5" x14ac:dyDescent="0.2">
      <c r="A953" s="3">
        <v>947</v>
      </c>
      <c r="B953" s="3" t="s">
        <v>168</v>
      </c>
      <c r="C953" s="3" t="s">
        <v>160</v>
      </c>
      <c r="D953" s="3" t="s">
        <v>762</v>
      </c>
      <c r="E953" s="3" t="s">
        <v>212</v>
      </c>
    </row>
    <row r="954" spans="1:5" x14ac:dyDescent="0.2">
      <c r="A954" s="3">
        <v>948</v>
      </c>
      <c r="B954" s="3" t="s">
        <v>168</v>
      </c>
      <c r="C954" s="3" t="s">
        <v>160</v>
      </c>
      <c r="D954" s="3" t="s">
        <v>763</v>
      </c>
      <c r="E954" s="3" t="s">
        <v>208</v>
      </c>
    </row>
    <row r="955" spans="1:5" x14ac:dyDescent="0.2">
      <c r="A955" s="3">
        <v>949</v>
      </c>
      <c r="B955" s="3" t="s">
        <v>168</v>
      </c>
      <c r="C955" s="3" t="s">
        <v>160</v>
      </c>
      <c r="D955" s="3" t="s">
        <v>1236</v>
      </c>
      <c r="E955" s="3" t="s">
        <v>794</v>
      </c>
    </row>
    <row r="956" spans="1:5" x14ac:dyDescent="0.2">
      <c r="A956" s="3">
        <v>950</v>
      </c>
      <c r="B956" s="3" t="s">
        <v>168</v>
      </c>
      <c r="C956" s="3" t="s">
        <v>160</v>
      </c>
      <c r="D956" s="3" t="s">
        <v>764</v>
      </c>
      <c r="E956" s="3" t="s">
        <v>208</v>
      </c>
    </row>
    <row r="957" spans="1:5" x14ac:dyDescent="0.2">
      <c r="A957" s="3">
        <v>951</v>
      </c>
      <c r="B957" s="3" t="s">
        <v>168</v>
      </c>
      <c r="C957" s="3" t="s">
        <v>160</v>
      </c>
      <c r="D957" s="3" t="s">
        <v>765</v>
      </c>
      <c r="E957" s="3" t="s">
        <v>208</v>
      </c>
    </row>
    <row r="958" spans="1:5" x14ac:dyDescent="0.2">
      <c r="A958" s="3">
        <v>952</v>
      </c>
      <c r="B958" s="3" t="s">
        <v>168</v>
      </c>
      <c r="C958" s="3" t="s">
        <v>160</v>
      </c>
      <c r="D958" s="3" t="s">
        <v>1237</v>
      </c>
      <c r="E958" s="3" t="s">
        <v>212</v>
      </c>
    </row>
    <row r="959" spans="1:5" x14ac:dyDescent="0.2">
      <c r="A959" s="3">
        <v>953</v>
      </c>
      <c r="B959" s="3" t="s">
        <v>168</v>
      </c>
      <c r="C959" s="3" t="s">
        <v>160</v>
      </c>
      <c r="D959" s="3" t="s">
        <v>766</v>
      </c>
      <c r="E959" s="3" t="s">
        <v>794</v>
      </c>
    </row>
    <row r="960" spans="1:5" x14ac:dyDescent="0.2">
      <c r="A960" s="3">
        <v>954</v>
      </c>
      <c r="B960" s="3" t="s">
        <v>168</v>
      </c>
      <c r="C960" s="3" t="s">
        <v>160</v>
      </c>
      <c r="D960" s="3" t="s">
        <v>767</v>
      </c>
      <c r="E960" s="3" t="s">
        <v>208</v>
      </c>
    </row>
    <row r="961" spans="1:5" x14ac:dyDescent="0.2">
      <c r="A961" s="3">
        <v>955</v>
      </c>
      <c r="B961" s="3" t="s">
        <v>168</v>
      </c>
      <c r="C961" s="3" t="s">
        <v>160</v>
      </c>
      <c r="D961" s="3" t="s">
        <v>1238</v>
      </c>
      <c r="E961" s="3" t="s">
        <v>212</v>
      </c>
    </row>
    <row r="962" spans="1:5" x14ac:dyDescent="0.2">
      <c r="A962" s="3">
        <v>956</v>
      </c>
      <c r="B962" s="3" t="s">
        <v>168</v>
      </c>
      <c r="C962" s="3" t="s">
        <v>162</v>
      </c>
      <c r="D962" s="3" t="s">
        <v>769</v>
      </c>
      <c r="E962" s="3" t="s">
        <v>821</v>
      </c>
    </row>
    <row r="963" spans="1:5" x14ac:dyDescent="0.2">
      <c r="A963" s="3">
        <v>957</v>
      </c>
      <c r="B963" s="3" t="s">
        <v>168</v>
      </c>
      <c r="C963" s="3" t="s">
        <v>162</v>
      </c>
      <c r="D963" s="3" t="s">
        <v>768</v>
      </c>
      <c r="E963" s="3" t="s">
        <v>794</v>
      </c>
    </row>
    <row r="964" spans="1:5" x14ac:dyDescent="0.2">
      <c r="A964" s="3">
        <v>958</v>
      </c>
      <c r="B964" s="3" t="s">
        <v>168</v>
      </c>
      <c r="C964" s="3" t="s">
        <v>162</v>
      </c>
      <c r="D964" s="3" t="s">
        <v>770</v>
      </c>
      <c r="E964" s="3" t="s">
        <v>795</v>
      </c>
    </row>
    <row r="965" spans="1:5" x14ac:dyDescent="0.2">
      <c r="A965" s="3">
        <v>959</v>
      </c>
      <c r="B965" s="3" t="s">
        <v>168</v>
      </c>
      <c r="C965" s="3" t="s">
        <v>162</v>
      </c>
      <c r="D965" s="3" t="s">
        <v>772</v>
      </c>
      <c r="E965" s="3" t="s">
        <v>230</v>
      </c>
    </row>
    <row r="966" spans="1:5" x14ac:dyDescent="0.2">
      <c r="A966" s="3">
        <v>960</v>
      </c>
      <c r="B966" s="3" t="s">
        <v>168</v>
      </c>
      <c r="C966" s="3" t="s">
        <v>162</v>
      </c>
      <c r="D966" s="3" t="s">
        <v>1239</v>
      </c>
      <c r="E966" s="3" t="s">
        <v>794</v>
      </c>
    </row>
    <row r="967" spans="1:5" x14ac:dyDescent="0.2">
      <c r="A967" s="3">
        <v>961</v>
      </c>
      <c r="B967" s="3" t="s">
        <v>168</v>
      </c>
      <c r="C967" s="3" t="s">
        <v>162</v>
      </c>
      <c r="D967" s="3" t="s">
        <v>771</v>
      </c>
      <c r="E967" s="3" t="s">
        <v>235</v>
      </c>
    </row>
    <row r="968" spans="1:5" x14ac:dyDescent="0.2">
      <c r="A968" s="3">
        <v>962</v>
      </c>
      <c r="B968" s="3" t="s">
        <v>168</v>
      </c>
      <c r="C968" s="3" t="s">
        <v>162</v>
      </c>
      <c r="D968" s="3" t="s">
        <v>773</v>
      </c>
      <c r="E968" s="3" t="s">
        <v>794</v>
      </c>
    </row>
    <row r="969" spans="1:5" x14ac:dyDescent="0.2">
      <c r="A969" s="3">
        <v>963</v>
      </c>
      <c r="B969" s="3" t="s">
        <v>168</v>
      </c>
      <c r="C969" s="3" t="s">
        <v>162</v>
      </c>
      <c r="D969" s="3" t="s">
        <v>1240</v>
      </c>
      <c r="E969" s="3" t="s">
        <v>416</v>
      </c>
    </row>
    <row r="970" spans="1:5" x14ac:dyDescent="0.2">
      <c r="A970" s="3">
        <v>964</v>
      </c>
      <c r="B970" s="3" t="s">
        <v>168</v>
      </c>
      <c r="C970" s="3" t="s">
        <v>162</v>
      </c>
      <c r="D970" s="3" t="s">
        <v>1241</v>
      </c>
      <c r="E970" s="3" t="s">
        <v>794</v>
      </c>
    </row>
    <row r="971" spans="1:5" x14ac:dyDescent="0.2">
      <c r="A971" s="3">
        <v>965</v>
      </c>
      <c r="B971" s="3" t="s">
        <v>168</v>
      </c>
      <c r="C971" s="3" t="s">
        <v>165</v>
      </c>
      <c r="D971" s="3" t="s">
        <v>775</v>
      </c>
      <c r="E971" s="3" t="s">
        <v>208</v>
      </c>
    </row>
    <row r="972" spans="1:5" x14ac:dyDescent="0.2">
      <c r="A972" s="3">
        <v>966</v>
      </c>
      <c r="B972" s="3" t="s">
        <v>168</v>
      </c>
      <c r="C972" s="3" t="s">
        <v>165</v>
      </c>
      <c r="D972" s="3" t="s">
        <v>776</v>
      </c>
      <c r="E972" s="3" t="s">
        <v>230</v>
      </c>
    </row>
    <row r="973" spans="1:5" x14ac:dyDescent="0.2">
      <c r="A973" s="3">
        <v>967</v>
      </c>
      <c r="B973" s="3" t="s">
        <v>168</v>
      </c>
      <c r="C973" s="3" t="s">
        <v>165</v>
      </c>
      <c r="D973" s="3" t="s">
        <v>774</v>
      </c>
      <c r="E973" s="3" t="s">
        <v>460</v>
      </c>
    </row>
    <row r="974" spans="1:5" x14ac:dyDescent="0.2">
      <c r="A974" s="3">
        <v>968</v>
      </c>
      <c r="B974" s="3" t="s">
        <v>168</v>
      </c>
      <c r="C974" s="3" t="s">
        <v>165</v>
      </c>
      <c r="D974" s="3" t="s">
        <v>777</v>
      </c>
      <c r="E974" s="3" t="s">
        <v>794</v>
      </c>
    </row>
    <row r="975" spans="1:5" x14ac:dyDescent="0.2">
      <c r="A975" s="3">
        <v>969</v>
      </c>
      <c r="B975" s="3" t="s">
        <v>168</v>
      </c>
      <c r="C975" s="3" t="s">
        <v>165</v>
      </c>
      <c r="D975" s="3" t="s">
        <v>778</v>
      </c>
      <c r="E975" s="3" t="s">
        <v>230</v>
      </c>
    </row>
    <row r="976" spans="1:5" x14ac:dyDescent="0.2">
      <c r="A976" s="3">
        <v>970</v>
      </c>
      <c r="B976" s="3" t="s">
        <v>168</v>
      </c>
      <c r="C976" s="3" t="s">
        <v>165</v>
      </c>
      <c r="D976" s="3" t="s">
        <v>1242</v>
      </c>
      <c r="E976" s="3" t="s">
        <v>794</v>
      </c>
    </row>
    <row r="977" spans="1:5" x14ac:dyDescent="0.2">
      <c r="A977" s="3">
        <v>971</v>
      </c>
      <c r="B977" s="3" t="s">
        <v>168</v>
      </c>
      <c r="C977" s="3" t="s">
        <v>166</v>
      </c>
      <c r="D977" s="3" t="s">
        <v>785</v>
      </c>
      <c r="E977" s="3" t="s">
        <v>212</v>
      </c>
    </row>
    <row r="978" spans="1:5" x14ac:dyDescent="0.2">
      <c r="A978" s="3">
        <v>972</v>
      </c>
      <c r="B978" s="3" t="s">
        <v>168</v>
      </c>
      <c r="C978" s="3" t="s">
        <v>166</v>
      </c>
      <c r="D978" s="3" t="s">
        <v>786</v>
      </c>
      <c r="E978" s="3" t="s">
        <v>212</v>
      </c>
    </row>
    <row r="979" spans="1:5" x14ac:dyDescent="0.2">
      <c r="A979" s="3">
        <v>973</v>
      </c>
      <c r="B979" s="3" t="s">
        <v>168</v>
      </c>
      <c r="C979" s="3" t="s">
        <v>166</v>
      </c>
      <c r="D979" s="3" t="s">
        <v>787</v>
      </c>
      <c r="E979" s="3" t="s">
        <v>212</v>
      </c>
    </row>
    <row r="980" spans="1:5" x14ac:dyDescent="0.2">
      <c r="A980" s="3">
        <v>974</v>
      </c>
      <c r="B980" s="3" t="s">
        <v>168</v>
      </c>
      <c r="C980" s="3" t="s">
        <v>166</v>
      </c>
      <c r="D980" s="3" t="s">
        <v>1243</v>
      </c>
      <c r="E980" s="3" t="s">
        <v>212</v>
      </c>
    </row>
    <row r="981" spans="1:5" x14ac:dyDescent="0.2">
      <c r="A981" s="3">
        <v>975</v>
      </c>
      <c r="B981" s="3" t="s">
        <v>168</v>
      </c>
      <c r="C981" s="3" t="s">
        <v>166</v>
      </c>
      <c r="D981" s="3" t="s">
        <v>779</v>
      </c>
      <c r="E981" s="3" t="s">
        <v>212</v>
      </c>
    </row>
    <row r="982" spans="1:5" x14ac:dyDescent="0.2">
      <c r="A982" s="3">
        <v>976</v>
      </c>
      <c r="B982" s="3" t="s">
        <v>168</v>
      </c>
      <c r="C982" s="3" t="s">
        <v>166</v>
      </c>
      <c r="D982" s="3" t="s">
        <v>1244</v>
      </c>
      <c r="E982" s="3" t="s">
        <v>208</v>
      </c>
    </row>
    <row r="983" spans="1:5" x14ac:dyDescent="0.2">
      <c r="A983" s="3">
        <v>977</v>
      </c>
      <c r="B983" s="3" t="s">
        <v>168</v>
      </c>
      <c r="C983" s="3" t="s">
        <v>166</v>
      </c>
      <c r="D983" s="3" t="s">
        <v>840</v>
      </c>
      <c r="E983" s="3" t="s">
        <v>212</v>
      </c>
    </row>
    <row r="984" spans="1:5" x14ac:dyDescent="0.2">
      <c r="A984" s="3">
        <v>978</v>
      </c>
      <c r="B984" s="3" t="s">
        <v>168</v>
      </c>
      <c r="C984" s="3" t="s">
        <v>166</v>
      </c>
      <c r="D984" s="3" t="s">
        <v>780</v>
      </c>
      <c r="E984" s="3" t="s">
        <v>212</v>
      </c>
    </row>
    <row r="985" spans="1:5" x14ac:dyDescent="0.2">
      <c r="A985" s="3">
        <v>979</v>
      </c>
      <c r="B985" s="3" t="s">
        <v>168</v>
      </c>
      <c r="C985" s="3" t="s">
        <v>166</v>
      </c>
      <c r="D985" s="3" t="s">
        <v>781</v>
      </c>
      <c r="E985" s="3" t="s">
        <v>212</v>
      </c>
    </row>
    <row r="986" spans="1:5" x14ac:dyDescent="0.2">
      <c r="A986" s="3">
        <v>980</v>
      </c>
      <c r="B986" s="3" t="s">
        <v>168</v>
      </c>
      <c r="C986" s="3" t="s">
        <v>166</v>
      </c>
      <c r="D986" s="3" t="s">
        <v>782</v>
      </c>
      <c r="E986" s="3" t="s">
        <v>212</v>
      </c>
    </row>
    <row r="987" spans="1:5" x14ac:dyDescent="0.2">
      <c r="A987" s="3">
        <v>981</v>
      </c>
      <c r="B987" s="3" t="s">
        <v>168</v>
      </c>
      <c r="C987" s="3" t="s">
        <v>166</v>
      </c>
      <c r="D987" s="3" t="s">
        <v>783</v>
      </c>
      <c r="E987" s="3" t="s">
        <v>212</v>
      </c>
    </row>
    <row r="988" spans="1:5" x14ac:dyDescent="0.2">
      <c r="A988" s="3">
        <v>982</v>
      </c>
      <c r="B988" s="3" t="s">
        <v>168</v>
      </c>
      <c r="C988" s="3" t="s">
        <v>166</v>
      </c>
      <c r="D988" s="3" t="s">
        <v>784</v>
      </c>
      <c r="E988" s="3" t="s">
        <v>801</v>
      </c>
    </row>
    <row r="989" spans="1:5" x14ac:dyDescent="0.2">
      <c r="A989" s="4">
        <v>983</v>
      </c>
      <c r="B989" s="4" t="s">
        <v>168</v>
      </c>
      <c r="C989" s="4" t="s">
        <v>166</v>
      </c>
      <c r="D989" s="4" t="s">
        <v>1245</v>
      </c>
      <c r="E989" s="4" t="s">
        <v>212</v>
      </c>
    </row>
  </sheetData>
  <mergeCells count="7">
    <mergeCell ref="A2:E2"/>
    <mergeCell ref="A3:E3"/>
    <mergeCell ref="A5:A6"/>
    <mergeCell ref="B5:B6"/>
    <mergeCell ref="C5:C6"/>
    <mergeCell ref="D5:D6"/>
    <mergeCell ref="E5:E6"/>
  </mergeCells>
  <phoneticPr fontId="0" type="noConversion"/>
  <printOptions gridLines="1"/>
  <pageMargins left="0.43307086614173229" right="0.23622047244094491" top="0.23622047244094491" bottom="0.39370078740157483" header="0" footer="0"/>
  <pageSetup paperSize="9"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C88F-CF55-4C5C-A252-7838AA08B7F5}">
  <dimension ref="A1:Z79"/>
  <sheetViews>
    <sheetView showGridLines="0" zoomScaleNormal="100" workbookViewId="0">
      <selection activeCell="A4" sqref="A4:P30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4" width="10.7109375" style="19" customWidth="1"/>
    <col min="25" max="25" width="10.7109375" style="23" customWidth="1"/>
    <col min="26" max="26" width="10.7109375" style="19" customWidth="1"/>
    <col min="27" max="16384" width="11.42578125" style="21"/>
  </cols>
  <sheetData>
    <row r="1" spans="1:26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  <c r="V1" s="22"/>
    </row>
    <row r="2" spans="1:26" x14ac:dyDescent="0.2">
      <c r="A2" s="159" t="s">
        <v>1358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</row>
    <row r="4" spans="1:26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  <c r="V4" s="22"/>
      <c r="W4" s="22"/>
      <c r="X4" s="22"/>
    </row>
    <row r="5" spans="1:26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6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6" ht="12.75" customHeight="1" x14ac:dyDescent="0.2">
      <c r="A7" s="32">
        <v>1</v>
      </c>
      <c r="B7" s="18" t="s">
        <v>189</v>
      </c>
      <c r="C7" s="56">
        <v>1925</v>
      </c>
      <c r="D7" s="57">
        <v>33</v>
      </c>
      <c r="E7" s="57">
        <v>483</v>
      </c>
      <c r="F7" s="57">
        <v>875</v>
      </c>
      <c r="G7" s="57">
        <v>424</v>
      </c>
      <c r="H7" s="57">
        <v>58</v>
      </c>
      <c r="I7" s="57">
        <v>20</v>
      </c>
      <c r="J7" s="57">
        <v>12</v>
      </c>
      <c r="K7" s="57">
        <v>5</v>
      </c>
      <c r="L7" s="57">
        <v>0</v>
      </c>
      <c r="M7" s="57">
        <v>0</v>
      </c>
      <c r="N7" s="57">
        <v>0</v>
      </c>
      <c r="O7" s="57">
        <v>15</v>
      </c>
      <c r="P7" s="57">
        <v>2031</v>
      </c>
      <c r="Q7" s="129">
        <v>1838</v>
      </c>
      <c r="R7" s="57">
        <f t="shared" ref="R7:R29" si="0">C7-P7</f>
        <v>-106</v>
      </c>
      <c r="S7" s="27">
        <f t="shared" ref="S7:S30" si="1">(C7-P7)/P7</f>
        <v>-5.2191038897095025E-2</v>
      </c>
      <c r="T7" s="27">
        <f t="shared" ref="T7:T29" si="2">C7/$C$30</f>
        <v>0.18465227817745802</v>
      </c>
      <c r="U7" s="27">
        <f t="shared" ref="U7:U29" si="3">P7/$P$30</f>
        <v>0.25343149488395306</v>
      </c>
    </row>
    <row r="8" spans="1:26" ht="12.75" customHeight="1" x14ac:dyDescent="0.2">
      <c r="A8" s="32">
        <v>2</v>
      </c>
      <c r="B8" s="18" t="s">
        <v>1</v>
      </c>
      <c r="C8" s="56">
        <v>1607</v>
      </c>
      <c r="D8" s="57">
        <v>0</v>
      </c>
      <c r="E8" s="57">
        <v>0</v>
      </c>
      <c r="F8" s="57">
        <v>0</v>
      </c>
      <c r="G8" s="57">
        <v>1</v>
      </c>
      <c r="H8" s="57">
        <v>584</v>
      </c>
      <c r="I8" s="57">
        <v>603</v>
      </c>
      <c r="J8" s="57">
        <v>294</v>
      </c>
      <c r="K8" s="57">
        <v>107</v>
      </c>
      <c r="L8" s="57">
        <v>0</v>
      </c>
      <c r="M8" s="57">
        <v>5</v>
      </c>
      <c r="N8" s="57">
        <v>2</v>
      </c>
      <c r="O8" s="57">
        <v>11</v>
      </c>
      <c r="P8" s="57">
        <v>784</v>
      </c>
      <c r="Q8" s="129">
        <v>1353</v>
      </c>
      <c r="R8" s="57">
        <f t="shared" si="0"/>
        <v>823</v>
      </c>
      <c r="S8" s="27">
        <f t="shared" si="1"/>
        <v>1.0497448979591837</v>
      </c>
      <c r="T8" s="27">
        <f t="shared" si="2"/>
        <v>0.15414868105515586</v>
      </c>
      <c r="U8" s="27">
        <f t="shared" si="3"/>
        <v>9.7828799600698776E-2</v>
      </c>
    </row>
    <row r="9" spans="1:26" ht="12.75" customHeight="1" x14ac:dyDescent="0.2">
      <c r="A9" s="32">
        <v>3</v>
      </c>
      <c r="B9" s="18" t="s">
        <v>190</v>
      </c>
      <c r="C9" s="56">
        <v>1001</v>
      </c>
      <c r="D9" s="57">
        <v>47</v>
      </c>
      <c r="E9" s="57">
        <v>179</v>
      </c>
      <c r="F9" s="57">
        <v>284</v>
      </c>
      <c r="G9" s="57">
        <v>309</v>
      </c>
      <c r="H9" s="57">
        <v>145</v>
      </c>
      <c r="I9" s="57">
        <v>9</v>
      </c>
      <c r="J9" s="57">
        <v>0</v>
      </c>
      <c r="K9" s="57">
        <v>2</v>
      </c>
      <c r="L9" s="57">
        <v>0</v>
      </c>
      <c r="M9" s="57">
        <v>3</v>
      </c>
      <c r="N9" s="57">
        <v>10</v>
      </c>
      <c r="O9" s="57">
        <v>13</v>
      </c>
      <c r="P9" s="57">
        <v>691</v>
      </c>
      <c r="Q9" s="129">
        <v>644</v>
      </c>
      <c r="R9" s="57">
        <f t="shared" si="0"/>
        <v>310</v>
      </c>
      <c r="S9" s="27">
        <f t="shared" si="1"/>
        <v>0.44862518089725034</v>
      </c>
      <c r="T9" s="27">
        <f t="shared" si="2"/>
        <v>9.6019184652278183E-2</v>
      </c>
      <c r="U9" s="27">
        <f t="shared" si="3"/>
        <v>8.6224107811330178E-2</v>
      </c>
    </row>
    <row r="10" spans="1:26" ht="12.75" customHeight="1" x14ac:dyDescent="0.2">
      <c r="A10" s="32">
        <v>4</v>
      </c>
      <c r="B10" s="18" t="s">
        <v>192</v>
      </c>
      <c r="C10" s="56">
        <v>981</v>
      </c>
      <c r="D10" s="57">
        <v>0</v>
      </c>
      <c r="E10" s="57">
        <v>0</v>
      </c>
      <c r="F10" s="57">
        <v>3</v>
      </c>
      <c r="G10" s="57">
        <v>16</v>
      </c>
      <c r="H10" s="57">
        <v>242</v>
      </c>
      <c r="I10" s="57">
        <v>379</v>
      </c>
      <c r="J10" s="57">
        <v>252</v>
      </c>
      <c r="K10" s="57">
        <v>89</v>
      </c>
      <c r="L10" s="57">
        <v>0</v>
      </c>
      <c r="M10" s="57">
        <v>0</v>
      </c>
      <c r="N10" s="57">
        <v>0</v>
      </c>
      <c r="O10" s="57">
        <v>0</v>
      </c>
      <c r="P10" s="57">
        <v>619</v>
      </c>
      <c r="Q10" s="129">
        <v>948</v>
      </c>
      <c r="R10" s="57">
        <f t="shared" si="0"/>
        <v>362</v>
      </c>
      <c r="S10" s="27">
        <f t="shared" si="1"/>
        <v>0.58481421647819065</v>
      </c>
      <c r="T10" s="27">
        <f t="shared" si="2"/>
        <v>9.4100719424460438E-2</v>
      </c>
      <c r="U10" s="27">
        <f t="shared" si="3"/>
        <v>7.7239830296980283E-2</v>
      </c>
    </row>
    <row r="11" spans="1:26" ht="12.75" customHeight="1" x14ac:dyDescent="0.2">
      <c r="A11" s="32">
        <v>5</v>
      </c>
      <c r="B11" s="18" t="s">
        <v>191</v>
      </c>
      <c r="C11" s="56">
        <v>815</v>
      </c>
      <c r="D11" s="57">
        <v>32</v>
      </c>
      <c r="E11" s="57">
        <v>145</v>
      </c>
      <c r="F11" s="57">
        <v>242</v>
      </c>
      <c r="G11" s="57">
        <v>249</v>
      </c>
      <c r="H11" s="57">
        <v>74</v>
      </c>
      <c r="I11" s="57">
        <v>2</v>
      </c>
      <c r="J11" s="57">
        <v>3</v>
      </c>
      <c r="K11" s="57">
        <v>9</v>
      </c>
      <c r="L11" s="57">
        <v>5</v>
      </c>
      <c r="M11" s="57">
        <v>4</v>
      </c>
      <c r="N11" s="57">
        <v>23</v>
      </c>
      <c r="O11" s="57">
        <v>27</v>
      </c>
      <c r="P11" s="57">
        <v>695</v>
      </c>
      <c r="Q11" s="129">
        <v>692</v>
      </c>
      <c r="R11" s="57">
        <f t="shared" si="0"/>
        <v>120</v>
      </c>
      <c r="S11" s="27">
        <f t="shared" si="1"/>
        <v>0.17266187050359713</v>
      </c>
      <c r="T11" s="27">
        <f t="shared" si="2"/>
        <v>7.8177458033573136E-2</v>
      </c>
      <c r="U11" s="27">
        <f t="shared" si="3"/>
        <v>8.672323433990517E-2</v>
      </c>
    </row>
    <row r="12" spans="1:26" ht="12.75" customHeight="1" x14ac:dyDescent="0.2">
      <c r="A12" s="32">
        <v>6</v>
      </c>
      <c r="B12" s="18" t="s">
        <v>3</v>
      </c>
      <c r="C12" s="56">
        <v>743</v>
      </c>
      <c r="D12" s="57">
        <v>18</v>
      </c>
      <c r="E12" s="57">
        <v>165</v>
      </c>
      <c r="F12" s="57">
        <v>387</v>
      </c>
      <c r="G12" s="57">
        <v>150</v>
      </c>
      <c r="H12" s="57">
        <v>12</v>
      </c>
      <c r="I12" s="57">
        <v>2</v>
      </c>
      <c r="J12" s="57">
        <v>4</v>
      </c>
      <c r="K12" s="57">
        <v>0</v>
      </c>
      <c r="L12" s="57">
        <v>0</v>
      </c>
      <c r="M12" s="57">
        <v>0</v>
      </c>
      <c r="N12" s="57">
        <v>2</v>
      </c>
      <c r="O12" s="57">
        <v>3</v>
      </c>
      <c r="P12" s="57">
        <v>652</v>
      </c>
      <c r="Q12" s="129">
        <v>554</v>
      </c>
      <c r="R12" s="57">
        <f t="shared" si="0"/>
        <v>91</v>
      </c>
      <c r="S12" s="27">
        <f t="shared" si="1"/>
        <v>0.13957055214723926</v>
      </c>
      <c r="T12" s="27">
        <f t="shared" si="2"/>
        <v>7.1270983213429256E-2</v>
      </c>
      <c r="U12" s="27">
        <f t="shared" si="3"/>
        <v>8.1357624157723976E-2</v>
      </c>
    </row>
    <row r="13" spans="1:26" ht="12.75" customHeight="1" x14ac:dyDescent="0.2">
      <c r="A13" s="32">
        <v>7</v>
      </c>
      <c r="B13" s="18" t="s">
        <v>196</v>
      </c>
      <c r="C13" s="56">
        <v>428</v>
      </c>
      <c r="D13" s="57">
        <v>24</v>
      </c>
      <c r="E13" s="57">
        <v>21</v>
      </c>
      <c r="F13" s="57">
        <v>5</v>
      </c>
      <c r="G13" s="57">
        <v>2</v>
      </c>
      <c r="H13" s="57">
        <v>29</v>
      </c>
      <c r="I13" s="57">
        <v>71</v>
      </c>
      <c r="J13" s="57">
        <v>43</v>
      </c>
      <c r="K13" s="57">
        <v>28</v>
      </c>
      <c r="L13" s="57">
        <v>0</v>
      </c>
      <c r="M13" s="57">
        <v>46</v>
      </c>
      <c r="N13" s="57">
        <v>95</v>
      </c>
      <c r="O13" s="57">
        <v>64</v>
      </c>
      <c r="P13" s="57">
        <v>314</v>
      </c>
      <c r="Q13" s="129">
        <v>474</v>
      </c>
      <c r="R13" s="57">
        <f t="shared" si="0"/>
        <v>114</v>
      </c>
      <c r="S13" s="27">
        <f t="shared" si="1"/>
        <v>0.36305732484076431</v>
      </c>
      <c r="T13" s="27">
        <f t="shared" si="2"/>
        <v>4.1055155875299759E-2</v>
      </c>
      <c r="U13" s="27">
        <f t="shared" si="3"/>
        <v>3.9181432493137013E-2</v>
      </c>
    </row>
    <row r="14" spans="1:26" ht="12.75" customHeight="1" x14ac:dyDescent="0.2">
      <c r="A14" s="32">
        <v>8</v>
      </c>
      <c r="B14" s="18" t="s">
        <v>4</v>
      </c>
      <c r="C14" s="56">
        <v>370</v>
      </c>
      <c r="D14" s="57">
        <v>0</v>
      </c>
      <c r="E14" s="57">
        <v>138</v>
      </c>
      <c r="F14" s="57">
        <v>137</v>
      </c>
      <c r="G14" s="57">
        <v>90</v>
      </c>
      <c r="H14" s="57">
        <v>5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365</v>
      </c>
      <c r="Q14" s="129">
        <v>375</v>
      </c>
      <c r="R14" s="57">
        <f t="shared" si="0"/>
        <v>5</v>
      </c>
      <c r="S14" s="27">
        <f t="shared" si="1"/>
        <v>1.3698630136986301E-2</v>
      </c>
      <c r="T14" s="27">
        <f t="shared" si="2"/>
        <v>3.5491606714628296E-2</v>
      </c>
      <c r="U14" s="27">
        <f t="shared" si="3"/>
        <v>4.5545295732468183E-2</v>
      </c>
    </row>
    <row r="15" spans="1:26" ht="12.75" customHeight="1" x14ac:dyDescent="0.2">
      <c r="A15" s="32">
        <v>9</v>
      </c>
      <c r="B15" s="18" t="s">
        <v>173</v>
      </c>
      <c r="C15" s="56">
        <v>361</v>
      </c>
      <c r="D15" s="57">
        <v>2</v>
      </c>
      <c r="E15" s="57">
        <v>154</v>
      </c>
      <c r="F15" s="57">
        <v>148</v>
      </c>
      <c r="G15" s="57">
        <v>53</v>
      </c>
      <c r="H15" s="57">
        <v>4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290</v>
      </c>
      <c r="Q15" s="129">
        <v>273</v>
      </c>
      <c r="R15" s="57">
        <f t="shared" si="0"/>
        <v>71</v>
      </c>
      <c r="S15" s="27">
        <f t="shared" si="1"/>
        <v>0.24482758620689654</v>
      </c>
      <c r="T15" s="27">
        <f t="shared" si="2"/>
        <v>3.4628297362110309E-2</v>
      </c>
      <c r="U15" s="27">
        <f t="shared" si="3"/>
        <v>3.6186673321687048E-2</v>
      </c>
    </row>
    <row r="16" spans="1:26" ht="12.75" customHeight="1" x14ac:dyDescent="0.2">
      <c r="A16" s="32">
        <v>10</v>
      </c>
      <c r="B16" s="18" t="s">
        <v>193</v>
      </c>
      <c r="C16" s="56">
        <v>352</v>
      </c>
      <c r="D16" s="57">
        <v>0</v>
      </c>
      <c r="E16" s="57">
        <v>51</v>
      </c>
      <c r="F16" s="57">
        <v>133</v>
      </c>
      <c r="G16" s="57">
        <v>131</v>
      </c>
      <c r="H16" s="57">
        <v>28</v>
      </c>
      <c r="I16" s="57">
        <v>8</v>
      </c>
      <c r="J16" s="57">
        <v>1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228</v>
      </c>
      <c r="Q16" s="129">
        <v>197</v>
      </c>
      <c r="R16" s="57">
        <f t="shared" si="0"/>
        <v>124</v>
      </c>
      <c r="S16" s="27">
        <f t="shared" si="1"/>
        <v>0.54385964912280704</v>
      </c>
      <c r="T16" s="27">
        <f t="shared" si="2"/>
        <v>3.3764988009592323E-2</v>
      </c>
      <c r="U16" s="27">
        <f t="shared" si="3"/>
        <v>2.8450212128774643E-2</v>
      </c>
    </row>
    <row r="17" spans="1:26" ht="12.75" customHeight="1" x14ac:dyDescent="0.2">
      <c r="A17" s="32">
        <v>11</v>
      </c>
      <c r="B17" s="18" t="s">
        <v>195</v>
      </c>
      <c r="C17" s="56">
        <v>339</v>
      </c>
      <c r="D17" s="57">
        <v>208</v>
      </c>
      <c r="E17" s="57">
        <v>24</v>
      </c>
      <c r="F17" s="57">
        <v>7</v>
      </c>
      <c r="G17" s="57">
        <v>0</v>
      </c>
      <c r="H17" s="57">
        <v>0</v>
      </c>
      <c r="I17" s="57">
        <v>2</v>
      </c>
      <c r="J17" s="57">
        <v>8</v>
      </c>
      <c r="K17" s="57">
        <v>9</v>
      </c>
      <c r="L17" s="57">
        <v>2</v>
      </c>
      <c r="M17" s="57">
        <v>7</v>
      </c>
      <c r="N17" s="57">
        <v>26</v>
      </c>
      <c r="O17" s="57">
        <v>46</v>
      </c>
      <c r="P17" s="57">
        <v>97</v>
      </c>
      <c r="Q17" s="129">
        <v>146</v>
      </c>
      <c r="R17" s="57">
        <f t="shared" si="0"/>
        <v>242</v>
      </c>
      <c r="S17" s="27">
        <f t="shared" si="1"/>
        <v>2.4948453608247423</v>
      </c>
      <c r="T17" s="27">
        <f t="shared" si="2"/>
        <v>3.2517985611510793E-2</v>
      </c>
      <c r="U17" s="27">
        <f t="shared" si="3"/>
        <v>1.2103818317943599E-2</v>
      </c>
    </row>
    <row r="18" spans="1:26" ht="12.75" customHeight="1" x14ac:dyDescent="0.2">
      <c r="A18" s="32">
        <v>12</v>
      </c>
      <c r="B18" s="18" t="s">
        <v>5</v>
      </c>
      <c r="C18" s="56">
        <v>263</v>
      </c>
      <c r="D18" s="57">
        <v>7</v>
      </c>
      <c r="E18" s="57">
        <v>93</v>
      </c>
      <c r="F18" s="57">
        <v>116</v>
      </c>
      <c r="G18" s="57">
        <v>47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314</v>
      </c>
      <c r="Q18" s="129">
        <v>277</v>
      </c>
      <c r="R18" s="57">
        <f t="shared" si="0"/>
        <v>-51</v>
      </c>
      <c r="S18" s="27">
        <f t="shared" si="1"/>
        <v>-0.16242038216560509</v>
      </c>
      <c r="T18" s="27">
        <f t="shared" si="2"/>
        <v>2.5227817745803356E-2</v>
      </c>
      <c r="U18" s="27">
        <f t="shared" si="3"/>
        <v>3.9181432493137013E-2</v>
      </c>
    </row>
    <row r="19" spans="1:26" ht="12.75" customHeight="1" x14ac:dyDescent="0.2">
      <c r="A19" s="32">
        <v>13</v>
      </c>
      <c r="B19" s="18" t="s">
        <v>174</v>
      </c>
      <c r="C19" s="56">
        <v>240</v>
      </c>
      <c r="D19" s="57">
        <v>10</v>
      </c>
      <c r="E19" s="57">
        <v>74</v>
      </c>
      <c r="F19" s="57">
        <v>107</v>
      </c>
      <c r="G19" s="57">
        <v>49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134</v>
      </c>
      <c r="Q19" s="129">
        <v>144</v>
      </c>
      <c r="R19" s="57">
        <f t="shared" si="0"/>
        <v>106</v>
      </c>
      <c r="S19" s="27">
        <f t="shared" si="1"/>
        <v>0.79104477611940294</v>
      </c>
      <c r="T19" s="27">
        <f t="shared" si="2"/>
        <v>2.302158273381295E-2</v>
      </c>
      <c r="U19" s="27">
        <f t="shared" si="3"/>
        <v>1.6720738707262289E-2</v>
      </c>
    </row>
    <row r="20" spans="1:26" ht="12.75" customHeight="1" x14ac:dyDescent="0.2">
      <c r="A20" s="32">
        <v>14</v>
      </c>
      <c r="B20" s="18" t="s">
        <v>175</v>
      </c>
      <c r="C20" s="56">
        <v>218</v>
      </c>
      <c r="D20" s="57">
        <v>13</v>
      </c>
      <c r="E20" s="57">
        <v>30</v>
      </c>
      <c r="F20" s="57">
        <v>42</v>
      </c>
      <c r="G20" s="57">
        <v>38</v>
      </c>
      <c r="H20" s="57">
        <v>8</v>
      </c>
      <c r="I20" s="57">
        <v>4</v>
      </c>
      <c r="J20" s="57">
        <v>38</v>
      </c>
      <c r="K20" s="57">
        <v>25</v>
      </c>
      <c r="L20" s="57">
        <v>12</v>
      </c>
      <c r="M20" s="57">
        <v>4</v>
      </c>
      <c r="N20" s="57">
        <v>4</v>
      </c>
      <c r="O20" s="57">
        <v>0</v>
      </c>
      <c r="P20" s="57">
        <v>146</v>
      </c>
      <c r="Q20" s="129">
        <v>322</v>
      </c>
      <c r="R20" s="57">
        <f t="shared" si="0"/>
        <v>72</v>
      </c>
      <c r="S20" s="27">
        <f t="shared" si="1"/>
        <v>0.49315068493150682</v>
      </c>
      <c r="T20" s="27">
        <f t="shared" si="2"/>
        <v>2.091127098321343E-2</v>
      </c>
      <c r="U20" s="27">
        <f t="shared" si="3"/>
        <v>1.8218118292987272E-2</v>
      </c>
    </row>
    <row r="21" spans="1:26" ht="12.75" customHeight="1" x14ac:dyDescent="0.2">
      <c r="A21" s="32">
        <v>15</v>
      </c>
      <c r="B21" s="18" t="s">
        <v>199</v>
      </c>
      <c r="C21" s="56">
        <v>211</v>
      </c>
      <c r="D21" s="57">
        <v>2</v>
      </c>
      <c r="E21" s="57">
        <v>35</v>
      </c>
      <c r="F21" s="57">
        <v>54</v>
      </c>
      <c r="G21" s="57">
        <v>51</v>
      </c>
      <c r="H21" s="57">
        <v>25</v>
      </c>
      <c r="I21" s="57">
        <v>5</v>
      </c>
      <c r="J21" s="57">
        <v>0</v>
      </c>
      <c r="K21" s="57">
        <v>0</v>
      </c>
      <c r="L21" s="57">
        <v>2</v>
      </c>
      <c r="M21" s="57">
        <v>14</v>
      </c>
      <c r="N21" s="57">
        <v>16</v>
      </c>
      <c r="O21" s="57">
        <v>7</v>
      </c>
      <c r="P21" s="57">
        <v>241</v>
      </c>
      <c r="Q21" s="129">
        <v>249</v>
      </c>
      <c r="R21" s="57">
        <f t="shared" si="0"/>
        <v>-30</v>
      </c>
      <c r="S21" s="27">
        <f t="shared" si="1"/>
        <v>-0.12448132780082988</v>
      </c>
      <c r="T21" s="27">
        <f t="shared" si="2"/>
        <v>2.0239808153477219E-2</v>
      </c>
      <c r="U21" s="27">
        <f t="shared" si="3"/>
        <v>3.0072373346643373E-2</v>
      </c>
    </row>
    <row r="22" spans="1:26" ht="12.75" customHeight="1" x14ac:dyDescent="0.2">
      <c r="A22" s="32">
        <v>16</v>
      </c>
      <c r="B22" s="18" t="s">
        <v>0</v>
      </c>
      <c r="C22" s="56">
        <v>153</v>
      </c>
      <c r="D22" s="57">
        <v>3</v>
      </c>
      <c r="E22" s="57">
        <v>33</v>
      </c>
      <c r="F22" s="57">
        <v>82</v>
      </c>
      <c r="G22" s="57">
        <v>25</v>
      </c>
      <c r="H22" s="57">
        <v>10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93</v>
      </c>
      <c r="Q22" s="129">
        <v>92</v>
      </c>
      <c r="R22" s="57">
        <f t="shared" si="0"/>
        <v>60</v>
      </c>
      <c r="S22" s="27">
        <f t="shared" si="1"/>
        <v>0.64516129032258063</v>
      </c>
      <c r="T22" s="27">
        <f t="shared" si="2"/>
        <v>1.4676258992805755E-2</v>
      </c>
      <c r="U22" s="27">
        <f t="shared" si="3"/>
        <v>1.1604691789368606E-2</v>
      </c>
    </row>
    <row r="23" spans="1:26" ht="12.75" customHeight="1" x14ac:dyDescent="0.2">
      <c r="A23" s="32">
        <v>17</v>
      </c>
      <c r="B23" s="18" t="s">
        <v>194</v>
      </c>
      <c r="C23" s="56">
        <v>148</v>
      </c>
      <c r="D23" s="57">
        <v>24</v>
      </c>
      <c r="E23" s="57">
        <v>11</v>
      </c>
      <c r="F23" s="57">
        <v>7</v>
      </c>
      <c r="G23" s="57">
        <v>0</v>
      </c>
      <c r="H23" s="57">
        <v>0</v>
      </c>
      <c r="I23" s="57">
        <v>0</v>
      </c>
      <c r="J23" s="57">
        <v>4</v>
      </c>
      <c r="K23" s="57">
        <v>8</v>
      </c>
      <c r="L23" s="57">
        <v>0</v>
      </c>
      <c r="M23" s="57">
        <v>17</v>
      </c>
      <c r="N23" s="57">
        <v>49</v>
      </c>
      <c r="O23" s="57">
        <v>28</v>
      </c>
      <c r="P23" s="57">
        <v>132</v>
      </c>
      <c r="Q23" s="129">
        <v>210</v>
      </c>
      <c r="R23" s="57">
        <f t="shared" si="0"/>
        <v>16</v>
      </c>
      <c r="S23" s="27">
        <f t="shared" si="1"/>
        <v>0.12121212121212122</v>
      </c>
      <c r="T23" s="27">
        <f t="shared" si="2"/>
        <v>1.4196642685851319E-2</v>
      </c>
      <c r="U23" s="27">
        <f t="shared" si="3"/>
        <v>1.6471175442974793E-2</v>
      </c>
    </row>
    <row r="24" spans="1:26" ht="12.75" customHeight="1" x14ac:dyDescent="0.2">
      <c r="A24" s="32">
        <v>18</v>
      </c>
      <c r="B24" s="18" t="s">
        <v>2</v>
      </c>
      <c r="C24" s="56">
        <v>82</v>
      </c>
      <c r="D24" s="57">
        <v>0</v>
      </c>
      <c r="E24" s="57">
        <v>1</v>
      </c>
      <c r="F24" s="57">
        <v>2</v>
      </c>
      <c r="G24" s="57">
        <v>11</v>
      </c>
      <c r="H24" s="57">
        <v>4</v>
      </c>
      <c r="I24" s="57">
        <v>21</v>
      </c>
      <c r="J24" s="57">
        <v>32</v>
      </c>
      <c r="K24" s="57">
        <v>11</v>
      </c>
      <c r="L24" s="57">
        <v>0</v>
      </c>
      <c r="M24" s="57">
        <v>0</v>
      </c>
      <c r="N24" s="57">
        <v>0</v>
      </c>
      <c r="O24" s="57">
        <v>0</v>
      </c>
      <c r="P24" s="57">
        <v>72</v>
      </c>
      <c r="Q24" s="129">
        <v>158</v>
      </c>
      <c r="R24" s="57">
        <f t="shared" si="0"/>
        <v>10</v>
      </c>
      <c r="S24" s="27">
        <f t="shared" si="1"/>
        <v>0.1388888888888889</v>
      </c>
      <c r="T24" s="27">
        <f t="shared" si="2"/>
        <v>7.8657074340527586E-3</v>
      </c>
      <c r="U24" s="27">
        <f t="shared" si="3"/>
        <v>8.9842775143498879E-3</v>
      </c>
    </row>
    <row r="25" spans="1:26" ht="12.75" customHeight="1" x14ac:dyDescent="0.2">
      <c r="A25" s="32">
        <v>19</v>
      </c>
      <c r="B25" s="18" t="s">
        <v>197</v>
      </c>
      <c r="C25" s="56">
        <v>80</v>
      </c>
      <c r="D25" s="57">
        <v>3</v>
      </c>
      <c r="E25" s="57">
        <v>0</v>
      </c>
      <c r="F25" s="57">
        <v>45</v>
      </c>
      <c r="G25" s="57">
        <v>14</v>
      </c>
      <c r="H25" s="57">
        <v>4</v>
      </c>
      <c r="I25" s="57">
        <v>8</v>
      </c>
      <c r="J25" s="57">
        <v>6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10</v>
      </c>
      <c r="Q25" s="129">
        <v>27</v>
      </c>
      <c r="R25" s="57">
        <f t="shared" si="0"/>
        <v>70</v>
      </c>
      <c r="S25" s="27">
        <f t="shared" si="1"/>
        <v>7</v>
      </c>
      <c r="T25" s="27">
        <f t="shared" si="2"/>
        <v>7.6738609112709834E-3</v>
      </c>
      <c r="U25" s="27">
        <f t="shared" si="3"/>
        <v>1.2478163214374844E-3</v>
      </c>
    </row>
    <row r="26" spans="1:26" ht="12.75" customHeight="1" x14ac:dyDescent="0.2">
      <c r="A26" s="32">
        <v>20</v>
      </c>
      <c r="B26" s="18" t="s">
        <v>8</v>
      </c>
      <c r="C26" s="56">
        <v>48</v>
      </c>
      <c r="D26" s="57">
        <v>10</v>
      </c>
      <c r="E26" s="57">
        <v>13</v>
      </c>
      <c r="F26" s="57">
        <v>7</v>
      </c>
      <c r="G26" s="57">
        <v>0</v>
      </c>
      <c r="H26" s="57">
        <v>0</v>
      </c>
      <c r="I26" s="57">
        <v>0</v>
      </c>
      <c r="J26" s="57">
        <v>6</v>
      </c>
      <c r="K26" s="57">
        <v>3</v>
      </c>
      <c r="L26" s="57">
        <v>3</v>
      </c>
      <c r="M26" s="57">
        <v>0</v>
      </c>
      <c r="N26" s="57">
        <v>2</v>
      </c>
      <c r="O26" s="57">
        <v>4</v>
      </c>
      <c r="P26" s="57">
        <v>42</v>
      </c>
      <c r="Q26" s="129">
        <v>32</v>
      </c>
      <c r="R26" s="57">
        <f t="shared" si="0"/>
        <v>6</v>
      </c>
      <c r="S26" s="27">
        <f t="shared" si="1"/>
        <v>0.14285714285714285</v>
      </c>
      <c r="T26" s="27">
        <f t="shared" si="2"/>
        <v>4.6043165467625899E-3</v>
      </c>
      <c r="U26" s="27">
        <f t="shared" si="3"/>
        <v>5.2408285500374343E-3</v>
      </c>
    </row>
    <row r="27" spans="1:26" ht="12.75" customHeight="1" x14ac:dyDescent="0.2">
      <c r="A27" s="32">
        <v>21</v>
      </c>
      <c r="B27" s="18" t="s">
        <v>7</v>
      </c>
      <c r="C27" s="56">
        <v>43</v>
      </c>
      <c r="D27" s="57">
        <v>9</v>
      </c>
      <c r="E27" s="57">
        <v>19</v>
      </c>
      <c r="F27" s="57">
        <v>15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35</v>
      </c>
      <c r="Q27" s="129">
        <v>44</v>
      </c>
      <c r="R27" s="57">
        <f t="shared" si="0"/>
        <v>8</v>
      </c>
      <c r="S27" s="27">
        <f t="shared" si="1"/>
        <v>0.22857142857142856</v>
      </c>
      <c r="T27" s="27">
        <f t="shared" si="2"/>
        <v>4.1247002398081536E-3</v>
      </c>
      <c r="U27" s="27">
        <f t="shared" si="3"/>
        <v>4.3673571250311951E-3</v>
      </c>
    </row>
    <row r="28" spans="1:26" ht="12.75" customHeight="1" x14ac:dyDescent="0.2">
      <c r="A28" s="32">
        <v>22</v>
      </c>
      <c r="B28" s="18" t="s">
        <v>6</v>
      </c>
      <c r="C28" s="56">
        <v>12</v>
      </c>
      <c r="D28" s="57">
        <v>0</v>
      </c>
      <c r="E28" s="57">
        <v>3</v>
      </c>
      <c r="F28" s="57">
        <v>0</v>
      </c>
      <c r="G28" s="57">
        <v>1</v>
      </c>
      <c r="H28" s="57">
        <v>0</v>
      </c>
      <c r="I28" s="57">
        <v>0</v>
      </c>
      <c r="J28" s="57">
        <v>3</v>
      </c>
      <c r="K28" s="57">
        <v>0</v>
      </c>
      <c r="L28" s="57">
        <v>1</v>
      </c>
      <c r="M28" s="57">
        <v>1</v>
      </c>
      <c r="N28" s="57">
        <v>3</v>
      </c>
      <c r="O28" s="57">
        <v>0</v>
      </c>
      <c r="P28" s="57">
        <v>16</v>
      </c>
      <c r="Q28" s="129">
        <v>18</v>
      </c>
      <c r="R28" s="57">
        <f t="shared" si="0"/>
        <v>-4</v>
      </c>
      <c r="S28" s="27">
        <f t="shared" si="1"/>
        <v>-0.25</v>
      </c>
      <c r="T28" s="27">
        <f t="shared" si="2"/>
        <v>1.1510791366906475E-3</v>
      </c>
      <c r="U28" s="27">
        <f t="shared" si="3"/>
        <v>1.9965061142999752E-3</v>
      </c>
    </row>
    <row r="29" spans="1:26" ht="12.75" customHeight="1" x14ac:dyDescent="0.2">
      <c r="A29" s="32">
        <v>23</v>
      </c>
      <c r="B29" s="18" t="s">
        <v>200</v>
      </c>
      <c r="C29" s="56">
        <v>5</v>
      </c>
      <c r="D29" s="57">
        <v>0</v>
      </c>
      <c r="E29" s="57">
        <v>4</v>
      </c>
      <c r="F29" s="57">
        <v>1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13</v>
      </c>
      <c r="Q29" s="129">
        <v>12</v>
      </c>
      <c r="R29" s="57">
        <f t="shared" si="0"/>
        <v>-8</v>
      </c>
      <c r="S29" s="27">
        <f t="shared" si="1"/>
        <v>-0.61538461538461542</v>
      </c>
      <c r="T29" s="27">
        <f t="shared" si="2"/>
        <v>4.7961630695443646E-4</v>
      </c>
      <c r="U29" s="27">
        <f t="shared" si="3"/>
        <v>1.6221612178687298E-3</v>
      </c>
    </row>
    <row r="30" spans="1:26" ht="16.5" customHeight="1" x14ac:dyDescent="0.2">
      <c r="A30" s="104" t="s">
        <v>1349</v>
      </c>
      <c r="B30" s="105"/>
      <c r="C30" s="106">
        <f>SUBTOTAL(109,Tabla5[ENIS 2022-2023])</f>
        <v>10425</v>
      </c>
      <c r="D30" s="106">
        <f>SUBTOTAL(109,Tabla5[AGO])</f>
        <v>445</v>
      </c>
      <c r="E30" s="106">
        <f>SUBTOTAL(109,Tabla5[SEP])</f>
        <v>1676</v>
      </c>
      <c r="F30" s="106">
        <f>SUBTOTAL(109,Tabla5[OCT])</f>
        <v>2699</v>
      </c>
      <c r="G30" s="106">
        <f>SUBTOTAL(109,Tabla5[NOV])</f>
        <v>1661</v>
      </c>
      <c r="H30" s="106">
        <f>SUBTOTAL(109,Tabla5[DIC])</f>
        <v>1232</v>
      </c>
      <c r="I30" s="106">
        <f>SUBTOTAL(109,Tabla5[ENE])</f>
        <v>1134</v>
      </c>
      <c r="J30" s="106">
        <f>SUBTOTAL(109,Tabla5[FEB])</f>
        <v>706</v>
      </c>
      <c r="K30" s="106">
        <f>SUBTOTAL(109,Tabla5[MAR])</f>
        <v>296</v>
      </c>
      <c r="L30" s="106">
        <f>SUBTOTAL(109,Tabla5[ABR])</f>
        <v>25</v>
      </c>
      <c r="M30" s="106">
        <f>SUBTOTAL(109,Tabla5[MAY])</f>
        <v>101</v>
      </c>
      <c r="N30" s="106">
        <f>SUBTOTAL(109,Tabla5[JUN])</f>
        <v>232</v>
      </c>
      <c r="O30" s="106">
        <f>SUBTOTAL(109,Tabla5[JUL])</f>
        <v>218</v>
      </c>
      <c r="P30" s="106">
        <f>SUBTOTAL(109,Tabla5[SUPERFICIE SEMBRADA 2021-2022])</f>
        <v>8014</v>
      </c>
      <c r="Q30" s="132">
        <f>SUBTOTAL(109,Tabla5[ENIS 2021-2022])</f>
        <v>9079</v>
      </c>
      <c r="R30" s="106">
        <f>SUBTOTAL(109,Tabla5[DIF.])</f>
        <v>2411</v>
      </c>
      <c r="S30" s="110">
        <f t="shared" si="1"/>
        <v>0.30084851509857746</v>
      </c>
      <c r="T30" s="119">
        <f>SUBTOTAL(109,Tabla5[% ENIS])</f>
        <v>1</v>
      </c>
      <c r="U30" s="119">
        <f>SUBTOTAL(109,Tabla5[%  SUP SEMB])</f>
        <v>1</v>
      </c>
      <c r="V30" s="56"/>
      <c r="W30" s="34"/>
      <c r="Y30" s="27"/>
      <c r="Z30" s="27"/>
    </row>
    <row r="31" spans="1:26" x14ac:dyDescent="0.2">
      <c r="V31" s="34"/>
      <c r="X31" s="28"/>
    </row>
    <row r="32" spans="1:26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34"/>
      <c r="Q32" s="34"/>
      <c r="R32" s="34"/>
      <c r="S32" s="34"/>
      <c r="T32" s="34"/>
      <c r="U32" s="34"/>
      <c r="V32" s="34"/>
      <c r="X32" s="28"/>
    </row>
    <row r="33" spans="1:24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34"/>
      <c r="Q33" s="34"/>
      <c r="R33" s="34"/>
      <c r="S33" s="34"/>
      <c r="T33" s="34"/>
      <c r="U33" s="34"/>
      <c r="V33" s="34"/>
      <c r="X33" s="28"/>
    </row>
    <row r="34" spans="1:24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4"/>
      <c r="Q34" s="34"/>
      <c r="R34" s="34"/>
      <c r="S34" s="34"/>
      <c r="T34" s="34"/>
      <c r="U34" s="34"/>
      <c r="V34" s="34"/>
      <c r="X34" s="28"/>
    </row>
    <row r="35" spans="1:24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34"/>
      <c r="Q35" s="34"/>
      <c r="R35" s="34"/>
      <c r="S35" s="34"/>
      <c r="T35" s="34"/>
      <c r="U35" s="34"/>
      <c r="V35" s="34"/>
      <c r="X35" s="28"/>
    </row>
    <row r="36" spans="1:24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4"/>
      <c r="Q36" s="34"/>
      <c r="R36" s="34"/>
      <c r="S36" s="34"/>
      <c r="T36" s="34"/>
      <c r="U36" s="34"/>
      <c r="V36" s="34"/>
      <c r="X36" s="28"/>
    </row>
    <row r="37" spans="1:24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34"/>
      <c r="Q37" s="34"/>
      <c r="R37" s="34"/>
      <c r="S37" s="34"/>
      <c r="T37" s="34"/>
      <c r="U37" s="34"/>
      <c r="V37" s="34"/>
      <c r="X37" s="28"/>
    </row>
    <row r="38" spans="1:24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34"/>
      <c r="Q38" s="34"/>
      <c r="R38" s="34"/>
      <c r="S38" s="34"/>
      <c r="T38" s="34"/>
      <c r="U38" s="34"/>
      <c r="V38" s="34"/>
      <c r="X38" s="28"/>
    </row>
    <row r="39" spans="1:24" ht="43.5" customHeight="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34"/>
      <c r="Q39" s="34"/>
      <c r="R39" s="34"/>
      <c r="S39" s="34"/>
      <c r="T39" s="34"/>
      <c r="U39" s="34"/>
      <c r="V39" s="22"/>
      <c r="W39" s="28"/>
      <c r="X39" s="28"/>
    </row>
    <row r="40" spans="1:24" x14ac:dyDescent="0.2">
      <c r="A40" s="152" t="s">
        <v>1306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22"/>
      <c r="Q40" s="22"/>
      <c r="R40" s="22"/>
      <c r="S40" s="22"/>
      <c r="T40" s="22"/>
      <c r="U40" s="22"/>
      <c r="V40" s="22"/>
      <c r="W40" s="28"/>
      <c r="X40" s="28"/>
    </row>
    <row r="41" spans="1:24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  <c r="V41" s="22"/>
      <c r="W41" s="28"/>
      <c r="X41" s="28"/>
    </row>
    <row r="42" spans="1:24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  <c r="V42" s="22"/>
      <c r="W42" s="28"/>
      <c r="X42" s="28"/>
    </row>
    <row r="43" spans="1:24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  <c r="V43" s="22"/>
      <c r="W43" s="28"/>
      <c r="X43" s="28"/>
    </row>
    <row r="44" spans="1:24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  <c r="V44" s="22"/>
      <c r="W44" s="28"/>
      <c r="X44" s="28"/>
    </row>
    <row r="45" spans="1:24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  <c r="V45" s="22"/>
      <c r="W45" s="28"/>
      <c r="X45" s="28"/>
    </row>
    <row r="46" spans="1:24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  <c r="V46" s="22"/>
      <c r="W46" s="28"/>
      <c r="X46" s="28"/>
    </row>
    <row r="47" spans="1:24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  <c r="V47" s="22"/>
      <c r="W47" s="28"/>
      <c r="X47" s="28"/>
    </row>
    <row r="48" spans="1:24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  <c r="V48" s="22"/>
      <c r="W48" s="28"/>
      <c r="X48" s="28"/>
    </row>
    <row r="49" spans="2:24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  <c r="V49" s="22"/>
      <c r="W49" s="28"/>
      <c r="X49" s="28"/>
    </row>
    <row r="50" spans="2:24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  <c r="V50" s="22"/>
      <c r="W50" s="28"/>
      <c r="X50" s="28"/>
    </row>
    <row r="51" spans="2:24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  <c r="V51" s="22"/>
      <c r="W51" s="28"/>
      <c r="X51" s="28"/>
    </row>
    <row r="52" spans="2:24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  <c r="V52" s="22"/>
      <c r="W52" s="28"/>
      <c r="X52" s="28"/>
    </row>
    <row r="53" spans="2:24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  <c r="V53" s="22"/>
      <c r="W53" s="28"/>
      <c r="X53" s="28"/>
    </row>
    <row r="54" spans="2:24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  <c r="V54" s="22"/>
      <c r="W54" s="28"/>
      <c r="X54" s="28"/>
    </row>
    <row r="55" spans="2:24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  <c r="V55" s="22"/>
      <c r="W55" s="28"/>
      <c r="X55" s="28"/>
    </row>
    <row r="56" spans="2:24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  <c r="V56" s="22"/>
      <c r="W56" s="28"/>
      <c r="X56" s="28"/>
    </row>
    <row r="57" spans="2:24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  <c r="V57" s="22"/>
      <c r="W57" s="28"/>
      <c r="X57" s="28"/>
    </row>
    <row r="58" spans="2:24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  <c r="V58" s="22"/>
      <c r="W58" s="28"/>
      <c r="X58" s="28"/>
    </row>
    <row r="59" spans="2:24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  <c r="V59" s="22"/>
      <c r="W59" s="28"/>
      <c r="X59" s="28"/>
    </row>
    <row r="60" spans="2:24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  <c r="V60" s="22"/>
      <c r="W60" s="28"/>
      <c r="X60" s="28"/>
    </row>
    <row r="61" spans="2:24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  <c r="V61" s="22"/>
      <c r="W61" s="28"/>
      <c r="X61" s="28"/>
    </row>
    <row r="62" spans="2:24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  <c r="V62" s="22"/>
      <c r="W62" s="28"/>
      <c r="X62" s="28"/>
    </row>
    <row r="63" spans="2:24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  <c r="V63" s="22"/>
      <c r="W63" s="28"/>
      <c r="X63" s="28"/>
    </row>
    <row r="64" spans="2:24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  <c r="V64" s="22"/>
      <c r="W64" s="28"/>
      <c r="X64" s="28"/>
    </row>
    <row r="65" spans="1:24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  <c r="V65" s="22"/>
      <c r="W65" s="28"/>
      <c r="X65" s="28"/>
    </row>
    <row r="66" spans="1:24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  <c r="V66" s="22"/>
      <c r="W66" s="28"/>
      <c r="X66" s="28"/>
    </row>
    <row r="67" spans="1:24" ht="12.75" customHeight="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  <c r="V67" s="22"/>
      <c r="W67" s="28"/>
      <c r="X67" s="28"/>
    </row>
    <row r="68" spans="1:24" ht="28.5" customHeight="1" x14ac:dyDescent="0.2">
      <c r="A68" s="82"/>
      <c r="B68" s="88"/>
      <c r="C68" s="82"/>
      <c r="D68" s="160">
        <f>HGA!D4</f>
        <v>2022</v>
      </c>
      <c r="E68" s="160">
        <f>HGA!E4</f>
        <v>0</v>
      </c>
      <c r="F68" s="160">
        <f>HGA!F4</f>
        <v>0</v>
      </c>
      <c r="G68" s="160">
        <f>HGA!G4</f>
        <v>0</v>
      </c>
      <c r="H68" s="160">
        <f>HGA!H4</f>
        <v>0</v>
      </c>
      <c r="I68" s="160">
        <f>HGA!I4</f>
        <v>2023</v>
      </c>
      <c r="J68" s="160">
        <f>HGA!J4</f>
        <v>0</v>
      </c>
      <c r="K68" s="160">
        <f>HGA!K4</f>
        <v>0</v>
      </c>
      <c r="L68" s="160">
        <f>HGA!L4</f>
        <v>0</v>
      </c>
      <c r="M68" s="160">
        <f>HGA!M4</f>
        <v>0</v>
      </c>
      <c r="N68" s="160">
        <f>HGA!N4</f>
        <v>0</v>
      </c>
      <c r="O68" s="160">
        <f>HGA!O4</f>
        <v>0</v>
      </c>
      <c r="P68" s="77"/>
      <c r="Q68" s="125"/>
      <c r="R68" s="77"/>
      <c r="S68" s="77"/>
      <c r="T68" s="77"/>
      <c r="U68" s="77"/>
    </row>
    <row r="69" spans="1:24" ht="25.5" x14ac:dyDescent="0.2">
      <c r="A69" s="87" t="s">
        <v>59</v>
      </c>
      <c r="B69" s="89" t="s">
        <v>10</v>
      </c>
      <c r="C69" s="87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118" t="s">
        <v>187</v>
      </c>
      <c r="S69" s="118" t="s">
        <v>1351</v>
      </c>
      <c r="T69" s="82" t="s">
        <v>1352</v>
      </c>
      <c r="U69" s="82" t="s">
        <v>1353</v>
      </c>
      <c r="V69" s="57">
        <f>Q7</f>
        <v>1838</v>
      </c>
      <c r="X69" s="28" t="e">
        <f>C70*100/#REF!</f>
        <v>#REF!</v>
      </c>
    </row>
    <row r="70" spans="1:24" x14ac:dyDescent="0.2">
      <c r="A70" s="32">
        <f t="shared" ref="A70:P70" si="4">A7</f>
        <v>1</v>
      </c>
      <c r="B70" s="18" t="str">
        <f t="shared" si="4"/>
        <v>MAIZ AMILACEO</v>
      </c>
      <c r="C70" s="56">
        <f t="shared" si="4"/>
        <v>1925</v>
      </c>
      <c r="D70" s="57">
        <f t="shared" si="4"/>
        <v>33</v>
      </c>
      <c r="E70" s="57">
        <f t="shared" si="4"/>
        <v>483</v>
      </c>
      <c r="F70" s="57">
        <f t="shared" si="4"/>
        <v>875</v>
      </c>
      <c r="G70" s="57">
        <f t="shared" si="4"/>
        <v>424</v>
      </c>
      <c r="H70" s="57">
        <f t="shared" si="4"/>
        <v>58</v>
      </c>
      <c r="I70" s="57">
        <f t="shared" si="4"/>
        <v>20</v>
      </c>
      <c r="J70" s="57">
        <f t="shared" si="4"/>
        <v>12</v>
      </c>
      <c r="K70" s="57">
        <f t="shared" si="4"/>
        <v>5</v>
      </c>
      <c r="L70" s="57">
        <f t="shared" si="4"/>
        <v>0</v>
      </c>
      <c r="M70" s="57">
        <f t="shared" si="4"/>
        <v>0</v>
      </c>
      <c r="N70" s="57">
        <f t="shared" si="4"/>
        <v>0</v>
      </c>
      <c r="O70" s="57">
        <f t="shared" si="4"/>
        <v>15</v>
      </c>
      <c r="P70" s="57">
        <f t="shared" si="4"/>
        <v>2031</v>
      </c>
      <c r="Q70" s="129">
        <f t="shared" ref="Q70:U70" si="5">Q7</f>
        <v>1838</v>
      </c>
      <c r="R70" s="57">
        <f t="shared" si="5"/>
        <v>-106</v>
      </c>
      <c r="S70" s="123">
        <f t="shared" si="5"/>
        <v>-5.2191038897095025E-2</v>
      </c>
      <c r="T70" s="123">
        <f t="shared" si="5"/>
        <v>0.18465227817745802</v>
      </c>
      <c r="U70" s="123">
        <f t="shared" si="5"/>
        <v>0.25343149488395306</v>
      </c>
      <c r="V70" s="57">
        <f>Q8</f>
        <v>1353</v>
      </c>
      <c r="X70" s="28" t="e">
        <f>C71*100/#REF!</f>
        <v>#REF!</v>
      </c>
    </row>
    <row r="71" spans="1:24" x14ac:dyDescent="0.2">
      <c r="A71" s="32">
        <f t="shared" ref="A71:P71" si="6">A8</f>
        <v>2</v>
      </c>
      <c r="B71" s="18" t="str">
        <f t="shared" si="6"/>
        <v>CEBADA GRANO</v>
      </c>
      <c r="C71" s="56">
        <f t="shared" si="6"/>
        <v>1607</v>
      </c>
      <c r="D71" s="57">
        <f t="shared" si="6"/>
        <v>0</v>
      </c>
      <c r="E71" s="57">
        <f t="shared" si="6"/>
        <v>0</v>
      </c>
      <c r="F71" s="57">
        <f t="shared" si="6"/>
        <v>0</v>
      </c>
      <c r="G71" s="57">
        <f t="shared" si="6"/>
        <v>1</v>
      </c>
      <c r="H71" s="57">
        <f t="shared" si="6"/>
        <v>584</v>
      </c>
      <c r="I71" s="57">
        <f t="shared" si="6"/>
        <v>603</v>
      </c>
      <c r="J71" s="57">
        <f t="shared" si="6"/>
        <v>294</v>
      </c>
      <c r="K71" s="57">
        <f t="shared" si="6"/>
        <v>107</v>
      </c>
      <c r="L71" s="57">
        <f t="shared" si="6"/>
        <v>0</v>
      </c>
      <c r="M71" s="57">
        <f t="shared" si="6"/>
        <v>5</v>
      </c>
      <c r="N71" s="57">
        <f t="shared" si="6"/>
        <v>2</v>
      </c>
      <c r="O71" s="57">
        <f t="shared" si="6"/>
        <v>11</v>
      </c>
      <c r="P71" s="57">
        <f t="shared" si="6"/>
        <v>784</v>
      </c>
      <c r="Q71" s="129">
        <f t="shared" ref="Q71:U71" si="7">Q8</f>
        <v>1353</v>
      </c>
      <c r="R71" s="57">
        <f t="shared" si="7"/>
        <v>823</v>
      </c>
      <c r="S71" s="123">
        <f t="shared" si="7"/>
        <v>1.0497448979591837</v>
      </c>
      <c r="T71" s="123">
        <f t="shared" si="7"/>
        <v>0.15414868105515586</v>
      </c>
      <c r="U71" s="123">
        <f t="shared" si="7"/>
        <v>9.7828799600698776E-2</v>
      </c>
      <c r="V71" s="57">
        <f>Q9</f>
        <v>644</v>
      </c>
      <c r="X71" s="28" t="e">
        <f>C72*100/#REF!</f>
        <v>#REF!</v>
      </c>
    </row>
    <row r="72" spans="1:24" x14ac:dyDescent="0.2">
      <c r="A72" s="32">
        <f t="shared" ref="A72:P72" si="8">A9</f>
        <v>3</v>
      </c>
      <c r="B72" s="18" t="str">
        <f t="shared" si="8"/>
        <v>PAPA BLANCA</v>
      </c>
      <c r="C72" s="56">
        <f t="shared" si="8"/>
        <v>1001</v>
      </c>
      <c r="D72" s="57">
        <f t="shared" si="8"/>
        <v>47</v>
      </c>
      <c r="E72" s="57">
        <f t="shared" si="8"/>
        <v>179</v>
      </c>
      <c r="F72" s="57">
        <f t="shared" si="8"/>
        <v>284</v>
      </c>
      <c r="G72" s="57">
        <f t="shared" si="8"/>
        <v>309</v>
      </c>
      <c r="H72" s="57">
        <f t="shared" si="8"/>
        <v>145</v>
      </c>
      <c r="I72" s="57">
        <f t="shared" si="8"/>
        <v>9</v>
      </c>
      <c r="J72" s="57">
        <f t="shared" si="8"/>
        <v>0</v>
      </c>
      <c r="K72" s="57">
        <f t="shared" si="8"/>
        <v>2</v>
      </c>
      <c r="L72" s="57">
        <f t="shared" si="8"/>
        <v>0</v>
      </c>
      <c r="M72" s="57">
        <f t="shared" si="8"/>
        <v>3</v>
      </c>
      <c r="N72" s="57">
        <f t="shared" si="8"/>
        <v>10</v>
      </c>
      <c r="O72" s="57">
        <f t="shared" si="8"/>
        <v>13</v>
      </c>
      <c r="P72" s="57">
        <f t="shared" si="8"/>
        <v>691</v>
      </c>
      <c r="Q72" s="129">
        <f t="shared" ref="Q72:U72" si="9">Q9</f>
        <v>644</v>
      </c>
      <c r="R72" s="57">
        <f t="shared" si="9"/>
        <v>310</v>
      </c>
      <c r="S72" s="123">
        <f t="shared" si="9"/>
        <v>0.44862518089725034</v>
      </c>
      <c r="T72" s="123">
        <f t="shared" si="9"/>
        <v>9.6019184652278183E-2</v>
      </c>
      <c r="U72" s="123">
        <f t="shared" si="9"/>
        <v>8.6224107811330178E-2</v>
      </c>
      <c r="V72" s="57">
        <f>Q10</f>
        <v>948</v>
      </c>
      <c r="X72" s="28" t="e">
        <f>C73*100/#REF!</f>
        <v>#REF!</v>
      </c>
    </row>
    <row r="73" spans="1:24" x14ac:dyDescent="0.2">
      <c r="A73" s="32">
        <f t="shared" ref="A73:P73" si="10">A10</f>
        <v>4</v>
      </c>
      <c r="B73" s="18" t="str">
        <f t="shared" si="10"/>
        <v>TRIGO</v>
      </c>
      <c r="C73" s="56">
        <f t="shared" si="10"/>
        <v>981</v>
      </c>
      <c r="D73" s="57">
        <f t="shared" si="10"/>
        <v>0</v>
      </c>
      <c r="E73" s="57">
        <f t="shared" si="10"/>
        <v>0</v>
      </c>
      <c r="F73" s="57">
        <f t="shared" si="10"/>
        <v>3</v>
      </c>
      <c r="G73" s="57">
        <f t="shared" si="10"/>
        <v>16</v>
      </c>
      <c r="H73" s="57">
        <f t="shared" si="10"/>
        <v>242</v>
      </c>
      <c r="I73" s="57">
        <f t="shared" si="10"/>
        <v>379</v>
      </c>
      <c r="J73" s="57">
        <f t="shared" si="10"/>
        <v>252</v>
      </c>
      <c r="K73" s="57">
        <f t="shared" si="10"/>
        <v>89</v>
      </c>
      <c r="L73" s="57">
        <f t="shared" si="10"/>
        <v>0</v>
      </c>
      <c r="M73" s="57">
        <f t="shared" si="10"/>
        <v>0</v>
      </c>
      <c r="N73" s="57">
        <f t="shared" si="10"/>
        <v>0</v>
      </c>
      <c r="O73" s="57">
        <f t="shared" si="10"/>
        <v>0</v>
      </c>
      <c r="P73" s="57">
        <f t="shared" si="10"/>
        <v>619</v>
      </c>
      <c r="Q73" s="129">
        <f t="shared" ref="Q73:U73" si="11">Q10</f>
        <v>948</v>
      </c>
      <c r="R73" s="57">
        <f t="shared" si="11"/>
        <v>362</v>
      </c>
      <c r="S73" s="123">
        <f t="shared" si="11"/>
        <v>0.58481421647819065</v>
      </c>
      <c r="T73" s="123">
        <f t="shared" si="11"/>
        <v>9.4100719424460438E-2</v>
      </c>
      <c r="U73" s="123">
        <f t="shared" si="11"/>
        <v>7.7239830296980283E-2</v>
      </c>
      <c r="V73" s="57">
        <f>Q11</f>
        <v>692</v>
      </c>
      <c r="X73" s="28" t="e">
        <f>C74*100/#REF!</f>
        <v>#REF!</v>
      </c>
    </row>
    <row r="74" spans="1:24" x14ac:dyDescent="0.2">
      <c r="A74" s="32">
        <f t="shared" ref="A74:P74" si="12">A11</f>
        <v>5</v>
      </c>
      <c r="B74" s="18" t="str">
        <f t="shared" si="12"/>
        <v>PAPA COLOR</v>
      </c>
      <c r="C74" s="56">
        <f t="shared" si="12"/>
        <v>815</v>
      </c>
      <c r="D74" s="57">
        <f t="shared" si="12"/>
        <v>32</v>
      </c>
      <c r="E74" s="57">
        <f t="shared" si="12"/>
        <v>145</v>
      </c>
      <c r="F74" s="57">
        <f t="shared" si="12"/>
        <v>242</v>
      </c>
      <c r="G74" s="57">
        <f t="shared" si="12"/>
        <v>249</v>
      </c>
      <c r="H74" s="57">
        <f t="shared" si="12"/>
        <v>74</v>
      </c>
      <c r="I74" s="57">
        <f t="shared" si="12"/>
        <v>2</v>
      </c>
      <c r="J74" s="57">
        <f t="shared" si="12"/>
        <v>3</v>
      </c>
      <c r="K74" s="57">
        <f t="shared" si="12"/>
        <v>9</v>
      </c>
      <c r="L74" s="57">
        <f t="shared" si="12"/>
        <v>5</v>
      </c>
      <c r="M74" s="57">
        <f t="shared" si="12"/>
        <v>4</v>
      </c>
      <c r="N74" s="57">
        <f t="shared" si="12"/>
        <v>23</v>
      </c>
      <c r="O74" s="57">
        <f t="shared" si="12"/>
        <v>27</v>
      </c>
      <c r="P74" s="57">
        <f t="shared" si="12"/>
        <v>695</v>
      </c>
      <c r="Q74" s="129">
        <f t="shared" ref="Q74:U74" si="13">Q11</f>
        <v>692</v>
      </c>
      <c r="R74" s="57">
        <f t="shared" si="13"/>
        <v>120</v>
      </c>
      <c r="S74" s="123">
        <f t="shared" si="13"/>
        <v>0.17266187050359713</v>
      </c>
      <c r="T74" s="123">
        <f t="shared" si="13"/>
        <v>7.8177458033573136E-2</v>
      </c>
      <c r="U74" s="123">
        <f t="shared" si="13"/>
        <v>8.672323433990517E-2</v>
      </c>
      <c r="V74" s="56">
        <f>SUM(Q12:Q29)</f>
        <v>3604</v>
      </c>
      <c r="X74" s="28" t="e">
        <f>C75*100/#REF!</f>
        <v>#REF!</v>
      </c>
    </row>
    <row r="75" spans="1:24" x14ac:dyDescent="0.2">
      <c r="A75" s="32">
        <f>A12</f>
        <v>6</v>
      </c>
      <c r="B75" s="18" t="s">
        <v>44</v>
      </c>
      <c r="C75" s="56">
        <f t="shared" ref="C75:P75" si="14">SUM(C12:C29)</f>
        <v>4096</v>
      </c>
      <c r="D75" s="56">
        <f t="shared" si="14"/>
        <v>333</v>
      </c>
      <c r="E75" s="56">
        <f t="shared" si="14"/>
        <v>869</v>
      </c>
      <c r="F75" s="56">
        <f t="shared" si="14"/>
        <v>1295</v>
      </c>
      <c r="G75" s="56">
        <f t="shared" si="14"/>
        <v>662</v>
      </c>
      <c r="H75" s="56">
        <f t="shared" si="14"/>
        <v>129</v>
      </c>
      <c r="I75" s="56">
        <f t="shared" si="14"/>
        <v>121</v>
      </c>
      <c r="J75" s="56">
        <f t="shared" si="14"/>
        <v>145</v>
      </c>
      <c r="K75" s="56">
        <f t="shared" si="14"/>
        <v>84</v>
      </c>
      <c r="L75" s="56">
        <f t="shared" si="14"/>
        <v>20</v>
      </c>
      <c r="M75" s="56">
        <f t="shared" si="14"/>
        <v>89</v>
      </c>
      <c r="N75" s="56">
        <f t="shared" si="14"/>
        <v>197</v>
      </c>
      <c r="O75" s="56">
        <f t="shared" si="14"/>
        <v>152</v>
      </c>
      <c r="P75" s="56">
        <f t="shared" si="14"/>
        <v>3194</v>
      </c>
      <c r="Q75" s="129"/>
      <c r="R75" s="57"/>
      <c r="S75" s="123"/>
      <c r="T75" s="123"/>
      <c r="U75" s="123"/>
    </row>
    <row r="76" spans="1:24" x14ac:dyDescent="0.2">
      <c r="A76" s="104" t="s">
        <v>1349</v>
      </c>
      <c r="B76" s="105"/>
      <c r="C76" s="106">
        <f>SUBTOTAL(109,Tabla15[ENIS 2022-2023])</f>
        <v>10425</v>
      </c>
      <c r="D76" s="106">
        <f>SUBTOTAL(109,Tabla15[AGO])</f>
        <v>445</v>
      </c>
      <c r="E76" s="106">
        <f>SUBTOTAL(109,Tabla15[SEP])</f>
        <v>1676</v>
      </c>
      <c r="F76" s="106">
        <f>SUBTOTAL(109,Tabla15[OCT])</f>
        <v>2699</v>
      </c>
      <c r="G76" s="106">
        <f>SUBTOTAL(109,Tabla15[NOV])</f>
        <v>1661</v>
      </c>
      <c r="H76" s="106">
        <f>SUBTOTAL(109,Tabla15[DIC])</f>
        <v>1232</v>
      </c>
      <c r="I76" s="106">
        <f>SUBTOTAL(109,Tabla15[ENE])</f>
        <v>1134</v>
      </c>
      <c r="J76" s="106">
        <f>SUBTOTAL(109,Tabla15[FEB])</f>
        <v>706</v>
      </c>
      <c r="K76" s="106">
        <f>SUBTOTAL(109,Tabla15[MAR])</f>
        <v>296</v>
      </c>
      <c r="L76" s="106">
        <f>SUBTOTAL(109,Tabla15[ABR])</f>
        <v>25</v>
      </c>
      <c r="M76" s="106">
        <f>SUBTOTAL(109,Tabla15[MAY])</f>
        <v>101</v>
      </c>
      <c r="N76" s="106">
        <f>SUBTOTAL(109,Tabla15[JUN])</f>
        <v>232</v>
      </c>
      <c r="O76" s="106">
        <f>SUBTOTAL(109,Tabla15[JUL])</f>
        <v>218</v>
      </c>
      <c r="P76" s="106">
        <f>SUBTOTAL(109,Tabla15[SUPERFICIE SEMBRADA 2021-2022])</f>
        <v>8014</v>
      </c>
      <c r="Q76" s="130"/>
      <c r="R76" s="104"/>
      <c r="S76" s="119"/>
      <c r="T76" s="119"/>
      <c r="U76" s="119"/>
    </row>
    <row r="77" spans="1:24" ht="29.25" customHeight="1" x14ac:dyDescent="0.2"/>
    <row r="79" spans="1:24" x14ac:dyDescent="0.2">
      <c r="B79" s="139" t="s">
        <v>1316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22"/>
      <c r="R79" s="22"/>
      <c r="S79" s="22"/>
      <c r="T79" s="22"/>
      <c r="U79" s="22"/>
    </row>
  </sheetData>
  <mergeCells count="8">
    <mergeCell ref="A1:O1"/>
    <mergeCell ref="D4:H4"/>
    <mergeCell ref="I4:O4"/>
    <mergeCell ref="A2:Z2"/>
    <mergeCell ref="B79:P79"/>
    <mergeCell ref="A40:O40"/>
    <mergeCell ref="D68:H68"/>
    <mergeCell ref="I68:O6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6B85-BF28-423A-A042-443D06D5661D}">
  <dimension ref="A1:AA110"/>
  <sheetViews>
    <sheetView showGridLines="0" zoomScaleNormal="100" workbookViewId="0">
      <selection activeCell="P31" sqref="P31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2" width="10.7109375" style="23" customWidth="1"/>
    <col min="23" max="23" width="10.7109375" style="19" customWidth="1"/>
    <col min="24" max="16384" width="11.42578125" style="21"/>
  </cols>
  <sheetData>
    <row r="1" spans="1:23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</row>
    <row r="2" spans="1:23" x14ac:dyDescent="0.2">
      <c r="A2" s="159" t="s">
        <v>1359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</row>
    <row r="4" spans="1:23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</row>
    <row r="5" spans="1:23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3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3" ht="12.75" customHeight="1" x14ac:dyDescent="0.2">
      <c r="A7" s="32">
        <v>1</v>
      </c>
      <c r="B7" s="18" t="s">
        <v>1</v>
      </c>
      <c r="C7" s="56">
        <v>753</v>
      </c>
      <c r="D7" s="57">
        <v>0</v>
      </c>
      <c r="E7" s="57">
        <v>0</v>
      </c>
      <c r="F7" s="57">
        <v>8</v>
      </c>
      <c r="G7" s="57">
        <v>68</v>
      </c>
      <c r="H7" s="57">
        <v>331</v>
      </c>
      <c r="I7" s="57">
        <v>239</v>
      </c>
      <c r="J7" s="57">
        <v>27</v>
      </c>
      <c r="K7" s="57">
        <v>0</v>
      </c>
      <c r="L7" s="57">
        <v>0</v>
      </c>
      <c r="M7" s="57">
        <v>26</v>
      </c>
      <c r="N7" s="57">
        <v>38</v>
      </c>
      <c r="O7" s="57">
        <v>16</v>
      </c>
      <c r="P7" s="57">
        <v>722</v>
      </c>
      <c r="Q7" s="129">
        <v>761</v>
      </c>
      <c r="R7" s="57">
        <f t="shared" ref="R7:R23" si="0">C7-P7</f>
        <v>31</v>
      </c>
      <c r="S7" s="27">
        <f t="shared" ref="S7:S24" si="1">(C7-P7)/P7</f>
        <v>4.2936288088642659E-2</v>
      </c>
      <c r="T7" s="27">
        <f t="shared" ref="T7:T23" si="2">C7/$C$24</f>
        <v>0.23980891719745223</v>
      </c>
      <c r="U7" s="27">
        <f t="shared" ref="U7:U23" si="3">P7/$P$24</f>
        <v>0.22513252260679764</v>
      </c>
    </row>
    <row r="8" spans="1:23" ht="12.75" customHeight="1" x14ac:dyDescent="0.2">
      <c r="A8" s="32">
        <v>2</v>
      </c>
      <c r="B8" s="18" t="s">
        <v>189</v>
      </c>
      <c r="C8" s="56">
        <v>582</v>
      </c>
      <c r="D8" s="57">
        <v>23</v>
      </c>
      <c r="E8" s="57">
        <v>163</v>
      </c>
      <c r="F8" s="57">
        <v>242</v>
      </c>
      <c r="G8" s="57">
        <v>139</v>
      </c>
      <c r="H8" s="57">
        <v>1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8</v>
      </c>
      <c r="O8" s="57">
        <v>6</v>
      </c>
      <c r="P8" s="57">
        <v>598</v>
      </c>
      <c r="Q8" s="129">
        <v>587</v>
      </c>
      <c r="R8" s="57">
        <f t="shared" si="0"/>
        <v>-16</v>
      </c>
      <c r="S8" s="27">
        <f t="shared" si="1"/>
        <v>-2.6755852842809364E-2</v>
      </c>
      <c r="T8" s="27">
        <f t="shared" si="2"/>
        <v>0.18535031847133757</v>
      </c>
      <c r="U8" s="27">
        <f t="shared" si="3"/>
        <v>0.18646710321172436</v>
      </c>
    </row>
    <row r="9" spans="1:23" ht="12.75" customHeight="1" x14ac:dyDescent="0.2">
      <c r="A9" s="32">
        <v>3</v>
      </c>
      <c r="B9" s="18" t="s">
        <v>190</v>
      </c>
      <c r="C9" s="56">
        <v>289</v>
      </c>
      <c r="D9" s="57">
        <v>15</v>
      </c>
      <c r="E9" s="57">
        <v>36</v>
      </c>
      <c r="F9" s="57">
        <v>109</v>
      </c>
      <c r="G9" s="57">
        <v>92</v>
      </c>
      <c r="H9" s="57">
        <v>19</v>
      </c>
      <c r="I9" s="57">
        <v>0</v>
      </c>
      <c r="J9" s="57">
        <v>0</v>
      </c>
      <c r="K9" s="57">
        <v>0</v>
      </c>
      <c r="L9" s="57">
        <v>0</v>
      </c>
      <c r="M9" s="57">
        <v>1</v>
      </c>
      <c r="N9" s="57">
        <v>6</v>
      </c>
      <c r="O9" s="57">
        <v>11</v>
      </c>
      <c r="P9" s="57">
        <v>328</v>
      </c>
      <c r="Q9" s="129">
        <v>325</v>
      </c>
      <c r="R9" s="57">
        <f t="shared" si="0"/>
        <v>-39</v>
      </c>
      <c r="S9" s="27">
        <f t="shared" si="1"/>
        <v>-0.11890243902439024</v>
      </c>
      <c r="T9" s="27">
        <f t="shared" si="2"/>
        <v>9.2038216560509548E-2</v>
      </c>
      <c r="U9" s="27">
        <f t="shared" si="3"/>
        <v>0.10227627065793576</v>
      </c>
    </row>
    <row r="10" spans="1:23" ht="12.75" customHeight="1" x14ac:dyDescent="0.2">
      <c r="A10" s="32">
        <v>4</v>
      </c>
      <c r="B10" s="18" t="s">
        <v>3</v>
      </c>
      <c r="C10" s="56">
        <v>281</v>
      </c>
      <c r="D10" s="57">
        <v>22</v>
      </c>
      <c r="E10" s="57">
        <v>66</v>
      </c>
      <c r="F10" s="57">
        <v>109</v>
      </c>
      <c r="G10" s="57">
        <v>42</v>
      </c>
      <c r="H10" s="57">
        <v>3</v>
      </c>
      <c r="I10" s="57">
        <v>0</v>
      </c>
      <c r="J10" s="57">
        <v>0</v>
      </c>
      <c r="K10" s="57">
        <v>0</v>
      </c>
      <c r="L10" s="57">
        <v>1</v>
      </c>
      <c r="M10" s="57">
        <v>9</v>
      </c>
      <c r="N10" s="57">
        <v>13</v>
      </c>
      <c r="O10" s="57">
        <v>16</v>
      </c>
      <c r="P10" s="57">
        <v>324</v>
      </c>
      <c r="Q10" s="129">
        <v>370</v>
      </c>
      <c r="R10" s="57">
        <f t="shared" si="0"/>
        <v>-43</v>
      </c>
      <c r="S10" s="27">
        <f t="shared" si="1"/>
        <v>-0.13271604938271606</v>
      </c>
      <c r="T10" s="27">
        <f t="shared" si="2"/>
        <v>8.9490445859872605E-2</v>
      </c>
      <c r="U10" s="27">
        <f t="shared" si="3"/>
        <v>0.10102899906454631</v>
      </c>
    </row>
    <row r="11" spans="1:23" ht="12.75" customHeight="1" x14ac:dyDescent="0.2">
      <c r="A11" s="32">
        <v>5</v>
      </c>
      <c r="B11" s="18" t="s">
        <v>191</v>
      </c>
      <c r="C11" s="56">
        <v>218</v>
      </c>
      <c r="D11" s="57">
        <v>16</v>
      </c>
      <c r="E11" s="57">
        <v>29</v>
      </c>
      <c r="F11" s="57">
        <v>64</v>
      </c>
      <c r="G11" s="57">
        <v>77</v>
      </c>
      <c r="H11" s="57">
        <v>10</v>
      </c>
      <c r="I11" s="57">
        <v>0</v>
      </c>
      <c r="J11" s="57">
        <v>0</v>
      </c>
      <c r="K11" s="57">
        <v>0</v>
      </c>
      <c r="L11" s="57">
        <v>0</v>
      </c>
      <c r="M11" s="57">
        <v>2</v>
      </c>
      <c r="N11" s="57">
        <v>10</v>
      </c>
      <c r="O11" s="57">
        <v>10</v>
      </c>
      <c r="P11" s="57">
        <v>237</v>
      </c>
      <c r="Q11" s="129">
        <v>245</v>
      </c>
      <c r="R11" s="57">
        <f t="shared" si="0"/>
        <v>-19</v>
      </c>
      <c r="S11" s="27">
        <f t="shared" si="1"/>
        <v>-8.0168776371308023E-2</v>
      </c>
      <c r="T11" s="27">
        <f t="shared" si="2"/>
        <v>6.9426751592356686E-2</v>
      </c>
      <c r="U11" s="27">
        <f t="shared" si="3"/>
        <v>7.3900841908325535E-2</v>
      </c>
    </row>
    <row r="12" spans="1:23" ht="12.75" customHeight="1" x14ac:dyDescent="0.2">
      <c r="A12" s="32">
        <v>6</v>
      </c>
      <c r="B12" s="18" t="s">
        <v>192</v>
      </c>
      <c r="C12" s="56">
        <v>206</v>
      </c>
      <c r="D12" s="57">
        <v>0</v>
      </c>
      <c r="E12" s="57">
        <v>0</v>
      </c>
      <c r="F12" s="57">
        <v>4</v>
      </c>
      <c r="G12" s="57">
        <v>41</v>
      </c>
      <c r="H12" s="57">
        <v>94</v>
      </c>
      <c r="I12" s="57">
        <v>47</v>
      </c>
      <c r="J12" s="57">
        <v>0</v>
      </c>
      <c r="K12" s="57">
        <v>0</v>
      </c>
      <c r="L12" s="57">
        <v>0</v>
      </c>
      <c r="M12" s="57">
        <v>4</v>
      </c>
      <c r="N12" s="57">
        <v>11</v>
      </c>
      <c r="O12" s="57">
        <v>5</v>
      </c>
      <c r="P12" s="57">
        <v>199</v>
      </c>
      <c r="Q12" s="129">
        <v>245</v>
      </c>
      <c r="R12" s="57">
        <f t="shared" si="0"/>
        <v>7</v>
      </c>
      <c r="S12" s="27">
        <f t="shared" si="1"/>
        <v>3.5175879396984924E-2</v>
      </c>
      <c r="T12" s="27">
        <f t="shared" si="2"/>
        <v>6.5605095541401273E-2</v>
      </c>
      <c r="U12" s="27">
        <f t="shared" si="3"/>
        <v>6.205176177112566E-2</v>
      </c>
    </row>
    <row r="13" spans="1:23" ht="12.75" customHeight="1" x14ac:dyDescent="0.2">
      <c r="A13" s="32">
        <v>7</v>
      </c>
      <c r="B13" s="18" t="s">
        <v>193</v>
      </c>
      <c r="C13" s="56">
        <v>181</v>
      </c>
      <c r="D13" s="57">
        <v>0</v>
      </c>
      <c r="E13" s="57">
        <v>9</v>
      </c>
      <c r="F13" s="57">
        <v>56</v>
      </c>
      <c r="G13" s="57">
        <v>103</v>
      </c>
      <c r="H13" s="57">
        <v>11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1</v>
      </c>
      <c r="O13" s="57">
        <v>1</v>
      </c>
      <c r="P13" s="57">
        <v>188</v>
      </c>
      <c r="Q13" s="129">
        <v>183</v>
      </c>
      <c r="R13" s="57">
        <f t="shared" si="0"/>
        <v>-7</v>
      </c>
      <c r="S13" s="27">
        <f t="shared" si="1"/>
        <v>-3.7234042553191488E-2</v>
      </c>
      <c r="T13" s="27">
        <f t="shared" si="2"/>
        <v>5.7643312101910829E-2</v>
      </c>
      <c r="U13" s="27">
        <f t="shared" si="3"/>
        <v>5.8621764889304644E-2</v>
      </c>
    </row>
    <row r="14" spans="1:23" ht="12.75" customHeight="1" x14ac:dyDescent="0.2">
      <c r="A14" s="32">
        <v>8</v>
      </c>
      <c r="B14" s="18" t="s">
        <v>4</v>
      </c>
      <c r="C14" s="56">
        <v>123</v>
      </c>
      <c r="D14" s="57">
        <v>4</v>
      </c>
      <c r="E14" s="57">
        <v>27</v>
      </c>
      <c r="F14" s="57">
        <v>57</v>
      </c>
      <c r="G14" s="57">
        <v>31</v>
      </c>
      <c r="H14" s="57">
        <v>2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1</v>
      </c>
      <c r="O14" s="57">
        <v>1</v>
      </c>
      <c r="P14" s="57">
        <v>155</v>
      </c>
      <c r="Q14" s="129">
        <v>149</v>
      </c>
      <c r="R14" s="57">
        <f t="shared" si="0"/>
        <v>-32</v>
      </c>
      <c r="S14" s="27">
        <f t="shared" si="1"/>
        <v>-0.20645161290322581</v>
      </c>
      <c r="T14" s="27">
        <f t="shared" si="2"/>
        <v>3.9171974522292992E-2</v>
      </c>
      <c r="U14" s="27">
        <f t="shared" si="3"/>
        <v>4.8331774243841594E-2</v>
      </c>
    </row>
    <row r="15" spans="1:23" ht="12.75" customHeight="1" x14ac:dyDescent="0.2">
      <c r="A15" s="32">
        <v>9</v>
      </c>
      <c r="B15" s="18" t="s">
        <v>5</v>
      </c>
      <c r="C15" s="56">
        <v>106</v>
      </c>
      <c r="D15" s="57">
        <v>6</v>
      </c>
      <c r="E15" s="57">
        <v>39</v>
      </c>
      <c r="F15" s="57">
        <v>55</v>
      </c>
      <c r="G15" s="57">
        <v>6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146</v>
      </c>
      <c r="Q15" s="129">
        <v>136</v>
      </c>
      <c r="R15" s="57">
        <f t="shared" si="0"/>
        <v>-40</v>
      </c>
      <c r="S15" s="27">
        <f t="shared" si="1"/>
        <v>-0.27397260273972601</v>
      </c>
      <c r="T15" s="27">
        <f t="shared" si="2"/>
        <v>3.375796178343949E-2</v>
      </c>
      <c r="U15" s="27">
        <f t="shared" si="3"/>
        <v>4.5525413158715312E-2</v>
      </c>
    </row>
    <row r="16" spans="1:23" ht="12.75" customHeight="1" x14ac:dyDescent="0.2">
      <c r="A16" s="32">
        <v>10</v>
      </c>
      <c r="B16" s="18" t="s">
        <v>175</v>
      </c>
      <c r="C16" s="56">
        <v>103</v>
      </c>
      <c r="D16" s="57">
        <v>0</v>
      </c>
      <c r="E16" s="57">
        <v>2</v>
      </c>
      <c r="F16" s="57">
        <v>1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30</v>
      </c>
      <c r="N16" s="57">
        <v>40</v>
      </c>
      <c r="O16" s="57">
        <v>30</v>
      </c>
      <c r="P16" s="57">
        <v>0</v>
      </c>
      <c r="Q16" s="129">
        <v>90</v>
      </c>
      <c r="R16" s="57">
        <f t="shared" si="0"/>
        <v>103</v>
      </c>
      <c r="S16" s="27" t="e">
        <f t="shared" si="1"/>
        <v>#DIV/0!</v>
      </c>
      <c r="T16" s="27">
        <f t="shared" si="2"/>
        <v>3.2802547770700637E-2</v>
      </c>
      <c r="U16" s="27">
        <f t="shared" si="3"/>
        <v>0</v>
      </c>
      <c r="V16" s="21"/>
      <c r="W16" s="21"/>
    </row>
    <row r="17" spans="1:23" ht="12.75" customHeight="1" x14ac:dyDescent="0.2">
      <c r="A17" s="32">
        <v>11</v>
      </c>
      <c r="B17" s="18" t="s">
        <v>173</v>
      </c>
      <c r="C17" s="56">
        <v>98</v>
      </c>
      <c r="D17" s="57">
        <v>5</v>
      </c>
      <c r="E17" s="57">
        <v>24</v>
      </c>
      <c r="F17" s="57">
        <v>42</v>
      </c>
      <c r="G17" s="57">
        <v>26</v>
      </c>
      <c r="H17" s="57">
        <v>1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112</v>
      </c>
      <c r="Q17" s="129">
        <v>118</v>
      </c>
      <c r="R17" s="57">
        <f t="shared" si="0"/>
        <v>-14</v>
      </c>
      <c r="S17" s="27">
        <f t="shared" si="1"/>
        <v>-0.125</v>
      </c>
      <c r="T17" s="27">
        <f t="shared" si="2"/>
        <v>3.1210191082802548E-2</v>
      </c>
      <c r="U17" s="27">
        <f t="shared" si="3"/>
        <v>3.4923604614904895E-2</v>
      </c>
    </row>
    <row r="18" spans="1:23" ht="12.75" customHeight="1" x14ac:dyDescent="0.2">
      <c r="A18" s="32">
        <v>12</v>
      </c>
      <c r="B18" s="18" t="s">
        <v>174</v>
      </c>
      <c r="C18" s="56">
        <v>71</v>
      </c>
      <c r="D18" s="57">
        <v>5</v>
      </c>
      <c r="E18" s="57">
        <v>21</v>
      </c>
      <c r="F18" s="57">
        <v>33</v>
      </c>
      <c r="G18" s="57">
        <v>12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78</v>
      </c>
      <c r="Q18" s="129">
        <v>73</v>
      </c>
      <c r="R18" s="57">
        <f t="shared" si="0"/>
        <v>-7</v>
      </c>
      <c r="S18" s="27">
        <f t="shared" si="1"/>
        <v>-8.9743589743589744E-2</v>
      </c>
      <c r="T18" s="27">
        <f t="shared" si="2"/>
        <v>2.2611464968152865E-2</v>
      </c>
      <c r="U18" s="27">
        <f t="shared" si="3"/>
        <v>2.4321796071094481E-2</v>
      </c>
    </row>
    <row r="19" spans="1:23" ht="12.75" customHeight="1" x14ac:dyDescent="0.2">
      <c r="A19" s="32">
        <v>13</v>
      </c>
      <c r="B19" s="18" t="s">
        <v>197</v>
      </c>
      <c r="C19" s="56">
        <v>58</v>
      </c>
      <c r="D19" s="57">
        <v>0</v>
      </c>
      <c r="E19" s="57">
        <v>4</v>
      </c>
      <c r="F19" s="57">
        <v>9</v>
      </c>
      <c r="G19" s="57">
        <v>7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13</v>
      </c>
      <c r="N19" s="57">
        <v>15</v>
      </c>
      <c r="O19" s="57">
        <v>10</v>
      </c>
      <c r="P19" s="57">
        <v>39</v>
      </c>
      <c r="Q19" s="129">
        <v>74</v>
      </c>
      <c r="R19" s="57">
        <f t="shared" si="0"/>
        <v>19</v>
      </c>
      <c r="S19" s="27">
        <f t="shared" si="1"/>
        <v>0.48717948717948717</v>
      </c>
      <c r="T19" s="27">
        <f t="shared" si="2"/>
        <v>1.8471337579617834E-2</v>
      </c>
      <c r="U19" s="27">
        <f t="shared" si="3"/>
        <v>1.216089803554724E-2</v>
      </c>
    </row>
    <row r="20" spans="1:23" ht="12.75" customHeight="1" x14ac:dyDescent="0.2">
      <c r="A20" s="32">
        <v>14</v>
      </c>
      <c r="B20" s="18" t="s">
        <v>196</v>
      </c>
      <c r="C20" s="56">
        <v>40</v>
      </c>
      <c r="D20" s="57">
        <v>7</v>
      </c>
      <c r="E20" s="57">
        <v>13</v>
      </c>
      <c r="F20" s="57">
        <v>5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5</v>
      </c>
      <c r="N20" s="57">
        <v>5</v>
      </c>
      <c r="O20" s="57">
        <v>5</v>
      </c>
      <c r="P20" s="57">
        <v>33</v>
      </c>
      <c r="Q20" s="129">
        <v>56</v>
      </c>
      <c r="R20" s="57">
        <f t="shared" si="0"/>
        <v>7</v>
      </c>
      <c r="S20" s="27">
        <f t="shared" si="1"/>
        <v>0.21212121212121213</v>
      </c>
      <c r="T20" s="27">
        <f t="shared" si="2"/>
        <v>1.2738853503184714E-2</v>
      </c>
      <c r="U20" s="27">
        <f t="shared" si="3"/>
        <v>1.028999064546305E-2</v>
      </c>
    </row>
    <row r="21" spans="1:23" ht="12.75" customHeight="1" x14ac:dyDescent="0.2">
      <c r="A21" s="32">
        <v>15</v>
      </c>
      <c r="B21" s="18" t="s">
        <v>2</v>
      </c>
      <c r="C21" s="56">
        <v>14</v>
      </c>
      <c r="D21" s="57">
        <v>0</v>
      </c>
      <c r="E21" s="57">
        <v>0</v>
      </c>
      <c r="F21" s="57">
        <v>9</v>
      </c>
      <c r="G21" s="57">
        <v>3</v>
      </c>
      <c r="H21" s="57">
        <v>2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26</v>
      </c>
      <c r="Q21" s="129">
        <v>16</v>
      </c>
      <c r="R21" s="57">
        <f t="shared" si="0"/>
        <v>-12</v>
      </c>
      <c r="S21" s="27">
        <f t="shared" si="1"/>
        <v>-0.46153846153846156</v>
      </c>
      <c r="T21" s="27">
        <f t="shared" si="2"/>
        <v>4.4585987261146496E-3</v>
      </c>
      <c r="U21" s="27">
        <f t="shared" si="3"/>
        <v>8.1072653570314936E-3</v>
      </c>
    </row>
    <row r="22" spans="1:23" ht="12.75" customHeight="1" x14ac:dyDescent="0.2">
      <c r="A22" s="32">
        <v>16</v>
      </c>
      <c r="B22" s="18" t="s">
        <v>7</v>
      </c>
      <c r="C22" s="56">
        <v>11</v>
      </c>
      <c r="D22" s="57">
        <v>4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2</v>
      </c>
      <c r="M22" s="57">
        <v>5</v>
      </c>
      <c r="N22" s="57">
        <v>0</v>
      </c>
      <c r="O22" s="57">
        <v>0</v>
      </c>
      <c r="P22" s="57">
        <v>13</v>
      </c>
      <c r="Q22" s="129">
        <v>14</v>
      </c>
      <c r="R22" s="57">
        <f t="shared" si="0"/>
        <v>-2</v>
      </c>
      <c r="S22" s="27">
        <f t="shared" si="1"/>
        <v>-0.15384615384615385</v>
      </c>
      <c r="T22" s="27">
        <f t="shared" si="2"/>
        <v>3.5031847133757963E-3</v>
      </c>
      <c r="U22" s="27">
        <f t="shared" si="3"/>
        <v>4.0536326785157468E-3</v>
      </c>
    </row>
    <row r="23" spans="1:23" ht="12.75" customHeight="1" x14ac:dyDescent="0.2">
      <c r="A23" s="32">
        <v>17</v>
      </c>
      <c r="B23" s="18" t="s">
        <v>199</v>
      </c>
      <c r="C23" s="56">
        <v>6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2</v>
      </c>
      <c r="K23" s="57">
        <v>2</v>
      </c>
      <c r="L23" s="57">
        <v>2</v>
      </c>
      <c r="M23" s="57">
        <v>0</v>
      </c>
      <c r="N23" s="57">
        <v>0</v>
      </c>
      <c r="O23" s="57">
        <v>0</v>
      </c>
      <c r="P23" s="57">
        <v>9</v>
      </c>
      <c r="Q23" s="129">
        <v>8</v>
      </c>
      <c r="R23" s="57">
        <f t="shared" si="0"/>
        <v>-3</v>
      </c>
      <c r="S23" s="27">
        <f t="shared" si="1"/>
        <v>-0.33333333333333331</v>
      </c>
      <c r="T23" s="27">
        <f t="shared" si="2"/>
        <v>1.910828025477707E-3</v>
      </c>
      <c r="U23" s="27">
        <f t="shared" si="3"/>
        <v>2.8063610851262861E-3</v>
      </c>
    </row>
    <row r="24" spans="1:23" ht="16.5" customHeight="1" x14ac:dyDescent="0.2">
      <c r="A24" s="104" t="s">
        <v>1349</v>
      </c>
      <c r="B24" s="105"/>
      <c r="C24" s="106">
        <f>SUBTOTAL(109,Tabla6[ENIS 2022-2023])</f>
        <v>3140</v>
      </c>
      <c r="D24" s="106">
        <f>SUBTOTAL(109,Tabla6[AGO])</f>
        <v>107</v>
      </c>
      <c r="E24" s="106">
        <f>SUBTOTAL(109,Tabla6[SEP])</f>
        <v>433</v>
      </c>
      <c r="F24" s="106">
        <f>SUBTOTAL(109,Tabla6[OCT])</f>
        <v>803</v>
      </c>
      <c r="G24" s="106">
        <f>SUBTOTAL(109,Tabla6[NOV])</f>
        <v>647</v>
      </c>
      <c r="H24" s="106">
        <f>SUBTOTAL(109,Tabla6[DIC])</f>
        <v>474</v>
      </c>
      <c r="I24" s="106">
        <f>SUBTOTAL(109,Tabla6[ENE])</f>
        <v>286</v>
      </c>
      <c r="J24" s="106">
        <f>SUBTOTAL(109,Tabla6[FEB])</f>
        <v>29</v>
      </c>
      <c r="K24" s="106">
        <f>SUBTOTAL(109,Tabla6[MAR])</f>
        <v>2</v>
      </c>
      <c r="L24" s="106">
        <f>SUBTOTAL(109,Tabla6[ABR])</f>
        <v>5</v>
      </c>
      <c r="M24" s="106">
        <f>SUBTOTAL(109,Tabla6[MAY])</f>
        <v>95</v>
      </c>
      <c r="N24" s="106">
        <f>SUBTOTAL(109,Tabla6[JUN])</f>
        <v>148</v>
      </c>
      <c r="O24" s="106">
        <f>SUBTOTAL(109,Tabla6[JUL])</f>
        <v>111</v>
      </c>
      <c r="P24" s="106">
        <f>SUBTOTAL(109,Tabla6[SUPERFICIE SEMBRADA 2021-2022])</f>
        <v>3207</v>
      </c>
      <c r="Q24" s="132">
        <f>SUBTOTAL(109,Tabla6[ENIS 2021-2022])</f>
        <v>3450</v>
      </c>
      <c r="R24" s="106">
        <f>SUBTOTAL(109,Tabla6[DIF.])</f>
        <v>-67</v>
      </c>
      <c r="S24" s="27">
        <f t="shared" si="1"/>
        <v>-2.0891799189273464E-2</v>
      </c>
      <c r="T24" s="122">
        <f>SUBTOTAL(109,Tabla6[% ENIS])</f>
        <v>1.0000000000000002</v>
      </c>
      <c r="U24" s="122">
        <f>SUBTOTAL(109,Tabla6[%  SUP SEMB])</f>
        <v>1.0000000000000002</v>
      </c>
      <c r="V24" s="27"/>
      <c r="W24" s="27"/>
    </row>
    <row r="25" spans="1:23" x14ac:dyDescent="0.2">
      <c r="A25" s="25"/>
      <c r="B25" s="30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34"/>
      <c r="Q25" s="34"/>
      <c r="R25" s="34"/>
      <c r="S25" s="34"/>
      <c r="T25" s="34"/>
      <c r="U25" s="34"/>
    </row>
    <row r="26" spans="1:23" x14ac:dyDescent="0.2">
      <c r="A26" s="25"/>
      <c r="B26" s="30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34"/>
      <c r="Q26" s="34"/>
      <c r="R26" s="34"/>
      <c r="S26" s="34"/>
      <c r="T26" s="34"/>
      <c r="U26" s="34"/>
    </row>
    <row r="27" spans="1:23" x14ac:dyDescent="0.2">
      <c r="A27" s="25"/>
      <c r="B27" s="30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34"/>
      <c r="Q27" s="34"/>
      <c r="R27" s="34"/>
      <c r="S27" s="34"/>
      <c r="T27" s="34"/>
      <c r="U27" s="34"/>
    </row>
    <row r="28" spans="1:23" x14ac:dyDescent="0.2">
      <c r="A28" s="25"/>
      <c r="B28" s="30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34"/>
      <c r="Q28" s="34"/>
      <c r="R28" s="34"/>
      <c r="S28" s="34"/>
      <c r="T28" s="34"/>
      <c r="U28" s="34"/>
    </row>
    <row r="29" spans="1:23" x14ac:dyDescent="0.2">
      <c r="A29" s="25"/>
      <c r="B29" s="3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34"/>
      <c r="Q29" s="34"/>
      <c r="R29" s="34"/>
      <c r="S29" s="34"/>
      <c r="T29" s="34"/>
      <c r="U29" s="34"/>
    </row>
    <row r="30" spans="1:23" x14ac:dyDescent="0.2">
      <c r="A30" s="25"/>
      <c r="B30" s="3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34"/>
      <c r="Q30" s="34"/>
      <c r="R30" s="34"/>
      <c r="S30" s="34"/>
      <c r="T30" s="34"/>
      <c r="U30" s="34"/>
    </row>
    <row r="31" spans="1:23" x14ac:dyDescent="0.2">
      <c r="A31" s="25"/>
      <c r="B31" s="30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34"/>
      <c r="Q31" s="34"/>
      <c r="R31" s="34"/>
      <c r="S31" s="34"/>
      <c r="T31" s="34"/>
      <c r="U31" s="34"/>
    </row>
    <row r="32" spans="1:23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34"/>
      <c r="Q32" s="34"/>
      <c r="R32" s="34"/>
      <c r="S32" s="34"/>
      <c r="T32" s="34"/>
      <c r="U32" s="34"/>
    </row>
    <row r="33" spans="1:21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34"/>
      <c r="Q33" s="34"/>
      <c r="R33" s="34"/>
      <c r="S33" s="34"/>
      <c r="T33" s="34"/>
      <c r="U33" s="34"/>
    </row>
    <row r="34" spans="1:21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4"/>
      <c r="Q34" s="34"/>
      <c r="R34" s="34"/>
      <c r="S34" s="34"/>
      <c r="T34" s="34"/>
      <c r="U34" s="34"/>
    </row>
    <row r="35" spans="1:21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34"/>
      <c r="Q35" s="34"/>
      <c r="R35" s="34"/>
      <c r="S35" s="34"/>
      <c r="T35" s="34"/>
      <c r="U35" s="34"/>
    </row>
    <row r="36" spans="1:21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4"/>
      <c r="Q36" s="34"/>
      <c r="R36" s="34"/>
      <c r="S36" s="34"/>
      <c r="T36" s="34"/>
      <c r="U36" s="34"/>
    </row>
    <row r="37" spans="1:21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34"/>
      <c r="Q37" s="34"/>
      <c r="R37" s="34"/>
      <c r="S37" s="34"/>
      <c r="T37" s="34"/>
      <c r="U37" s="34"/>
    </row>
    <row r="38" spans="1:21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34"/>
      <c r="Q38" s="34"/>
      <c r="R38" s="34"/>
      <c r="S38" s="34"/>
      <c r="T38" s="34"/>
      <c r="U38" s="34"/>
    </row>
    <row r="39" spans="1:21" ht="43.5" customHeight="1" x14ac:dyDescent="0.2">
      <c r="A39" s="152" t="s">
        <v>1307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22"/>
      <c r="Q39" s="22"/>
      <c r="R39" s="22"/>
      <c r="S39" s="22"/>
      <c r="T39" s="22"/>
      <c r="U39" s="22"/>
    </row>
    <row r="40" spans="1:21" x14ac:dyDescent="0.2">
      <c r="B40" s="18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22"/>
      <c r="Q40" s="22"/>
      <c r="R40" s="22"/>
      <c r="S40" s="22"/>
      <c r="T40" s="22"/>
      <c r="U40" s="22"/>
    </row>
    <row r="41" spans="1:21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</row>
    <row r="42" spans="1:21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</row>
    <row r="43" spans="1:21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21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21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21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21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21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1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1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1" ht="12.75" customHeight="1" x14ac:dyDescent="0.2">
      <c r="A67" s="82"/>
      <c r="B67" s="88"/>
      <c r="C67" s="82"/>
      <c r="D67" s="160">
        <f>HGA!D4</f>
        <v>2022</v>
      </c>
      <c r="E67" s="160">
        <f>HGA!E4</f>
        <v>0</v>
      </c>
      <c r="F67" s="160">
        <f>HGA!F4</f>
        <v>0</v>
      </c>
      <c r="G67" s="160">
        <f>HGA!G4</f>
        <v>0</v>
      </c>
      <c r="H67" s="160">
        <f>HGA!H4</f>
        <v>0</v>
      </c>
      <c r="I67" s="160">
        <f>HGA!I4</f>
        <v>2023</v>
      </c>
      <c r="J67" s="160">
        <f>HGA!J4</f>
        <v>0</v>
      </c>
      <c r="K67" s="160">
        <f>HGA!K4</f>
        <v>0</v>
      </c>
      <c r="L67" s="160">
        <f>HGA!L4</f>
        <v>0</v>
      </c>
      <c r="M67" s="160">
        <f>HGA!M4</f>
        <v>0</v>
      </c>
      <c r="N67" s="160">
        <f>HGA!N4</f>
        <v>0</v>
      </c>
      <c r="O67" s="160">
        <f>HGA!O4</f>
        <v>0</v>
      </c>
      <c r="P67" s="77"/>
      <c r="Q67" s="125"/>
      <c r="R67" s="77"/>
      <c r="S67" s="77"/>
      <c r="T67" s="77"/>
      <c r="U67" s="77"/>
    </row>
    <row r="68" spans="1:21" ht="28.5" customHeight="1" x14ac:dyDescent="0.2">
      <c r="A68" s="87" t="s">
        <v>59</v>
      </c>
      <c r="B68" s="89" t="s">
        <v>10</v>
      </c>
      <c r="C68" s="87" t="s">
        <v>1298</v>
      </c>
      <c r="D68" s="90" t="s">
        <v>12</v>
      </c>
      <c r="E68" s="90" t="s">
        <v>13</v>
      </c>
      <c r="F68" s="90" t="s">
        <v>14</v>
      </c>
      <c r="G68" s="90" t="s">
        <v>15</v>
      </c>
      <c r="H68" s="90" t="s">
        <v>16</v>
      </c>
      <c r="I68" s="90" t="s">
        <v>17</v>
      </c>
      <c r="J68" s="90" t="s">
        <v>18</v>
      </c>
      <c r="K68" s="90" t="s">
        <v>19</v>
      </c>
      <c r="L68" s="90" t="s">
        <v>20</v>
      </c>
      <c r="M68" s="90" t="s">
        <v>21</v>
      </c>
      <c r="N68" s="90" t="s">
        <v>22</v>
      </c>
      <c r="O68" s="90" t="s">
        <v>23</v>
      </c>
      <c r="P68" s="91" t="s">
        <v>1328</v>
      </c>
      <c r="Q68" s="126" t="s">
        <v>1299</v>
      </c>
      <c r="R68" s="118" t="s">
        <v>187</v>
      </c>
      <c r="S68" s="118" t="s">
        <v>1351</v>
      </c>
      <c r="T68" s="82" t="s">
        <v>1352</v>
      </c>
      <c r="U68" s="82" t="s">
        <v>1353</v>
      </c>
    </row>
    <row r="69" spans="1:21" x14ac:dyDescent="0.2">
      <c r="A69" s="32">
        <f t="shared" ref="A69:P69" si="4">A7</f>
        <v>1</v>
      </c>
      <c r="B69" s="18" t="str">
        <f t="shared" si="4"/>
        <v>CEBADA GRANO</v>
      </c>
      <c r="C69" s="56">
        <f t="shared" si="4"/>
        <v>753</v>
      </c>
      <c r="D69" s="57">
        <f t="shared" si="4"/>
        <v>0</v>
      </c>
      <c r="E69" s="57">
        <f t="shared" si="4"/>
        <v>0</v>
      </c>
      <c r="F69" s="57">
        <f t="shared" si="4"/>
        <v>8</v>
      </c>
      <c r="G69" s="57">
        <f t="shared" si="4"/>
        <v>68</v>
      </c>
      <c r="H69" s="57">
        <f t="shared" si="4"/>
        <v>331</v>
      </c>
      <c r="I69" s="57">
        <f t="shared" si="4"/>
        <v>239</v>
      </c>
      <c r="J69" s="57">
        <f t="shared" si="4"/>
        <v>27</v>
      </c>
      <c r="K69" s="57">
        <f t="shared" si="4"/>
        <v>0</v>
      </c>
      <c r="L69" s="57">
        <f t="shared" si="4"/>
        <v>0</v>
      </c>
      <c r="M69" s="57">
        <f t="shared" si="4"/>
        <v>26</v>
      </c>
      <c r="N69" s="57">
        <f t="shared" si="4"/>
        <v>38</v>
      </c>
      <c r="O69" s="57">
        <f t="shared" si="4"/>
        <v>16</v>
      </c>
      <c r="P69" s="57">
        <f t="shared" si="4"/>
        <v>722</v>
      </c>
      <c r="Q69" s="129">
        <f t="shared" ref="Q69:U69" si="5">Q7</f>
        <v>761</v>
      </c>
      <c r="R69" s="57">
        <f t="shared" si="5"/>
        <v>31</v>
      </c>
      <c r="S69" s="123">
        <f t="shared" si="5"/>
        <v>4.2936288088642659E-2</v>
      </c>
      <c r="T69" s="123">
        <f t="shared" si="5"/>
        <v>0.23980891719745223</v>
      </c>
      <c r="U69" s="123">
        <f t="shared" si="5"/>
        <v>0.22513252260679764</v>
      </c>
    </row>
    <row r="70" spans="1:21" x14ac:dyDescent="0.2">
      <c r="A70" s="32">
        <f t="shared" ref="A70:U70" si="6">A8</f>
        <v>2</v>
      </c>
      <c r="B70" s="18" t="str">
        <f t="shared" si="6"/>
        <v>MAIZ AMILACEO</v>
      </c>
      <c r="C70" s="56">
        <f t="shared" si="6"/>
        <v>582</v>
      </c>
      <c r="D70" s="57">
        <f t="shared" si="6"/>
        <v>23</v>
      </c>
      <c r="E70" s="57">
        <f t="shared" si="6"/>
        <v>163</v>
      </c>
      <c r="F70" s="57">
        <f t="shared" si="6"/>
        <v>242</v>
      </c>
      <c r="G70" s="57">
        <f t="shared" si="6"/>
        <v>139</v>
      </c>
      <c r="H70" s="57">
        <f t="shared" si="6"/>
        <v>1</v>
      </c>
      <c r="I70" s="57">
        <f t="shared" si="6"/>
        <v>0</v>
      </c>
      <c r="J70" s="57">
        <f t="shared" si="6"/>
        <v>0</v>
      </c>
      <c r="K70" s="57">
        <f t="shared" si="6"/>
        <v>0</v>
      </c>
      <c r="L70" s="57">
        <f t="shared" si="6"/>
        <v>0</v>
      </c>
      <c r="M70" s="57">
        <f t="shared" si="6"/>
        <v>0</v>
      </c>
      <c r="N70" s="57">
        <f t="shared" si="6"/>
        <v>8</v>
      </c>
      <c r="O70" s="57">
        <f t="shared" si="6"/>
        <v>6</v>
      </c>
      <c r="P70" s="57">
        <f t="shared" si="6"/>
        <v>598</v>
      </c>
      <c r="Q70" s="129">
        <f t="shared" si="6"/>
        <v>587</v>
      </c>
      <c r="R70" s="57">
        <f t="shared" si="6"/>
        <v>-16</v>
      </c>
      <c r="S70" s="123">
        <f t="shared" si="6"/>
        <v>-2.6755852842809364E-2</v>
      </c>
      <c r="T70" s="123">
        <f t="shared" si="6"/>
        <v>0.18535031847133757</v>
      </c>
      <c r="U70" s="123">
        <f t="shared" si="6"/>
        <v>0.18646710321172436</v>
      </c>
    </row>
    <row r="71" spans="1:21" x14ac:dyDescent="0.2">
      <c r="A71" s="32">
        <f t="shared" ref="A71:U71" si="7">A9</f>
        <v>3</v>
      </c>
      <c r="B71" s="18" t="str">
        <f t="shared" si="7"/>
        <v>PAPA BLANCA</v>
      </c>
      <c r="C71" s="56">
        <f t="shared" si="7"/>
        <v>289</v>
      </c>
      <c r="D71" s="57">
        <f t="shared" si="7"/>
        <v>15</v>
      </c>
      <c r="E71" s="57">
        <f t="shared" si="7"/>
        <v>36</v>
      </c>
      <c r="F71" s="57">
        <f t="shared" si="7"/>
        <v>109</v>
      </c>
      <c r="G71" s="57">
        <f t="shared" si="7"/>
        <v>92</v>
      </c>
      <c r="H71" s="57">
        <f t="shared" si="7"/>
        <v>19</v>
      </c>
      <c r="I71" s="57">
        <f t="shared" si="7"/>
        <v>0</v>
      </c>
      <c r="J71" s="57">
        <f t="shared" si="7"/>
        <v>0</v>
      </c>
      <c r="K71" s="57">
        <f t="shared" si="7"/>
        <v>0</v>
      </c>
      <c r="L71" s="57">
        <f t="shared" si="7"/>
        <v>0</v>
      </c>
      <c r="M71" s="57">
        <f t="shared" si="7"/>
        <v>1</v>
      </c>
      <c r="N71" s="57">
        <f t="shared" si="7"/>
        <v>6</v>
      </c>
      <c r="O71" s="57">
        <f t="shared" si="7"/>
        <v>11</v>
      </c>
      <c r="P71" s="57">
        <f t="shared" si="7"/>
        <v>328</v>
      </c>
      <c r="Q71" s="129">
        <f t="shared" si="7"/>
        <v>325</v>
      </c>
      <c r="R71" s="57">
        <f t="shared" si="7"/>
        <v>-39</v>
      </c>
      <c r="S71" s="123">
        <f t="shared" si="7"/>
        <v>-0.11890243902439024</v>
      </c>
      <c r="T71" s="123">
        <f t="shared" si="7"/>
        <v>9.2038216560509548E-2</v>
      </c>
      <c r="U71" s="123">
        <f t="shared" si="7"/>
        <v>0.10227627065793576</v>
      </c>
    </row>
    <row r="72" spans="1:21" x14ac:dyDescent="0.2">
      <c r="A72" s="32">
        <f t="shared" ref="A72:U72" si="8">A10</f>
        <v>4</v>
      </c>
      <c r="B72" s="18" t="str">
        <f t="shared" si="8"/>
        <v>HABA GRANO SECO</v>
      </c>
      <c r="C72" s="56">
        <f t="shared" si="8"/>
        <v>281</v>
      </c>
      <c r="D72" s="57">
        <f t="shared" si="8"/>
        <v>22</v>
      </c>
      <c r="E72" s="57">
        <f t="shared" si="8"/>
        <v>66</v>
      </c>
      <c r="F72" s="57">
        <f t="shared" si="8"/>
        <v>109</v>
      </c>
      <c r="G72" s="57">
        <f t="shared" si="8"/>
        <v>42</v>
      </c>
      <c r="H72" s="57">
        <f t="shared" si="8"/>
        <v>3</v>
      </c>
      <c r="I72" s="57">
        <f t="shared" si="8"/>
        <v>0</v>
      </c>
      <c r="J72" s="57">
        <f t="shared" si="8"/>
        <v>0</v>
      </c>
      <c r="K72" s="57">
        <f t="shared" si="8"/>
        <v>0</v>
      </c>
      <c r="L72" s="57">
        <f t="shared" si="8"/>
        <v>1</v>
      </c>
      <c r="M72" s="57">
        <f t="shared" si="8"/>
        <v>9</v>
      </c>
      <c r="N72" s="57">
        <f t="shared" si="8"/>
        <v>13</v>
      </c>
      <c r="O72" s="57">
        <f t="shared" si="8"/>
        <v>16</v>
      </c>
      <c r="P72" s="57">
        <f t="shared" si="8"/>
        <v>324</v>
      </c>
      <c r="Q72" s="129">
        <f t="shared" si="8"/>
        <v>370</v>
      </c>
      <c r="R72" s="57">
        <f t="shared" si="8"/>
        <v>-43</v>
      </c>
      <c r="S72" s="123">
        <f t="shared" si="8"/>
        <v>-0.13271604938271606</v>
      </c>
      <c r="T72" s="123">
        <f t="shared" si="8"/>
        <v>8.9490445859872605E-2</v>
      </c>
      <c r="U72" s="123">
        <f t="shared" si="8"/>
        <v>0.10102899906454631</v>
      </c>
    </row>
    <row r="73" spans="1:21" x14ac:dyDescent="0.2">
      <c r="A73" s="32">
        <f t="shared" ref="A73:U73" si="9">A11</f>
        <v>5</v>
      </c>
      <c r="B73" s="18" t="str">
        <f t="shared" si="9"/>
        <v>PAPA COLOR</v>
      </c>
      <c r="C73" s="56">
        <f t="shared" si="9"/>
        <v>218</v>
      </c>
      <c r="D73" s="57">
        <f t="shared" si="9"/>
        <v>16</v>
      </c>
      <c r="E73" s="57">
        <f t="shared" si="9"/>
        <v>29</v>
      </c>
      <c r="F73" s="57">
        <f t="shared" si="9"/>
        <v>64</v>
      </c>
      <c r="G73" s="57">
        <f t="shared" si="9"/>
        <v>77</v>
      </c>
      <c r="H73" s="57">
        <f t="shared" si="9"/>
        <v>10</v>
      </c>
      <c r="I73" s="57">
        <f t="shared" si="9"/>
        <v>0</v>
      </c>
      <c r="J73" s="57">
        <f t="shared" si="9"/>
        <v>0</v>
      </c>
      <c r="K73" s="57">
        <f t="shared" si="9"/>
        <v>0</v>
      </c>
      <c r="L73" s="57">
        <f t="shared" si="9"/>
        <v>0</v>
      </c>
      <c r="M73" s="57">
        <f t="shared" si="9"/>
        <v>2</v>
      </c>
      <c r="N73" s="57">
        <f t="shared" si="9"/>
        <v>10</v>
      </c>
      <c r="O73" s="57">
        <f t="shared" si="9"/>
        <v>10</v>
      </c>
      <c r="P73" s="57">
        <f t="shared" si="9"/>
        <v>237</v>
      </c>
      <c r="Q73" s="129">
        <f t="shared" si="9"/>
        <v>245</v>
      </c>
      <c r="R73" s="57">
        <f t="shared" si="9"/>
        <v>-19</v>
      </c>
      <c r="S73" s="123">
        <f t="shared" si="9"/>
        <v>-8.0168776371308023E-2</v>
      </c>
      <c r="T73" s="123">
        <f t="shared" si="9"/>
        <v>6.9426751592356686E-2</v>
      </c>
      <c r="U73" s="123">
        <f t="shared" si="9"/>
        <v>7.3900841908325535E-2</v>
      </c>
    </row>
    <row r="74" spans="1:21" x14ac:dyDescent="0.2">
      <c r="A74" s="32">
        <f>A12</f>
        <v>6</v>
      </c>
      <c r="B74" s="18" t="s">
        <v>44</v>
      </c>
      <c r="C74" s="56">
        <f t="shared" ref="C74:P74" si="10">SUM(C12:C23)</f>
        <v>1017</v>
      </c>
      <c r="D74" s="56">
        <f t="shared" si="10"/>
        <v>31</v>
      </c>
      <c r="E74" s="56">
        <f t="shared" si="10"/>
        <v>139</v>
      </c>
      <c r="F74" s="56">
        <f t="shared" si="10"/>
        <v>271</v>
      </c>
      <c r="G74" s="56">
        <f t="shared" si="10"/>
        <v>229</v>
      </c>
      <c r="H74" s="56">
        <f t="shared" si="10"/>
        <v>110</v>
      </c>
      <c r="I74" s="56">
        <f t="shared" si="10"/>
        <v>47</v>
      </c>
      <c r="J74" s="56">
        <f t="shared" si="10"/>
        <v>2</v>
      </c>
      <c r="K74" s="56">
        <f t="shared" si="10"/>
        <v>2</v>
      </c>
      <c r="L74" s="56">
        <f t="shared" si="10"/>
        <v>4</v>
      </c>
      <c r="M74" s="56">
        <f t="shared" si="10"/>
        <v>57</v>
      </c>
      <c r="N74" s="56">
        <f t="shared" si="10"/>
        <v>73</v>
      </c>
      <c r="O74" s="56">
        <f t="shared" si="10"/>
        <v>52</v>
      </c>
      <c r="P74" s="56">
        <f t="shared" si="10"/>
        <v>998</v>
      </c>
      <c r="Q74" s="129"/>
      <c r="R74" s="57"/>
      <c r="S74" s="123"/>
      <c r="T74" s="123"/>
      <c r="U74" s="123"/>
    </row>
    <row r="75" spans="1:21" x14ac:dyDescent="0.2">
      <c r="A75" s="104" t="s">
        <v>1349</v>
      </c>
      <c r="B75" s="105"/>
      <c r="C75" s="106">
        <f>SUBTOTAL(109,Tabla16[ENIS 2022-2023])</f>
        <v>3140</v>
      </c>
      <c r="D75" s="106">
        <f>SUBTOTAL(109,Tabla16[AGO])</f>
        <v>107</v>
      </c>
      <c r="E75" s="106">
        <f>SUBTOTAL(109,Tabla16[SEP])</f>
        <v>433</v>
      </c>
      <c r="F75" s="106">
        <f>SUBTOTAL(109,Tabla16[OCT])</f>
        <v>803</v>
      </c>
      <c r="G75" s="106">
        <f>SUBTOTAL(109,Tabla16[NOV])</f>
        <v>647</v>
      </c>
      <c r="H75" s="106">
        <f>SUBTOTAL(109,Tabla16[DIC])</f>
        <v>474</v>
      </c>
      <c r="I75" s="106">
        <f>SUBTOTAL(109,Tabla16[ENE])</f>
        <v>286</v>
      </c>
      <c r="J75" s="106">
        <f>SUBTOTAL(109,Tabla16[FEB])</f>
        <v>29</v>
      </c>
      <c r="K75" s="106">
        <f>SUBTOTAL(109,Tabla16[MAR])</f>
        <v>2</v>
      </c>
      <c r="L75" s="106">
        <f>SUBTOTAL(109,Tabla16[ABR])</f>
        <v>5</v>
      </c>
      <c r="M75" s="106">
        <f>SUBTOTAL(109,Tabla16[MAY])</f>
        <v>95</v>
      </c>
      <c r="N75" s="106">
        <f>SUBTOTAL(109,Tabla16[JUN])</f>
        <v>148</v>
      </c>
      <c r="O75" s="106">
        <f>SUBTOTAL(109,Tabla16[JUL])</f>
        <v>111</v>
      </c>
      <c r="P75" s="106">
        <f>SUBTOTAL(109,Tabla16[SUPERFICIE SEMBRADA 2021-2022])</f>
        <v>3207</v>
      </c>
      <c r="Q75" s="130"/>
      <c r="R75" s="104"/>
      <c r="S75" s="119"/>
      <c r="T75" s="119"/>
      <c r="U75" s="119"/>
    </row>
    <row r="77" spans="1:21" ht="25.5" customHeight="1" x14ac:dyDescent="0.2">
      <c r="B77" s="139" t="s">
        <v>1317</v>
      </c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22"/>
      <c r="R77" s="22"/>
      <c r="S77" s="22"/>
      <c r="T77" s="22"/>
      <c r="U77" s="22"/>
    </row>
    <row r="109" spans="10:27" x14ac:dyDescent="0.2"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41"/>
    </row>
    <row r="110" spans="10:27" x14ac:dyDescent="0.2">
      <c r="J110" s="139"/>
      <c r="K110" s="139"/>
      <c r="L110" s="139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141"/>
    </row>
  </sheetData>
  <mergeCells count="14">
    <mergeCell ref="B77:P77"/>
    <mergeCell ref="A1:O1"/>
    <mergeCell ref="D4:H4"/>
    <mergeCell ref="I4:O4"/>
    <mergeCell ref="A39:O39"/>
    <mergeCell ref="D67:H67"/>
    <mergeCell ref="I67:O67"/>
    <mergeCell ref="A2:W2"/>
    <mergeCell ref="AA109:AA110"/>
    <mergeCell ref="J109:J110"/>
    <mergeCell ref="K109:K110"/>
    <mergeCell ref="L109:L110"/>
    <mergeCell ref="M109:U109"/>
    <mergeCell ref="V109:Z10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EE0-49DF-4836-AECF-450378B9C49E}">
  <dimension ref="A1:V79"/>
  <sheetViews>
    <sheetView showGridLines="0" zoomScaleNormal="100" workbookViewId="0">
      <selection activeCell="A4" sqref="A4:P26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2" width="10.7109375" style="19" customWidth="1"/>
    <col min="23" max="16384" width="11.42578125" style="21"/>
  </cols>
  <sheetData>
    <row r="1" spans="1:22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</row>
    <row r="2" spans="1:22" x14ac:dyDescent="0.2">
      <c r="A2" s="159" t="s">
        <v>1360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</row>
    <row r="3" spans="1:22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2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</row>
    <row r="5" spans="1:22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2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2" ht="12.75" customHeight="1" x14ac:dyDescent="0.2">
      <c r="A7" s="32">
        <v>1</v>
      </c>
      <c r="B7" s="18" t="s">
        <v>189</v>
      </c>
      <c r="C7" s="56">
        <v>332</v>
      </c>
      <c r="D7" s="57">
        <v>28</v>
      </c>
      <c r="E7" s="57">
        <v>190</v>
      </c>
      <c r="F7" s="57">
        <v>103</v>
      </c>
      <c r="G7" s="57">
        <v>11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310</v>
      </c>
      <c r="Q7" s="129">
        <v>330</v>
      </c>
      <c r="R7" s="57">
        <f t="shared" ref="R7:R25" si="0">C7-P7</f>
        <v>22</v>
      </c>
      <c r="S7" s="27">
        <f t="shared" ref="S7:S26" si="1">(C7-P7)/P7</f>
        <v>7.0967741935483872E-2</v>
      </c>
      <c r="T7" s="27">
        <f t="shared" ref="T7:T25" si="2">C7/$C$26</f>
        <v>0.17849462365591398</v>
      </c>
      <c r="U7" s="27">
        <f t="shared" ref="U7:U25" si="3">P7/$P$26</f>
        <v>0.20462046204620463</v>
      </c>
    </row>
    <row r="8" spans="1:22" ht="12.75" customHeight="1" x14ac:dyDescent="0.2">
      <c r="A8" s="32">
        <v>2</v>
      </c>
      <c r="B8" s="18" t="s">
        <v>1</v>
      </c>
      <c r="C8" s="56">
        <v>274</v>
      </c>
      <c r="D8" s="57">
        <v>0</v>
      </c>
      <c r="E8" s="57">
        <v>0</v>
      </c>
      <c r="F8" s="57">
        <v>0</v>
      </c>
      <c r="G8" s="57">
        <v>0</v>
      </c>
      <c r="H8" s="57">
        <v>109</v>
      </c>
      <c r="I8" s="57">
        <v>165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234</v>
      </c>
      <c r="Q8" s="129">
        <v>295</v>
      </c>
      <c r="R8" s="57">
        <f t="shared" si="0"/>
        <v>40</v>
      </c>
      <c r="S8" s="27">
        <f t="shared" si="1"/>
        <v>0.17094017094017094</v>
      </c>
      <c r="T8" s="27">
        <f t="shared" si="2"/>
        <v>0.14731182795698924</v>
      </c>
      <c r="U8" s="27">
        <f t="shared" si="3"/>
        <v>0.15445544554455445</v>
      </c>
    </row>
    <row r="9" spans="1:22" ht="12.75" customHeight="1" x14ac:dyDescent="0.2">
      <c r="A9" s="32">
        <v>3</v>
      </c>
      <c r="B9" s="18" t="s">
        <v>192</v>
      </c>
      <c r="C9" s="56">
        <v>247</v>
      </c>
      <c r="D9" s="57">
        <v>0</v>
      </c>
      <c r="E9" s="57">
        <v>0</v>
      </c>
      <c r="F9" s="57">
        <v>0</v>
      </c>
      <c r="G9" s="57">
        <v>0</v>
      </c>
      <c r="H9" s="57">
        <v>82</v>
      </c>
      <c r="I9" s="57">
        <v>165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204</v>
      </c>
      <c r="Q9" s="129">
        <v>220</v>
      </c>
      <c r="R9" s="57">
        <f t="shared" si="0"/>
        <v>43</v>
      </c>
      <c r="S9" s="27">
        <f t="shared" si="1"/>
        <v>0.2107843137254902</v>
      </c>
      <c r="T9" s="27">
        <f t="shared" si="2"/>
        <v>0.13279569892473117</v>
      </c>
      <c r="U9" s="27">
        <f t="shared" si="3"/>
        <v>0.13465346534653466</v>
      </c>
    </row>
    <row r="10" spans="1:22" ht="12.75" customHeight="1" x14ac:dyDescent="0.2">
      <c r="A10" s="32">
        <v>4</v>
      </c>
      <c r="B10" s="18" t="s">
        <v>191</v>
      </c>
      <c r="C10" s="56">
        <v>170</v>
      </c>
      <c r="D10" s="57">
        <v>14</v>
      </c>
      <c r="E10" s="57">
        <v>54</v>
      </c>
      <c r="F10" s="57">
        <v>71</v>
      </c>
      <c r="G10" s="57">
        <v>31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142</v>
      </c>
      <c r="Q10" s="129">
        <v>183</v>
      </c>
      <c r="R10" s="57">
        <f t="shared" si="0"/>
        <v>28</v>
      </c>
      <c r="S10" s="27">
        <f t="shared" si="1"/>
        <v>0.19718309859154928</v>
      </c>
      <c r="T10" s="27">
        <f t="shared" si="2"/>
        <v>9.1397849462365593E-2</v>
      </c>
      <c r="U10" s="27">
        <f t="shared" si="3"/>
        <v>9.3729372937293734E-2</v>
      </c>
    </row>
    <row r="11" spans="1:22" ht="12.75" customHeight="1" x14ac:dyDescent="0.2">
      <c r="A11" s="32">
        <v>5</v>
      </c>
      <c r="B11" s="18" t="s">
        <v>3</v>
      </c>
      <c r="C11" s="56">
        <v>165</v>
      </c>
      <c r="D11" s="57">
        <v>1</v>
      </c>
      <c r="E11" s="57">
        <v>63</v>
      </c>
      <c r="F11" s="57">
        <v>85</v>
      </c>
      <c r="G11" s="57">
        <v>16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131</v>
      </c>
      <c r="Q11" s="129">
        <v>141</v>
      </c>
      <c r="R11" s="57">
        <f t="shared" si="0"/>
        <v>34</v>
      </c>
      <c r="S11" s="27">
        <f t="shared" si="1"/>
        <v>0.25954198473282442</v>
      </c>
      <c r="T11" s="27">
        <f t="shared" si="2"/>
        <v>8.8709677419354843E-2</v>
      </c>
      <c r="U11" s="27">
        <f t="shared" si="3"/>
        <v>8.6468646864686471E-2</v>
      </c>
    </row>
    <row r="12" spans="1:22" ht="12.75" customHeight="1" x14ac:dyDescent="0.2">
      <c r="A12" s="32">
        <v>6</v>
      </c>
      <c r="B12" s="18" t="s">
        <v>5</v>
      </c>
      <c r="C12" s="56">
        <v>124</v>
      </c>
      <c r="D12" s="57">
        <v>0</v>
      </c>
      <c r="E12" s="57">
        <v>25</v>
      </c>
      <c r="F12" s="57">
        <v>65</v>
      </c>
      <c r="G12" s="57">
        <v>28</v>
      </c>
      <c r="H12" s="57">
        <v>6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105</v>
      </c>
      <c r="Q12" s="129">
        <v>123</v>
      </c>
      <c r="R12" s="57">
        <f t="shared" si="0"/>
        <v>19</v>
      </c>
      <c r="S12" s="27">
        <f t="shared" si="1"/>
        <v>0.18095238095238095</v>
      </c>
      <c r="T12" s="27">
        <f t="shared" si="2"/>
        <v>6.6666666666666666E-2</v>
      </c>
      <c r="U12" s="27">
        <f t="shared" si="3"/>
        <v>6.9306930693069313E-2</v>
      </c>
    </row>
    <row r="13" spans="1:22" ht="12.75" customHeight="1" x14ac:dyDescent="0.2">
      <c r="A13" s="32">
        <v>7</v>
      </c>
      <c r="B13" s="18" t="s">
        <v>196</v>
      </c>
      <c r="C13" s="56">
        <v>118</v>
      </c>
      <c r="D13" s="57">
        <v>5</v>
      </c>
      <c r="E13" s="57">
        <v>53</v>
      </c>
      <c r="F13" s="57">
        <v>51</v>
      </c>
      <c r="G13" s="57">
        <v>9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97</v>
      </c>
      <c r="Q13" s="129">
        <v>112</v>
      </c>
      <c r="R13" s="57">
        <f t="shared" si="0"/>
        <v>21</v>
      </c>
      <c r="S13" s="27">
        <f t="shared" si="1"/>
        <v>0.21649484536082475</v>
      </c>
      <c r="T13" s="27">
        <f t="shared" si="2"/>
        <v>6.3440860215053768E-2</v>
      </c>
      <c r="U13" s="27">
        <f t="shared" si="3"/>
        <v>6.4026402640264032E-2</v>
      </c>
    </row>
    <row r="14" spans="1:22" ht="12.75" customHeight="1" x14ac:dyDescent="0.2">
      <c r="A14" s="32">
        <v>8</v>
      </c>
      <c r="B14" s="18" t="s">
        <v>190</v>
      </c>
      <c r="C14" s="56">
        <v>99</v>
      </c>
      <c r="D14" s="57">
        <v>13</v>
      </c>
      <c r="E14" s="57">
        <v>32</v>
      </c>
      <c r="F14" s="57">
        <v>43</v>
      </c>
      <c r="G14" s="57">
        <v>11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70</v>
      </c>
      <c r="Q14" s="129">
        <v>104</v>
      </c>
      <c r="R14" s="57">
        <f t="shared" si="0"/>
        <v>29</v>
      </c>
      <c r="S14" s="27">
        <f t="shared" si="1"/>
        <v>0.41428571428571431</v>
      </c>
      <c r="T14" s="27">
        <f t="shared" si="2"/>
        <v>5.32258064516129E-2</v>
      </c>
      <c r="U14" s="27">
        <f t="shared" si="3"/>
        <v>4.6204620462046202E-2</v>
      </c>
    </row>
    <row r="15" spans="1:22" ht="12.75" customHeight="1" x14ac:dyDescent="0.2">
      <c r="A15" s="32">
        <v>9</v>
      </c>
      <c r="B15" s="18" t="s">
        <v>195</v>
      </c>
      <c r="C15" s="56">
        <v>94</v>
      </c>
      <c r="D15" s="57">
        <v>92</v>
      </c>
      <c r="E15" s="57">
        <v>2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57</v>
      </c>
      <c r="Q15" s="129">
        <v>117</v>
      </c>
      <c r="R15" s="57">
        <f t="shared" si="0"/>
        <v>37</v>
      </c>
      <c r="S15" s="27">
        <f t="shared" si="1"/>
        <v>0.64912280701754388</v>
      </c>
      <c r="T15" s="27">
        <f t="shared" si="2"/>
        <v>5.053763440860215E-2</v>
      </c>
      <c r="U15" s="27">
        <f t="shared" si="3"/>
        <v>3.7623762376237622E-2</v>
      </c>
    </row>
    <row r="16" spans="1:22" ht="12.75" customHeight="1" x14ac:dyDescent="0.2">
      <c r="A16" s="32">
        <v>10</v>
      </c>
      <c r="B16" s="18" t="s">
        <v>0</v>
      </c>
      <c r="C16" s="56">
        <v>45</v>
      </c>
      <c r="D16" s="57">
        <v>0</v>
      </c>
      <c r="E16" s="57">
        <v>11</v>
      </c>
      <c r="F16" s="57">
        <v>31</v>
      </c>
      <c r="G16" s="57">
        <v>3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29</v>
      </c>
      <c r="Q16" s="129">
        <v>38</v>
      </c>
      <c r="R16" s="57">
        <f t="shared" si="0"/>
        <v>16</v>
      </c>
      <c r="S16" s="27">
        <f t="shared" si="1"/>
        <v>0.55172413793103448</v>
      </c>
      <c r="T16" s="27">
        <f t="shared" si="2"/>
        <v>2.4193548387096774E-2</v>
      </c>
      <c r="U16" s="27">
        <f t="shared" si="3"/>
        <v>1.914191419141914E-2</v>
      </c>
    </row>
    <row r="17" spans="1:22" ht="12.75" customHeight="1" x14ac:dyDescent="0.2">
      <c r="A17" s="32">
        <v>11</v>
      </c>
      <c r="B17" s="18" t="s">
        <v>193</v>
      </c>
      <c r="C17" s="56">
        <v>44</v>
      </c>
      <c r="D17" s="57">
        <v>0</v>
      </c>
      <c r="E17" s="57">
        <v>10</v>
      </c>
      <c r="F17" s="57">
        <v>22</v>
      </c>
      <c r="G17" s="57">
        <v>12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28</v>
      </c>
      <c r="Q17" s="129">
        <v>30</v>
      </c>
      <c r="R17" s="57">
        <f t="shared" si="0"/>
        <v>16</v>
      </c>
      <c r="S17" s="27">
        <f t="shared" si="1"/>
        <v>0.5714285714285714</v>
      </c>
      <c r="T17" s="27">
        <f t="shared" si="2"/>
        <v>2.3655913978494623E-2</v>
      </c>
      <c r="U17" s="27">
        <f t="shared" si="3"/>
        <v>1.8481848184818482E-2</v>
      </c>
    </row>
    <row r="18" spans="1:22" ht="12.75" customHeight="1" x14ac:dyDescent="0.2">
      <c r="A18" s="32">
        <v>12</v>
      </c>
      <c r="B18" s="18" t="s">
        <v>194</v>
      </c>
      <c r="C18" s="56">
        <v>41</v>
      </c>
      <c r="D18" s="57">
        <v>0</v>
      </c>
      <c r="E18" s="57">
        <v>14</v>
      </c>
      <c r="F18" s="57">
        <v>25</v>
      </c>
      <c r="G18" s="57">
        <v>2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23</v>
      </c>
      <c r="Q18" s="129">
        <v>37</v>
      </c>
      <c r="R18" s="57">
        <f t="shared" si="0"/>
        <v>18</v>
      </c>
      <c r="S18" s="27">
        <f t="shared" si="1"/>
        <v>0.78260869565217395</v>
      </c>
      <c r="T18" s="27">
        <f t="shared" si="2"/>
        <v>2.2043010752688171E-2</v>
      </c>
      <c r="U18" s="27">
        <f t="shared" si="3"/>
        <v>1.5181518151815182E-2</v>
      </c>
    </row>
    <row r="19" spans="1:22" ht="12.75" customHeight="1" x14ac:dyDescent="0.2">
      <c r="A19" s="32">
        <v>13</v>
      </c>
      <c r="B19" s="18" t="s">
        <v>2</v>
      </c>
      <c r="C19" s="56">
        <v>36</v>
      </c>
      <c r="D19" s="57">
        <v>1</v>
      </c>
      <c r="E19" s="57">
        <v>17</v>
      </c>
      <c r="F19" s="57">
        <v>18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23</v>
      </c>
      <c r="Q19" s="129">
        <v>42</v>
      </c>
      <c r="R19" s="57">
        <f t="shared" si="0"/>
        <v>13</v>
      </c>
      <c r="S19" s="27">
        <f t="shared" si="1"/>
        <v>0.56521739130434778</v>
      </c>
      <c r="T19" s="27">
        <f t="shared" si="2"/>
        <v>1.935483870967742E-2</v>
      </c>
      <c r="U19" s="27">
        <f t="shared" si="3"/>
        <v>1.5181518151815182E-2</v>
      </c>
    </row>
    <row r="20" spans="1:22" ht="12.75" customHeight="1" x14ac:dyDescent="0.2">
      <c r="A20" s="32">
        <v>14</v>
      </c>
      <c r="B20" s="18" t="s">
        <v>4</v>
      </c>
      <c r="C20" s="56">
        <v>23</v>
      </c>
      <c r="D20" s="57">
        <v>0</v>
      </c>
      <c r="E20" s="57">
        <v>0</v>
      </c>
      <c r="F20" s="57">
        <v>16</v>
      </c>
      <c r="G20" s="57">
        <v>7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20</v>
      </c>
      <c r="Q20" s="129">
        <v>21</v>
      </c>
      <c r="R20" s="57">
        <f t="shared" si="0"/>
        <v>3</v>
      </c>
      <c r="S20" s="27">
        <f t="shared" si="1"/>
        <v>0.15</v>
      </c>
      <c r="T20" s="27">
        <f t="shared" si="2"/>
        <v>1.2365591397849462E-2</v>
      </c>
      <c r="U20" s="27">
        <f t="shared" si="3"/>
        <v>1.3201320132013201E-2</v>
      </c>
    </row>
    <row r="21" spans="1:22" ht="12.75" customHeight="1" x14ac:dyDescent="0.2">
      <c r="A21" s="32">
        <v>15</v>
      </c>
      <c r="B21" s="18" t="s">
        <v>173</v>
      </c>
      <c r="C21" s="56">
        <v>23</v>
      </c>
      <c r="D21" s="57">
        <v>0</v>
      </c>
      <c r="E21" s="57">
        <v>0</v>
      </c>
      <c r="F21" s="57">
        <v>18</v>
      </c>
      <c r="G21" s="57">
        <v>5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18</v>
      </c>
      <c r="Q21" s="129">
        <v>21</v>
      </c>
      <c r="R21" s="57">
        <f t="shared" si="0"/>
        <v>5</v>
      </c>
      <c r="S21" s="27">
        <f t="shared" si="1"/>
        <v>0.27777777777777779</v>
      </c>
      <c r="T21" s="27">
        <f t="shared" si="2"/>
        <v>1.2365591397849462E-2</v>
      </c>
      <c r="U21" s="27">
        <f t="shared" si="3"/>
        <v>1.1881188118811881E-2</v>
      </c>
    </row>
    <row r="22" spans="1:22" ht="12.75" customHeight="1" x14ac:dyDescent="0.2">
      <c r="A22" s="32">
        <v>16</v>
      </c>
      <c r="B22" s="18" t="s">
        <v>174</v>
      </c>
      <c r="C22" s="56">
        <v>13</v>
      </c>
      <c r="D22" s="57">
        <v>0</v>
      </c>
      <c r="E22" s="57">
        <v>0</v>
      </c>
      <c r="F22" s="57">
        <v>12</v>
      </c>
      <c r="G22" s="57">
        <v>1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11</v>
      </c>
      <c r="Q22" s="129">
        <v>20</v>
      </c>
      <c r="R22" s="57">
        <f t="shared" si="0"/>
        <v>2</v>
      </c>
      <c r="S22" s="27">
        <f t="shared" si="1"/>
        <v>0.18181818181818182</v>
      </c>
      <c r="T22" s="27">
        <f t="shared" si="2"/>
        <v>6.9892473118279572E-3</v>
      </c>
      <c r="U22" s="27">
        <f t="shared" si="3"/>
        <v>7.2607260726072608E-3</v>
      </c>
    </row>
    <row r="23" spans="1:22" ht="12.75" customHeight="1" x14ac:dyDescent="0.2">
      <c r="A23" s="32">
        <v>17</v>
      </c>
      <c r="B23" s="18" t="s">
        <v>200</v>
      </c>
      <c r="C23" s="56">
        <v>6</v>
      </c>
      <c r="D23" s="57">
        <v>0</v>
      </c>
      <c r="E23" s="57">
        <v>0</v>
      </c>
      <c r="F23" s="57">
        <v>1</v>
      </c>
      <c r="G23" s="57">
        <v>2</v>
      </c>
      <c r="H23" s="57">
        <v>3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8</v>
      </c>
      <c r="Q23" s="129">
        <v>18</v>
      </c>
      <c r="R23" s="57">
        <f t="shared" si="0"/>
        <v>-2</v>
      </c>
      <c r="S23" s="27">
        <f t="shared" si="1"/>
        <v>-0.25</v>
      </c>
      <c r="T23" s="27">
        <f t="shared" si="2"/>
        <v>3.2258064516129032E-3</v>
      </c>
      <c r="U23" s="27">
        <f t="shared" si="3"/>
        <v>5.2805280528052806E-3</v>
      </c>
    </row>
    <row r="24" spans="1:22" ht="12.75" customHeight="1" x14ac:dyDescent="0.2">
      <c r="A24" s="32">
        <v>18</v>
      </c>
      <c r="B24" s="18" t="s">
        <v>7</v>
      </c>
      <c r="C24" s="56">
        <v>5</v>
      </c>
      <c r="D24" s="57">
        <v>0</v>
      </c>
      <c r="E24" s="57">
        <v>0</v>
      </c>
      <c r="F24" s="57">
        <v>3</v>
      </c>
      <c r="G24" s="57">
        <v>2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4</v>
      </c>
      <c r="Q24" s="129">
        <v>15</v>
      </c>
      <c r="R24" s="57">
        <f t="shared" si="0"/>
        <v>1</v>
      </c>
      <c r="S24" s="27">
        <f t="shared" si="1"/>
        <v>0.25</v>
      </c>
      <c r="T24" s="27">
        <f t="shared" si="2"/>
        <v>2.6881720430107529E-3</v>
      </c>
      <c r="U24" s="27">
        <f t="shared" si="3"/>
        <v>2.6402640264026403E-3</v>
      </c>
    </row>
    <row r="25" spans="1:22" ht="12.75" customHeight="1" x14ac:dyDescent="0.2">
      <c r="A25" s="32">
        <v>19</v>
      </c>
      <c r="B25" s="18" t="s">
        <v>175</v>
      </c>
      <c r="C25" s="56">
        <v>1</v>
      </c>
      <c r="D25" s="57">
        <v>0</v>
      </c>
      <c r="E25" s="57">
        <v>0</v>
      </c>
      <c r="F25" s="57">
        <v>1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1</v>
      </c>
      <c r="Q25" s="129">
        <v>3</v>
      </c>
      <c r="R25" s="57">
        <f t="shared" si="0"/>
        <v>0</v>
      </c>
      <c r="S25" s="27">
        <f t="shared" si="1"/>
        <v>0</v>
      </c>
      <c r="T25" s="27">
        <f t="shared" si="2"/>
        <v>5.3763440860215054E-4</v>
      </c>
      <c r="U25" s="27">
        <f t="shared" si="3"/>
        <v>6.6006600660066007E-4</v>
      </c>
    </row>
    <row r="26" spans="1:22" ht="16.5" customHeight="1" x14ac:dyDescent="0.2">
      <c r="A26" s="104" t="s">
        <v>1349</v>
      </c>
      <c r="B26" s="105"/>
      <c r="C26" s="106">
        <f>SUBTOTAL(109,Tabla7[ENIS 2022-2023])</f>
        <v>1860</v>
      </c>
      <c r="D26" s="106">
        <f>SUBTOTAL(109,Tabla7[AGO])</f>
        <v>154</v>
      </c>
      <c r="E26" s="106">
        <f>SUBTOTAL(109,Tabla7[SEP])</f>
        <v>471</v>
      </c>
      <c r="F26" s="106">
        <f>SUBTOTAL(109,Tabla7[OCT])</f>
        <v>565</v>
      </c>
      <c r="G26" s="106">
        <f>SUBTOTAL(109,Tabla7[NOV])</f>
        <v>140</v>
      </c>
      <c r="H26" s="106">
        <f>SUBTOTAL(109,Tabla7[DIC])</f>
        <v>200</v>
      </c>
      <c r="I26" s="106">
        <f>SUBTOTAL(109,Tabla7[ENE])</f>
        <v>330</v>
      </c>
      <c r="J26" s="106">
        <f>SUBTOTAL(109,Tabla7[FEB])</f>
        <v>0</v>
      </c>
      <c r="K26" s="106">
        <f>SUBTOTAL(109,Tabla7[MAR])</f>
        <v>0</v>
      </c>
      <c r="L26" s="106">
        <f>SUBTOTAL(109,Tabla7[ABR])</f>
        <v>0</v>
      </c>
      <c r="M26" s="106">
        <f>SUBTOTAL(109,Tabla7[MAY])</f>
        <v>0</v>
      </c>
      <c r="N26" s="106">
        <f>SUBTOTAL(109,Tabla7[JUN])</f>
        <v>0</v>
      </c>
      <c r="O26" s="106">
        <f>SUBTOTAL(109,Tabla7[JUL])</f>
        <v>0</v>
      </c>
      <c r="P26" s="106">
        <f>SUBTOTAL(109,Tabla7[SUPERFICIE SEMBRADA 2021-2022])</f>
        <v>1515</v>
      </c>
      <c r="Q26" s="132">
        <f>SUBTOTAL(109,Tabla7[ENIS 2021-2022])</f>
        <v>1870</v>
      </c>
      <c r="R26" s="106">
        <f>SUBTOTAL(109,Tabla7[DIF.])</f>
        <v>345</v>
      </c>
      <c r="S26" s="110">
        <f t="shared" si="1"/>
        <v>0.22772277227722773</v>
      </c>
      <c r="T26" s="119">
        <f>SUBTOTAL(109,Tabla7[% ENIS])</f>
        <v>1</v>
      </c>
      <c r="U26" s="119">
        <f>SUBTOTAL(109,Tabla7[%  SUP SEMB])</f>
        <v>1.0000000000000002</v>
      </c>
      <c r="V26" s="27"/>
    </row>
    <row r="28" spans="1:22" x14ac:dyDescent="0.2">
      <c r="A28" s="25"/>
      <c r="B28" s="30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2" x14ac:dyDescent="0.2">
      <c r="A29" s="25"/>
      <c r="B29" s="3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</row>
    <row r="30" spans="1:22" x14ac:dyDescent="0.2">
      <c r="A30" s="25"/>
      <c r="B30" s="3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</row>
    <row r="31" spans="1:22" x14ac:dyDescent="0.2">
      <c r="A31" s="25"/>
      <c r="B31" s="30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</row>
    <row r="32" spans="1:22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</row>
    <row r="33" spans="1:21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  <row r="34" spans="1:21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</row>
    <row r="35" spans="1:21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</row>
    <row r="36" spans="1:21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</row>
    <row r="37" spans="1:21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</row>
    <row r="38" spans="1:21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</row>
    <row r="39" spans="1:21" ht="43.5" customHeight="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</row>
    <row r="40" spans="1:21" x14ac:dyDescent="0.2">
      <c r="A40" s="152" t="s">
        <v>1308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22"/>
      <c r="Q40" s="22"/>
      <c r="R40" s="22"/>
      <c r="S40" s="22"/>
      <c r="T40" s="22"/>
      <c r="U40" s="22"/>
    </row>
    <row r="41" spans="1:21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</row>
    <row r="42" spans="1:21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</row>
    <row r="43" spans="1:21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21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21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21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21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21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1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1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1" ht="12.75" customHeight="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</row>
    <row r="68" spans="1:21" ht="28.5" customHeight="1" x14ac:dyDescent="0.2">
      <c r="A68" s="82"/>
      <c r="B68" s="88"/>
      <c r="C68" s="82"/>
      <c r="D68" s="160">
        <f>HGA!D4</f>
        <v>2022</v>
      </c>
      <c r="E68" s="160">
        <f>HGA!E4</f>
        <v>0</v>
      </c>
      <c r="F68" s="160">
        <f>HGA!F4</f>
        <v>0</v>
      </c>
      <c r="G68" s="160">
        <f>HGA!G4</f>
        <v>0</v>
      </c>
      <c r="H68" s="160">
        <f>HGA!H4</f>
        <v>0</v>
      </c>
      <c r="I68" s="160">
        <f>HGA!I4</f>
        <v>2023</v>
      </c>
      <c r="J68" s="160">
        <f>HGA!J4</f>
        <v>0</v>
      </c>
      <c r="K68" s="160">
        <f>HGA!K4</f>
        <v>0</v>
      </c>
      <c r="L68" s="160">
        <f>HGA!L4</f>
        <v>0</v>
      </c>
      <c r="M68" s="160">
        <f>HGA!M4</f>
        <v>0</v>
      </c>
      <c r="N68" s="160">
        <f>HGA!N4</f>
        <v>0</v>
      </c>
      <c r="O68" s="160">
        <f>HGA!O4</f>
        <v>0</v>
      </c>
      <c r="P68" s="77"/>
      <c r="Q68" s="125"/>
      <c r="R68" s="77"/>
      <c r="S68" s="77"/>
      <c r="T68" s="77"/>
      <c r="U68" s="77"/>
    </row>
    <row r="69" spans="1:21" ht="25.5" x14ac:dyDescent="0.2">
      <c r="A69" s="87" t="s">
        <v>59</v>
      </c>
      <c r="B69" s="89" t="s">
        <v>10</v>
      </c>
      <c r="C69" s="87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118" t="s">
        <v>187</v>
      </c>
      <c r="S69" s="118" t="s">
        <v>1351</v>
      </c>
      <c r="T69" s="82" t="s">
        <v>1352</v>
      </c>
      <c r="U69" s="82" t="s">
        <v>1353</v>
      </c>
    </row>
    <row r="70" spans="1:21" x14ac:dyDescent="0.2">
      <c r="A70" s="32">
        <f t="shared" ref="A70:P70" si="4">A7</f>
        <v>1</v>
      </c>
      <c r="B70" s="18" t="str">
        <f t="shared" si="4"/>
        <v>MAIZ AMILACEO</v>
      </c>
      <c r="C70" s="56">
        <f t="shared" si="4"/>
        <v>332</v>
      </c>
      <c r="D70" s="57">
        <f t="shared" si="4"/>
        <v>28</v>
      </c>
      <c r="E70" s="57">
        <f t="shared" si="4"/>
        <v>190</v>
      </c>
      <c r="F70" s="57">
        <f t="shared" si="4"/>
        <v>103</v>
      </c>
      <c r="G70" s="57">
        <f t="shared" si="4"/>
        <v>11</v>
      </c>
      <c r="H70" s="57">
        <f t="shared" si="4"/>
        <v>0</v>
      </c>
      <c r="I70" s="57">
        <f t="shared" si="4"/>
        <v>0</v>
      </c>
      <c r="J70" s="57">
        <f t="shared" si="4"/>
        <v>0</v>
      </c>
      <c r="K70" s="57">
        <f t="shared" si="4"/>
        <v>0</v>
      </c>
      <c r="L70" s="57">
        <f t="shared" si="4"/>
        <v>0</v>
      </c>
      <c r="M70" s="57">
        <f t="shared" si="4"/>
        <v>0</v>
      </c>
      <c r="N70" s="57">
        <f t="shared" si="4"/>
        <v>0</v>
      </c>
      <c r="O70" s="57">
        <f t="shared" si="4"/>
        <v>0</v>
      </c>
      <c r="P70" s="57">
        <f t="shared" si="4"/>
        <v>310</v>
      </c>
      <c r="Q70" s="129">
        <f t="shared" ref="Q70:U70" si="5">Q7</f>
        <v>330</v>
      </c>
      <c r="R70" s="57">
        <f t="shared" si="5"/>
        <v>22</v>
      </c>
      <c r="S70" s="115">
        <f t="shared" si="5"/>
        <v>7.0967741935483872E-2</v>
      </c>
      <c r="T70" s="115">
        <f t="shared" si="5"/>
        <v>0.17849462365591398</v>
      </c>
      <c r="U70" s="115">
        <f t="shared" si="5"/>
        <v>0.20462046204620463</v>
      </c>
    </row>
    <row r="71" spans="1:21" x14ac:dyDescent="0.2">
      <c r="A71" s="32">
        <f t="shared" ref="A71:P71" si="6">A8</f>
        <v>2</v>
      </c>
      <c r="B71" s="18" t="str">
        <f t="shared" si="6"/>
        <v>CEBADA GRANO</v>
      </c>
      <c r="C71" s="56">
        <f t="shared" si="6"/>
        <v>274</v>
      </c>
      <c r="D71" s="57">
        <f t="shared" si="6"/>
        <v>0</v>
      </c>
      <c r="E71" s="57">
        <f t="shared" si="6"/>
        <v>0</v>
      </c>
      <c r="F71" s="57">
        <f t="shared" si="6"/>
        <v>0</v>
      </c>
      <c r="G71" s="57">
        <f t="shared" si="6"/>
        <v>0</v>
      </c>
      <c r="H71" s="57">
        <f t="shared" si="6"/>
        <v>109</v>
      </c>
      <c r="I71" s="57">
        <f t="shared" si="6"/>
        <v>165</v>
      </c>
      <c r="J71" s="57">
        <f t="shared" si="6"/>
        <v>0</v>
      </c>
      <c r="K71" s="57">
        <f t="shared" si="6"/>
        <v>0</v>
      </c>
      <c r="L71" s="57">
        <f t="shared" si="6"/>
        <v>0</v>
      </c>
      <c r="M71" s="57">
        <f t="shared" si="6"/>
        <v>0</v>
      </c>
      <c r="N71" s="57">
        <f t="shared" si="6"/>
        <v>0</v>
      </c>
      <c r="O71" s="57">
        <f t="shared" si="6"/>
        <v>0</v>
      </c>
      <c r="P71" s="57">
        <f t="shared" si="6"/>
        <v>234</v>
      </c>
      <c r="Q71" s="129">
        <f t="shared" ref="Q71:U71" si="7">Q8</f>
        <v>295</v>
      </c>
      <c r="R71" s="57">
        <f t="shared" si="7"/>
        <v>40</v>
      </c>
      <c r="S71" s="115">
        <f t="shared" si="7"/>
        <v>0.17094017094017094</v>
      </c>
      <c r="T71" s="115">
        <f t="shared" si="7"/>
        <v>0.14731182795698924</v>
      </c>
      <c r="U71" s="115">
        <f t="shared" si="7"/>
        <v>0.15445544554455445</v>
      </c>
    </row>
    <row r="72" spans="1:21" x14ac:dyDescent="0.2">
      <c r="A72" s="32">
        <f t="shared" ref="A72:P72" si="8">A9</f>
        <v>3</v>
      </c>
      <c r="B72" s="18" t="str">
        <f t="shared" si="8"/>
        <v>TRIGO</v>
      </c>
      <c r="C72" s="56">
        <f t="shared" si="8"/>
        <v>247</v>
      </c>
      <c r="D72" s="57">
        <f t="shared" si="8"/>
        <v>0</v>
      </c>
      <c r="E72" s="57">
        <f t="shared" si="8"/>
        <v>0</v>
      </c>
      <c r="F72" s="57">
        <f t="shared" si="8"/>
        <v>0</v>
      </c>
      <c r="G72" s="57">
        <f t="shared" si="8"/>
        <v>0</v>
      </c>
      <c r="H72" s="57">
        <f t="shared" si="8"/>
        <v>82</v>
      </c>
      <c r="I72" s="57">
        <f t="shared" si="8"/>
        <v>165</v>
      </c>
      <c r="J72" s="57">
        <f t="shared" si="8"/>
        <v>0</v>
      </c>
      <c r="K72" s="57">
        <f t="shared" si="8"/>
        <v>0</v>
      </c>
      <c r="L72" s="57">
        <f t="shared" si="8"/>
        <v>0</v>
      </c>
      <c r="M72" s="57">
        <f t="shared" si="8"/>
        <v>0</v>
      </c>
      <c r="N72" s="57">
        <f t="shared" si="8"/>
        <v>0</v>
      </c>
      <c r="O72" s="57">
        <f t="shared" si="8"/>
        <v>0</v>
      </c>
      <c r="P72" s="57">
        <f t="shared" si="8"/>
        <v>204</v>
      </c>
      <c r="Q72" s="129">
        <f t="shared" ref="Q72:U72" si="9">Q9</f>
        <v>220</v>
      </c>
      <c r="R72" s="57">
        <f t="shared" si="9"/>
        <v>43</v>
      </c>
      <c r="S72" s="115">
        <f t="shared" si="9"/>
        <v>0.2107843137254902</v>
      </c>
      <c r="T72" s="115">
        <f t="shared" si="9"/>
        <v>0.13279569892473117</v>
      </c>
      <c r="U72" s="115">
        <f t="shared" si="9"/>
        <v>0.13465346534653466</v>
      </c>
    </row>
    <row r="73" spans="1:21" x14ac:dyDescent="0.2">
      <c r="A73" s="32">
        <f t="shared" ref="A73:P73" si="10">A10</f>
        <v>4</v>
      </c>
      <c r="B73" s="18" t="str">
        <f t="shared" si="10"/>
        <v>PAPA COLOR</v>
      </c>
      <c r="C73" s="56">
        <f t="shared" si="10"/>
        <v>170</v>
      </c>
      <c r="D73" s="57">
        <f t="shared" si="10"/>
        <v>14</v>
      </c>
      <c r="E73" s="57">
        <f t="shared" si="10"/>
        <v>54</v>
      </c>
      <c r="F73" s="57">
        <f t="shared" si="10"/>
        <v>71</v>
      </c>
      <c r="G73" s="57">
        <f t="shared" si="10"/>
        <v>31</v>
      </c>
      <c r="H73" s="57">
        <f t="shared" si="10"/>
        <v>0</v>
      </c>
      <c r="I73" s="57">
        <f t="shared" si="10"/>
        <v>0</v>
      </c>
      <c r="J73" s="57">
        <f t="shared" si="10"/>
        <v>0</v>
      </c>
      <c r="K73" s="57">
        <f t="shared" si="10"/>
        <v>0</v>
      </c>
      <c r="L73" s="57">
        <f t="shared" si="10"/>
        <v>0</v>
      </c>
      <c r="M73" s="57">
        <f t="shared" si="10"/>
        <v>0</v>
      </c>
      <c r="N73" s="57">
        <f t="shared" si="10"/>
        <v>0</v>
      </c>
      <c r="O73" s="57">
        <f t="shared" si="10"/>
        <v>0</v>
      </c>
      <c r="P73" s="57">
        <f t="shared" si="10"/>
        <v>142</v>
      </c>
      <c r="Q73" s="129">
        <f t="shared" ref="Q73:U73" si="11">Q10</f>
        <v>183</v>
      </c>
      <c r="R73" s="57">
        <f t="shared" si="11"/>
        <v>28</v>
      </c>
      <c r="S73" s="115">
        <f t="shared" si="11"/>
        <v>0.19718309859154928</v>
      </c>
      <c r="T73" s="115">
        <f t="shared" si="11"/>
        <v>9.1397849462365593E-2</v>
      </c>
      <c r="U73" s="115">
        <f t="shared" si="11"/>
        <v>9.3729372937293734E-2</v>
      </c>
    </row>
    <row r="74" spans="1:21" x14ac:dyDescent="0.2">
      <c r="A74" s="32">
        <f t="shared" ref="A74:P74" si="12">A11</f>
        <v>5</v>
      </c>
      <c r="B74" s="18" t="str">
        <f t="shared" si="12"/>
        <v>HABA GRANO SECO</v>
      </c>
      <c r="C74" s="56">
        <f t="shared" si="12"/>
        <v>165</v>
      </c>
      <c r="D74" s="57">
        <f t="shared" si="12"/>
        <v>1</v>
      </c>
      <c r="E74" s="57">
        <f t="shared" si="12"/>
        <v>63</v>
      </c>
      <c r="F74" s="57">
        <f t="shared" si="12"/>
        <v>85</v>
      </c>
      <c r="G74" s="57">
        <f t="shared" si="12"/>
        <v>16</v>
      </c>
      <c r="H74" s="57">
        <f t="shared" si="12"/>
        <v>0</v>
      </c>
      <c r="I74" s="57">
        <f t="shared" si="12"/>
        <v>0</v>
      </c>
      <c r="J74" s="57">
        <f t="shared" si="12"/>
        <v>0</v>
      </c>
      <c r="K74" s="57">
        <f t="shared" si="12"/>
        <v>0</v>
      </c>
      <c r="L74" s="57">
        <f t="shared" si="12"/>
        <v>0</v>
      </c>
      <c r="M74" s="57">
        <f t="shared" si="12"/>
        <v>0</v>
      </c>
      <c r="N74" s="57">
        <f t="shared" si="12"/>
        <v>0</v>
      </c>
      <c r="O74" s="57">
        <f t="shared" si="12"/>
        <v>0</v>
      </c>
      <c r="P74" s="57">
        <f t="shared" si="12"/>
        <v>131</v>
      </c>
      <c r="Q74" s="129">
        <f t="shared" ref="Q74:U74" si="13">Q11</f>
        <v>141</v>
      </c>
      <c r="R74" s="57">
        <f t="shared" si="13"/>
        <v>34</v>
      </c>
      <c r="S74" s="115">
        <f t="shared" si="13"/>
        <v>0.25954198473282442</v>
      </c>
      <c r="T74" s="115">
        <f t="shared" si="13"/>
        <v>8.8709677419354843E-2</v>
      </c>
      <c r="U74" s="115">
        <f t="shared" si="13"/>
        <v>8.6468646864686471E-2</v>
      </c>
    </row>
    <row r="75" spans="1:21" x14ac:dyDescent="0.2">
      <c r="A75" s="32">
        <f>A12</f>
        <v>6</v>
      </c>
      <c r="B75" s="18" t="s">
        <v>44</v>
      </c>
      <c r="C75" s="56">
        <f t="shared" ref="C75:P75" si="14">SUM(C12:C25)</f>
        <v>672</v>
      </c>
      <c r="D75" s="56">
        <f t="shared" si="14"/>
        <v>111</v>
      </c>
      <c r="E75" s="56">
        <f t="shared" si="14"/>
        <v>164</v>
      </c>
      <c r="F75" s="56">
        <f t="shared" si="14"/>
        <v>306</v>
      </c>
      <c r="G75" s="56">
        <f t="shared" si="14"/>
        <v>82</v>
      </c>
      <c r="H75" s="56">
        <f t="shared" si="14"/>
        <v>9</v>
      </c>
      <c r="I75" s="56">
        <f t="shared" si="14"/>
        <v>0</v>
      </c>
      <c r="J75" s="56">
        <f t="shared" si="14"/>
        <v>0</v>
      </c>
      <c r="K75" s="56">
        <f t="shared" si="14"/>
        <v>0</v>
      </c>
      <c r="L75" s="56">
        <f t="shared" si="14"/>
        <v>0</v>
      </c>
      <c r="M75" s="56">
        <f t="shared" si="14"/>
        <v>0</v>
      </c>
      <c r="N75" s="56">
        <f t="shared" si="14"/>
        <v>0</v>
      </c>
      <c r="O75" s="56">
        <f t="shared" si="14"/>
        <v>0</v>
      </c>
      <c r="P75" s="56">
        <f t="shared" si="14"/>
        <v>494</v>
      </c>
      <c r="Q75" s="129"/>
      <c r="R75" s="57"/>
      <c r="S75" s="115"/>
      <c r="T75" s="115"/>
      <c r="U75" s="115"/>
    </row>
    <row r="76" spans="1:21" x14ac:dyDescent="0.2">
      <c r="A76" s="19" t="s">
        <v>1349</v>
      </c>
      <c r="B76" s="105"/>
      <c r="C76" s="106">
        <f>SUBTOTAL(109,Tabla17[ENIS 2022-2023])</f>
        <v>1860</v>
      </c>
      <c r="D76" s="106">
        <f>SUBTOTAL(109,Tabla17[AGO])</f>
        <v>154</v>
      </c>
      <c r="E76" s="106">
        <f>SUBTOTAL(109,Tabla17[SEP])</f>
        <v>471</v>
      </c>
      <c r="F76" s="106">
        <f>SUBTOTAL(109,Tabla17[OCT])</f>
        <v>565</v>
      </c>
      <c r="G76" s="106">
        <f>SUBTOTAL(109,Tabla17[NOV])</f>
        <v>140</v>
      </c>
      <c r="H76" s="106">
        <f>SUBTOTAL(109,Tabla17[DIC])</f>
        <v>200</v>
      </c>
      <c r="I76" s="106">
        <f>SUBTOTAL(109,Tabla17[ENE])</f>
        <v>330</v>
      </c>
      <c r="J76" s="106">
        <f>SUBTOTAL(109,Tabla17[FEB])</f>
        <v>0</v>
      </c>
      <c r="K76" s="106">
        <f>SUBTOTAL(109,Tabla17[MAR])</f>
        <v>0</v>
      </c>
      <c r="L76" s="106">
        <f>SUBTOTAL(109,Tabla17[ABR])</f>
        <v>0</v>
      </c>
      <c r="M76" s="106">
        <f>SUBTOTAL(109,Tabla17[MAY])</f>
        <v>0</v>
      </c>
      <c r="N76" s="106">
        <f>SUBTOTAL(109,Tabla17[JUN])</f>
        <v>0</v>
      </c>
      <c r="O76" s="106">
        <f>SUBTOTAL(109,Tabla17[JUL])</f>
        <v>0</v>
      </c>
      <c r="P76" s="106">
        <f>SUBTOTAL(109,Tabla17[SUPERFICIE SEMBRADA 2021-2022])</f>
        <v>1515</v>
      </c>
      <c r="Q76" s="130"/>
      <c r="R76" s="104"/>
      <c r="S76" s="119"/>
      <c r="T76" s="119"/>
      <c r="U76" s="119"/>
    </row>
    <row r="77" spans="1:21" ht="27" customHeight="1" x14ac:dyDescent="0.2"/>
    <row r="79" spans="1:21" x14ac:dyDescent="0.2">
      <c r="B79" s="139" t="s">
        <v>1321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22"/>
      <c r="R79" s="22"/>
      <c r="S79" s="22"/>
      <c r="T79" s="22"/>
      <c r="U79" s="22"/>
    </row>
  </sheetData>
  <mergeCells count="8">
    <mergeCell ref="B79:P79"/>
    <mergeCell ref="A1:O1"/>
    <mergeCell ref="D4:H4"/>
    <mergeCell ref="I4:O4"/>
    <mergeCell ref="A40:O40"/>
    <mergeCell ref="D68:H68"/>
    <mergeCell ref="I68:O68"/>
    <mergeCell ref="A2:V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5623-EACC-4E4E-874F-257A6C27AC8F}">
  <dimension ref="A1:W80"/>
  <sheetViews>
    <sheetView showGridLines="0" zoomScaleNormal="100" workbookViewId="0">
      <selection activeCell="A4" sqref="A4:P24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2" width="10.7109375" style="23" customWidth="1"/>
    <col min="23" max="23" width="10.7109375" style="19" customWidth="1"/>
    <col min="24" max="16384" width="11.42578125" style="21"/>
  </cols>
  <sheetData>
    <row r="1" spans="1:23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</row>
    <row r="2" spans="1:23" x14ac:dyDescent="0.2">
      <c r="A2" s="159" t="s">
        <v>1361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</row>
    <row r="5" spans="1:23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3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117"/>
      <c r="T6" s="117"/>
      <c r="U6" s="117"/>
    </row>
    <row r="7" spans="1:23" ht="12.75" customHeight="1" x14ac:dyDescent="0.2">
      <c r="A7" s="32">
        <v>1</v>
      </c>
      <c r="B7" s="18" t="s">
        <v>189</v>
      </c>
      <c r="C7" s="56">
        <v>1266</v>
      </c>
      <c r="D7" s="57">
        <v>6</v>
      </c>
      <c r="E7" s="57">
        <v>43</v>
      </c>
      <c r="F7" s="57">
        <v>583</v>
      </c>
      <c r="G7" s="57">
        <v>544</v>
      </c>
      <c r="H7" s="57">
        <v>84</v>
      </c>
      <c r="I7" s="57">
        <v>6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1204</v>
      </c>
      <c r="Q7" s="129">
        <v>1229</v>
      </c>
      <c r="R7" s="57">
        <f t="shared" ref="R7:R22" si="0">C7-P7</f>
        <v>62</v>
      </c>
      <c r="S7" s="117">
        <f t="shared" ref="S7:S22" si="1">(C7-P7)/P7</f>
        <v>5.1495016611295678E-2</v>
      </c>
      <c r="T7" s="117">
        <f t="shared" ref="T7:T22" si="2">C7/$C$24</f>
        <v>0.43610058560110232</v>
      </c>
      <c r="U7" s="117">
        <f t="shared" ref="U7:U22" si="3">P7/$P$24</f>
        <v>0.4403803950256035</v>
      </c>
    </row>
    <row r="8" spans="1:23" ht="12.75" customHeight="1" x14ac:dyDescent="0.2">
      <c r="A8" s="32">
        <v>2</v>
      </c>
      <c r="B8" s="18" t="s">
        <v>190</v>
      </c>
      <c r="C8" s="56">
        <v>413</v>
      </c>
      <c r="D8" s="57">
        <v>2</v>
      </c>
      <c r="E8" s="57">
        <v>5</v>
      </c>
      <c r="F8" s="57">
        <v>44</v>
      </c>
      <c r="G8" s="57">
        <v>275</v>
      </c>
      <c r="H8" s="57">
        <v>86</v>
      </c>
      <c r="I8" s="57">
        <v>1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375</v>
      </c>
      <c r="Q8" s="129">
        <v>385</v>
      </c>
      <c r="R8" s="57">
        <f t="shared" si="0"/>
        <v>38</v>
      </c>
      <c r="S8" s="117">
        <f t="shared" si="1"/>
        <v>0.10133333333333333</v>
      </c>
      <c r="T8" s="117">
        <f t="shared" si="2"/>
        <v>0.14226662073716845</v>
      </c>
      <c r="U8" s="117">
        <f t="shared" si="3"/>
        <v>0.13716166788588149</v>
      </c>
    </row>
    <row r="9" spans="1:23" ht="12.75" customHeight="1" x14ac:dyDescent="0.2">
      <c r="A9" s="32">
        <v>3</v>
      </c>
      <c r="B9" s="18" t="s">
        <v>1</v>
      </c>
      <c r="C9" s="56">
        <v>270</v>
      </c>
      <c r="D9" s="57">
        <v>0</v>
      </c>
      <c r="E9" s="57">
        <v>0</v>
      </c>
      <c r="F9" s="57">
        <v>5</v>
      </c>
      <c r="G9" s="57">
        <v>73</v>
      </c>
      <c r="H9" s="57">
        <v>144</v>
      </c>
      <c r="I9" s="57">
        <v>48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257</v>
      </c>
      <c r="Q9" s="129">
        <v>272</v>
      </c>
      <c r="R9" s="57">
        <f t="shared" si="0"/>
        <v>13</v>
      </c>
      <c r="S9" s="117">
        <f t="shared" si="1"/>
        <v>5.0583657587548639E-2</v>
      </c>
      <c r="T9" s="117">
        <f t="shared" si="2"/>
        <v>9.3007233895969682E-2</v>
      </c>
      <c r="U9" s="117">
        <f t="shared" si="3"/>
        <v>9.4001463057790779E-2</v>
      </c>
    </row>
    <row r="10" spans="1:23" ht="12.75" customHeight="1" x14ac:dyDescent="0.2">
      <c r="A10" s="32">
        <v>4</v>
      </c>
      <c r="B10" s="18" t="s">
        <v>3</v>
      </c>
      <c r="C10" s="56">
        <v>249</v>
      </c>
      <c r="D10" s="57">
        <v>0</v>
      </c>
      <c r="E10" s="57">
        <v>9</v>
      </c>
      <c r="F10" s="57">
        <v>122</v>
      </c>
      <c r="G10" s="57">
        <v>102</v>
      </c>
      <c r="H10" s="57">
        <v>16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226</v>
      </c>
      <c r="Q10" s="129">
        <v>239</v>
      </c>
      <c r="R10" s="57">
        <f t="shared" si="0"/>
        <v>23</v>
      </c>
      <c r="S10" s="117">
        <f t="shared" si="1"/>
        <v>0.10176991150442478</v>
      </c>
      <c r="T10" s="117">
        <f t="shared" si="2"/>
        <v>8.5773337926283152E-2</v>
      </c>
      <c r="U10" s="117">
        <f t="shared" si="3"/>
        <v>8.2662765179224579E-2</v>
      </c>
    </row>
    <row r="11" spans="1:23" ht="12.75" customHeight="1" x14ac:dyDescent="0.2">
      <c r="A11" s="32">
        <v>5</v>
      </c>
      <c r="B11" s="18" t="s">
        <v>192</v>
      </c>
      <c r="C11" s="56">
        <v>209</v>
      </c>
      <c r="D11" s="57">
        <v>0</v>
      </c>
      <c r="E11" s="57">
        <v>0</v>
      </c>
      <c r="F11" s="57">
        <v>17</v>
      </c>
      <c r="G11" s="57">
        <v>55</v>
      </c>
      <c r="H11" s="57">
        <v>118</v>
      </c>
      <c r="I11" s="57">
        <v>19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181</v>
      </c>
      <c r="Q11" s="129">
        <v>191</v>
      </c>
      <c r="R11" s="57">
        <f t="shared" si="0"/>
        <v>28</v>
      </c>
      <c r="S11" s="117">
        <f t="shared" si="1"/>
        <v>0.15469613259668508</v>
      </c>
      <c r="T11" s="117">
        <f t="shared" si="2"/>
        <v>7.1994488460213571E-2</v>
      </c>
      <c r="U11" s="117">
        <f t="shared" si="3"/>
        <v>6.6203365032918807E-2</v>
      </c>
    </row>
    <row r="12" spans="1:23" ht="12.75" customHeight="1" x14ac:dyDescent="0.2">
      <c r="A12" s="32">
        <v>6</v>
      </c>
      <c r="B12" s="18" t="s">
        <v>5</v>
      </c>
      <c r="C12" s="56">
        <v>114</v>
      </c>
      <c r="D12" s="57">
        <v>0</v>
      </c>
      <c r="E12" s="57">
        <v>3</v>
      </c>
      <c r="F12" s="57">
        <v>59</v>
      </c>
      <c r="G12" s="57">
        <v>50</v>
      </c>
      <c r="H12" s="57">
        <v>2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113</v>
      </c>
      <c r="Q12" s="129">
        <v>142</v>
      </c>
      <c r="R12" s="57">
        <f t="shared" si="0"/>
        <v>1</v>
      </c>
      <c r="S12" s="117">
        <f t="shared" si="1"/>
        <v>8.8495575221238937E-3</v>
      </c>
      <c r="T12" s="117">
        <f t="shared" si="2"/>
        <v>3.9269720978298311E-2</v>
      </c>
      <c r="U12" s="117">
        <f t="shared" si="3"/>
        <v>4.1331382589612289E-2</v>
      </c>
    </row>
    <row r="13" spans="1:23" ht="12.75" customHeight="1" x14ac:dyDescent="0.2">
      <c r="A13" s="32">
        <v>7</v>
      </c>
      <c r="B13" s="18" t="s">
        <v>4</v>
      </c>
      <c r="C13" s="56">
        <v>84</v>
      </c>
      <c r="D13" s="57">
        <v>0</v>
      </c>
      <c r="E13" s="57">
        <v>16</v>
      </c>
      <c r="F13" s="57">
        <v>53</v>
      </c>
      <c r="G13" s="57">
        <v>15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82</v>
      </c>
      <c r="Q13" s="129">
        <v>89</v>
      </c>
      <c r="R13" s="57">
        <f t="shared" si="0"/>
        <v>2</v>
      </c>
      <c r="S13" s="117">
        <f t="shared" si="1"/>
        <v>2.4390243902439025E-2</v>
      </c>
      <c r="T13" s="117">
        <f t="shared" si="2"/>
        <v>2.8935583878746125E-2</v>
      </c>
      <c r="U13" s="117">
        <f t="shared" si="3"/>
        <v>2.9992684711046085E-2</v>
      </c>
    </row>
    <row r="14" spans="1:23" ht="12.75" customHeight="1" x14ac:dyDescent="0.2">
      <c r="A14" s="32">
        <v>8</v>
      </c>
      <c r="B14" s="18" t="s">
        <v>193</v>
      </c>
      <c r="C14" s="56">
        <v>66</v>
      </c>
      <c r="D14" s="57">
        <v>0</v>
      </c>
      <c r="E14" s="57">
        <v>6</v>
      </c>
      <c r="F14" s="57">
        <v>19</v>
      </c>
      <c r="G14" s="57">
        <v>39</v>
      </c>
      <c r="H14" s="57">
        <v>2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71</v>
      </c>
      <c r="Q14" s="129">
        <v>73</v>
      </c>
      <c r="R14" s="57">
        <f t="shared" si="0"/>
        <v>-5</v>
      </c>
      <c r="S14" s="117">
        <f t="shared" si="1"/>
        <v>-7.0422535211267609E-2</v>
      </c>
      <c r="T14" s="117">
        <f t="shared" si="2"/>
        <v>2.2735101619014812E-2</v>
      </c>
      <c r="U14" s="117">
        <f t="shared" si="3"/>
        <v>2.5969275786393561E-2</v>
      </c>
    </row>
    <row r="15" spans="1:23" ht="12.75" customHeight="1" x14ac:dyDescent="0.2">
      <c r="A15" s="32">
        <v>9</v>
      </c>
      <c r="B15" s="18" t="s">
        <v>173</v>
      </c>
      <c r="C15" s="56">
        <v>58</v>
      </c>
      <c r="D15" s="57">
        <v>0</v>
      </c>
      <c r="E15" s="57">
        <v>13</v>
      </c>
      <c r="F15" s="57">
        <v>40</v>
      </c>
      <c r="G15" s="57">
        <v>5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57</v>
      </c>
      <c r="Q15" s="129">
        <v>61</v>
      </c>
      <c r="R15" s="57">
        <f t="shared" si="0"/>
        <v>1</v>
      </c>
      <c r="S15" s="117">
        <f t="shared" si="1"/>
        <v>1.7543859649122806E-2</v>
      </c>
      <c r="T15" s="117">
        <f t="shared" si="2"/>
        <v>1.9979331725800895E-2</v>
      </c>
      <c r="U15" s="117">
        <f t="shared" si="3"/>
        <v>2.0848573518653987E-2</v>
      </c>
    </row>
    <row r="16" spans="1:23" ht="12.75" customHeight="1" x14ac:dyDescent="0.2">
      <c r="A16" s="32">
        <v>10</v>
      </c>
      <c r="B16" s="18" t="s">
        <v>174</v>
      </c>
      <c r="C16" s="56">
        <v>50</v>
      </c>
      <c r="D16" s="57">
        <v>0</v>
      </c>
      <c r="E16" s="57">
        <v>12</v>
      </c>
      <c r="F16" s="57">
        <v>30</v>
      </c>
      <c r="G16" s="57">
        <v>8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55</v>
      </c>
      <c r="Q16" s="129">
        <v>58</v>
      </c>
      <c r="R16" s="57">
        <f t="shared" si="0"/>
        <v>-5</v>
      </c>
      <c r="S16" s="117">
        <f t="shared" si="1"/>
        <v>-9.0909090909090912E-2</v>
      </c>
      <c r="T16" s="117">
        <f t="shared" si="2"/>
        <v>1.722356183258698E-2</v>
      </c>
      <c r="U16" s="117">
        <f t="shared" si="3"/>
        <v>2.0117044623262619E-2</v>
      </c>
    </row>
    <row r="17" spans="1:23" ht="12.75" customHeight="1" x14ac:dyDescent="0.2">
      <c r="A17" s="32">
        <v>11</v>
      </c>
      <c r="B17" s="18" t="s">
        <v>0</v>
      </c>
      <c r="C17" s="56">
        <v>45</v>
      </c>
      <c r="D17" s="57">
        <v>1</v>
      </c>
      <c r="E17" s="57">
        <v>3</v>
      </c>
      <c r="F17" s="57">
        <v>18</v>
      </c>
      <c r="G17" s="57">
        <v>21</v>
      </c>
      <c r="H17" s="57">
        <v>2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40</v>
      </c>
      <c r="Q17" s="129">
        <v>43</v>
      </c>
      <c r="R17" s="57">
        <f t="shared" si="0"/>
        <v>5</v>
      </c>
      <c r="S17" s="117">
        <f t="shared" si="1"/>
        <v>0.125</v>
      </c>
      <c r="T17" s="117">
        <f t="shared" si="2"/>
        <v>1.5501205649328281E-2</v>
      </c>
      <c r="U17" s="117">
        <f t="shared" si="3"/>
        <v>1.4630577907827359E-2</v>
      </c>
    </row>
    <row r="18" spans="1:23" ht="12.75" customHeight="1" x14ac:dyDescent="0.2">
      <c r="A18" s="32">
        <v>12</v>
      </c>
      <c r="B18" s="18" t="s">
        <v>191</v>
      </c>
      <c r="C18" s="56">
        <v>45</v>
      </c>
      <c r="D18" s="57">
        <v>0</v>
      </c>
      <c r="E18" s="57">
        <v>0</v>
      </c>
      <c r="F18" s="57">
        <v>3</v>
      </c>
      <c r="G18" s="57">
        <v>32</v>
      </c>
      <c r="H18" s="57">
        <v>9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1</v>
      </c>
      <c r="P18" s="57">
        <v>47</v>
      </c>
      <c r="Q18" s="129">
        <v>45</v>
      </c>
      <c r="R18" s="57">
        <f t="shared" si="0"/>
        <v>-2</v>
      </c>
      <c r="S18" s="117">
        <f t="shared" si="1"/>
        <v>-4.2553191489361701E-2</v>
      </c>
      <c r="T18" s="117">
        <f t="shared" si="2"/>
        <v>1.5501205649328281E-2</v>
      </c>
      <c r="U18" s="117">
        <f t="shared" si="3"/>
        <v>1.7190929041697146E-2</v>
      </c>
    </row>
    <row r="19" spans="1:23" ht="12.75" customHeight="1" x14ac:dyDescent="0.2">
      <c r="A19" s="32">
        <v>13</v>
      </c>
      <c r="B19" s="18" t="s">
        <v>2</v>
      </c>
      <c r="C19" s="56">
        <v>28</v>
      </c>
      <c r="D19" s="57">
        <v>0</v>
      </c>
      <c r="E19" s="57">
        <v>0</v>
      </c>
      <c r="F19" s="57">
        <v>1</v>
      </c>
      <c r="G19" s="57">
        <v>22</v>
      </c>
      <c r="H19" s="57">
        <v>5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26</v>
      </c>
      <c r="Q19" s="129">
        <v>43</v>
      </c>
      <c r="R19" s="57">
        <f t="shared" si="0"/>
        <v>2</v>
      </c>
      <c r="S19" s="117">
        <f t="shared" si="1"/>
        <v>7.6923076923076927E-2</v>
      </c>
      <c r="T19" s="117">
        <f t="shared" si="2"/>
        <v>9.6451946262487084E-3</v>
      </c>
      <c r="U19" s="117">
        <f t="shared" si="3"/>
        <v>9.5098756400877841E-3</v>
      </c>
    </row>
    <row r="20" spans="1:23" ht="12.75" customHeight="1" x14ac:dyDescent="0.2">
      <c r="A20" s="32">
        <v>14</v>
      </c>
      <c r="B20" s="18" t="s">
        <v>175</v>
      </c>
      <c r="C20" s="56">
        <v>3</v>
      </c>
      <c r="D20" s="57">
        <v>0</v>
      </c>
      <c r="E20" s="57">
        <v>0</v>
      </c>
      <c r="F20" s="57">
        <v>2</v>
      </c>
      <c r="G20" s="57">
        <v>1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129">
        <v>2</v>
      </c>
      <c r="R20" s="57">
        <f t="shared" si="0"/>
        <v>3</v>
      </c>
      <c r="S20" s="117" t="e">
        <f t="shared" si="1"/>
        <v>#DIV/0!</v>
      </c>
      <c r="T20" s="117">
        <f t="shared" si="2"/>
        <v>1.0334137099552187E-3</v>
      </c>
      <c r="U20" s="117">
        <f t="shared" si="3"/>
        <v>0</v>
      </c>
      <c r="V20" s="21"/>
      <c r="W20" s="21"/>
    </row>
    <row r="21" spans="1:23" ht="12.75" customHeight="1" x14ac:dyDescent="0.2">
      <c r="A21" s="32">
        <v>15</v>
      </c>
      <c r="B21" s="18" t="s">
        <v>196</v>
      </c>
      <c r="C21" s="56">
        <v>2</v>
      </c>
      <c r="D21" s="57">
        <v>2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129">
        <v>11</v>
      </c>
      <c r="R21" s="57">
        <f t="shared" si="0"/>
        <v>2</v>
      </c>
      <c r="S21" s="117" t="e">
        <f t="shared" si="1"/>
        <v>#DIV/0!</v>
      </c>
      <c r="T21" s="117">
        <f t="shared" si="2"/>
        <v>6.889424733034792E-4</v>
      </c>
      <c r="U21" s="117">
        <f t="shared" si="3"/>
        <v>0</v>
      </c>
      <c r="V21" s="21"/>
      <c r="W21" s="21"/>
    </row>
    <row r="22" spans="1:23" ht="12.75" customHeight="1" x14ac:dyDescent="0.2">
      <c r="A22" s="32">
        <v>16</v>
      </c>
      <c r="B22" s="18" t="s">
        <v>199</v>
      </c>
      <c r="C22" s="56">
        <v>1</v>
      </c>
      <c r="D22" s="57">
        <v>0</v>
      </c>
      <c r="E22" s="57">
        <v>0</v>
      </c>
      <c r="F22" s="57">
        <v>1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129">
        <v>1</v>
      </c>
      <c r="R22" s="57">
        <f t="shared" si="0"/>
        <v>1</v>
      </c>
      <c r="S22" s="117" t="e">
        <f t="shared" si="1"/>
        <v>#DIV/0!</v>
      </c>
      <c r="T22" s="117">
        <f t="shared" si="2"/>
        <v>3.444712366517396E-4</v>
      </c>
      <c r="U22" s="117">
        <f t="shared" si="3"/>
        <v>0</v>
      </c>
      <c r="V22" s="21"/>
      <c r="W22" s="21"/>
    </row>
    <row r="23" spans="1:23" ht="12.75" customHeight="1" x14ac:dyDescent="0.2">
      <c r="A23" s="32"/>
      <c r="B23" s="18"/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129"/>
      <c r="R23" s="57"/>
      <c r="S23" s="117"/>
      <c r="T23" s="117"/>
      <c r="U23" s="117"/>
      <c r="V23" s="21"/>
      <c r="W23" s="21"/>
    </row>
    <row r="24" spans="1:23" ht="16.5" customHeight="1" x14ac:dyDescent="0.2">
      <c r="A24" s="104" t="s">
        <v>1349</v>
      </c>
      <c r="B24" s="105"/>
      <c r="C24" s="106">
        <f>SUBTOTAL(109,Tabla8[ENIS 2022-2023])</f>
        <v>2903</v>
      </c>
      <c r="D24" s="106">
        <f>SUBTOTAL(109,Tabla8[AGO])</f>
        <v>11</v>
      </c>
      <c r="E24" s="106">
        <f>SUBTOTAL(109,Tabla8[SEP])</f>
        <v>110</v>
      </c>
      <c r="F24" s="106">
        <f>SUBTOTAL(109,Tabla8[OCT])</f>
        <v>997</v>
      </c>
      <c r="G24" s="106">
        <f>SUBTOTAL(109,Tabla8[NOV])</f>
        <v>1242</v>
      </c>
      <c r="H24" s="106">
        <f>SUBTOTAL(109,Tabla8[DIC])</f>
        <v>468</v>
      </c>
      <c r="I24" s="106">
        <f>SUBTOTAL(109,Tabla8[ENE])</f>
        <v>74</v>
      </c>
      <c r="J24" s="106">
        <f>SUBTOTAL(109,Tabla8[FEB])</f>
        <v>0</v>
      </c>
      <c r="K24" s="106">
        <f>SUBTOTAL(109,Tabla8[MAR])</f>
        <v>0</v>
      </c>
      <c r="L24" s="106">
        <f>SUBTOTAL(109,Tabla8[ABR])</f>
        <v>0</v>
      </c>
      <c r="M24" s="106">
        <f>SUBTOTAL(109,Tabla8[MAY])</f>
        <v>0</v>
      </c>
      <c r="N24" s="106">
        <f>SUBTOTAL(109,Tabla8[JUN])</f>
        <v>0</v>
      </c>
      <c r="O24" s="106">
        <f>SUBTOTAL(109,Tabla8[JUL])</f>
        <v>1</v>
      </c>
      <c r="P24" s="106">
        <f>SUBTOTAL(109,Tabla8[SUPERFICIE SEMBRADA 2021-2022])</f>
        <v>2734</v>
      </c>
      <c r="Q24" s="132">
        <f>SUBTOTAL(109,Tabla8[ENIS 2021-2022])</f>
        <v>2884</v>
      </c>
      <c r="R24" s="106">
        <f>SUBTOTAL(109,Tabla8[DIF.])</f>
        <v>169</v>
      </c>
      <c r="S24" s="27">
        <f>(C24-P24)/P24</f>
        <v>6.1814191660570596E-2</v>
      </c>
      <c r="T24" s="122">
        <f>SUBTOTAL(109,Tabla8[% ENIS])</f>
        <v>1.0000000000000002</v>
      </c>
      <c r="U24" s="122">
        <f>SUBTOTAL(109,Tabla8[%  SUP SEMB])</f>
        <v>1</v>
      </c>
      <c r="V24" s="27"/>
      <c r="W24" s="27"/>
    </row>
    <row r="26" spans="1:23" x14ac:dyDescent="0.2">
      <c r="A26" s="25"/>
      <c r="B26" s="30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</row>
    <row r="27" spans="1:23" x14ac:dyDescent="0.2">
      <c r="A27" s="25"/>
      <c r="B27" s="30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</row>
    <row r="28" spans="1:23" x14ac:dyDescent="0.2">
      <c r="A28" s="25"/>
      <c r="B28" s="30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3" x14ac:dyDescent="0.2">
      <c r="A29" s="25"/>
      <c r="B29" s="3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</row>
    <row r="30" spans="1:23" x14ac:dyDescent="0.2">
      <c r="A30" s="25"/>
      <c r="B30" s="3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</row>
    <row r="31" spans="1:23" x14ac:dyDescent="0.2">
      <c r="A31" s="25"/>
      <c r="B31" s="30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</row>
    <row r="32" spans="1:23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</row>
    <row r="33" spans="1:21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  <row r="34" spans="1:21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</row>
    <row r="35" spans="1:21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</row>
    <row r="36" spans="1:21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</row>
    <row r="37" spans="1:21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</row>
    <row r="38" spans="1:21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</row>
    <row r="39" spans="1:2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</row>
    <row r="40" spans="1:21" ht="43.5" customHeight="1" x14ac:dyDescent="0.2">
      <c r="A40" s="25"/>
      <c r="B40" s="3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</row>
    <row r="41" spans="1:21" x14ac:dyDescent="0.2">
      <c r="A41" s="152" t="s">
        <v>1309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22"/>
      <c r="Q41" s="22"/>
      <c r="R41" s="22"/>
      <c r="S41" s="22"/>
      <c r="T41" s="22"/>
      <c r="U41" s="22"/>
    </row>
    <row r="42" spans="1:21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</row>
    <row r="43" spans="1:21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21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21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21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21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21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1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1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</row>
    <row r="68" spans="1:21" ht="12.75" customHeight="1" x14ac:dyDescent="0.2">
      <c r="B68" s="18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2"/>
      <c r="Q68" s="22"/>
      <c r="R68" s="22"/>
      <c r="S68" s="22"/>
      <c r="T68" s="22"/>
      <c r="U68" s="22"/>
    </row>
    <row r="69" spans="1:21" ht="28.5" customHeight="1" x14ac:dyDescent="0.2">
      <c r="A69" s="82"/>
      <c r="B69" s="88"/>
      <c r="C69" s="82"/>
      <c r="D69" s="160">
        <f>HGA!D4</f>
        <v>2022</v>
      </c>
      <c r="E69" s="160">
        <f>HGA!E4</f>
        <v>0</v>
      </c>
      <c r="F69" s="160">
        <f>HGA!F4</f>
        <v>0</v>
      </c>
      <c r="G69" s="160">
        <f>HGA!G4</f>
        <v>0</v>
      </c>
      <c r="H69" s="160">
        <f>HGA!H4</f>
        <v>0</v>
      </c>
      <c r="I69" s="160">
        <f>HGA!I4</f>
        <v>2023</v>
      </c>
      <c r="J69" s="160">
        <f>HGA!J4</f>
        <v>0</v>
      </c>
      <c r="K69" s="160">
        <f>HGA!K4</f>
        <v>0</v>
      </c>
      <c r="L69" s="160">
        <f>HGA!L4</f>
        <v>0</v>
      </c>
      <c r="M69" s="160">
        <f>HGA!M4</f>
        <v>0</v>
      </c>
      <c r="N69" s="160">
        <f>HGA!N4</f>
        <v>0</v>
      </c>
      <c r="O69" s="160">
        <f>HGA!O4</f>
        <v>0</v>
      </c>
      <c r="P69" s="77"/>
      <c r="Q69" s="125"/>
      <c r="R69" s="77"/>
      <c r="S69" s="77"/>
      <c r="T69" s="77"/>
      <c r="U69" s="77"/>
    </row>
    <row r="70" spans="1:21" ht="25.5" x14ac:dyDescent="0.2">
      <c r="A70" s="87" t="s">
        <v>59</v>
      </c>
      <c r="B70" s="89" t="s">
        <v>10</v>
      </c>
      <c r="C70" s="87" t="s">
        <v>1298</v>
      </c>
      <c r="D70" s="90" t="s">
        <v>12</v>
      </c>
      <c r="E70" s="90" t="s">
        <v>13</v>
      </c>
      <c r="F70" s="90" t="s">
        <v>14</v>
      </c>
      <c r="G70" s="90" t="s">
        <v>15</v>
      </c>
      <c r="H70" s="90" t="s">
        <v>16</v>
      </c>
      <c r="I70" s="90" t="s">
        <v>17</v>
      </c>
      <c r="J70" s="90" t="s">
        <v>18</v>
      </c>
      <c r="K70" s="90" t="s">
        <v>19</v>
      </c>
      <c r="L70" s="90" t="s">
        <v>20</v>
      </c>
      <c r="M70" s="90" t="s">
        <v>21</v>
      </c>
      <c r="N70" s="90" t="s">
        <v>22</v>
      </c>
      <c r="O70" s="90" t="s">
        <v>23</v>
      </c>
      <c r="P70" s="91" t="s">
        <v>1328</v>
      </c>
      <c r="Q70" s="126" t="s">
        <v>1299</v>
      </c>
      <c r="R70" s="118" t="s">
        <v>187</v>
      </c>
      <c r="S70" s="118" t="s">
        <v>1351</v>
      </c>
      <c r="T70" s="82" t="s">
        <v>1352</v>
      </c>
      <c r="U70" s="82" t="s">
        <v>1353</v>
      </c>
    </row>
    <row r="71" spans="1:21" x14ac:dyDescent="0.2">
      <c r="A71" s="32">
        <f t="shared" ref="A71:P71" si="4">A7</f>
        <v>1</v>
      </c>
      <c r="B71" s="18" t="str">
        <f t="shared" si="4"/>
        <v>MAIZ AMILACEO</v>
      </c>
      <c r="C71" s="56">
        <f t="shared" si="4"/>
        <v>1266</v>
      </c>
      <c r="D71" s="57">
        <f t="shared" si="4"/>
        <v>6</v>
      </c>
      <c r="E71" s="57">
        <f t="shared" si="4"/>
        <v>43</v>
      </c>
      <c r="F71" s="57">
        <f t="shared" si="4"/>
        <v>583</v>
      </c>
      <c r="G71" s="57">
        <f t="shared" si="4"/>
        <v>544</v>
      </c>
      <c r="H71" s="57">
        <f t="shared" si="4"/>
        <v>84</v>
      </c>
      <c r="I71" s="57">
        <f t="shared" si="4"/>
        <v>6</v>
      </c>
      <c r="J71" s="57">
        <f t="shared" si="4"/>
        <v>0</v>
      </c>
      <c r="K71" s="57">
        <f t="shared" si="4"/>
        <v>0</v>
      </c>
      <c r="L71" s="57">
        <f t="shared" si="4"/>
        <v>0</v>
      </c>
      <c r="M71" s="57">
        <f t="shared" si="4"/>
        <v>0</v>
      </c>
      <c r="N71" s="57">
        <f t="shared" si="4"/>
        <v>0</v>
      </c>
      <c r="O71" s="57">
        <f t="shared" si="4"/>
        <v>0</v>
      </c>
      <c r="P71" s="57">
        <f t="shared" si="4"/>
        <v>1204</v>
      </c>
      <c r="Q71" s="129">
        <f t="shared" ref="Q71:U71" si="5">Q7</f>
        <v>1229</v>
      </c>
      <c r="R71" s="57">
        <f t="shared" si="5"/>
        <v>62</v>
      </c>
      <c r="S71" s="115">
        <f t="shared" si="5"/>
        <v>5.1495016611295678E-2</v>
      </c>
      <c r="T71" s="115">
        <f t="shared" si="5"/>
        <v>0.43610058560110232</v>
      </c>
      <c r="U71" s="115">
        <f t="shared" si="5"/>
        <v>0.4403803950256035</v>
      </c>
    </row>
    <row r="72" spans="1:21" x14ac:dyDescent="0.2">
      <c r="A72" s="32">
        <f t="shared" ref="A72:P72" si="6">A8</f>
        <v>2</v>
      </c>
      <c r="B72" s="18" t="str">
        <f t="shared" si="6"/>
        <v>PAPA BLANCA</v>
      </c>
      <c r="C72" s="56">
        <f t="shared" si="6"/>
        <v>413</v>
      </c>
      <c r="D72" s="57">
        <f t="shared" si="6"/>
        <v>2</v>
      </c>
      <c r="E72" s="57">
        <f t="shared" si="6"/>
        <v>5</v>
      </c>
      <c r="F72" s="57">
        <f t="shared" si="6"/>
        <v>44</v>
      </c>
      <c r="G72" s="57">
        <f t="shared" si="6"/>
        <v>275</v>
      </c>
      <c r="H72" s="57">
        <f t="shared" si="6"/>
        <v>86</v>
      </c>
      <c r="I72" s="57">
        <f t="shared" si="6"/>
        <v>1</v>
      </c>
      <c r="J72" s="57">
        <f t="shared" si="6"/>
        <v>0</v>
      </c>
      <c r="K72" s="57">
        <f t="shared" si="6"/>
        <v>0</v>
      </c>
      <c r="L72" s="57">
        <f t="shared" si="6"/>
        <v>0</v>
      </c>
      <c r="M72" s="57">
        <f t="shared" si="6"/>
        <v>0</v>
      </c>
      <c r="N72" s="57">
        <f t="shared" si="6"/>
        <v>0</v>
      </c>
      <c r="O72" s="57">
        <f t="shared" si="6"/>
        <v>0</v>
      </c>
      <c r="P72" s="57">
        <f t="shared" si="6"/>
        <v>375</v>
      </c>
      <c r="Q72" s="129">
        <f t="shared" ref="Q72:U72" si="7">Q8</f>
        <v>385</v>
      </c>
      <c r="R72" s="57">
        <f t="shared" si="7"/>
        <v>38</v>
      </c>
      <c r="S72" s="115">
        <f t="shared" si="7"/>
        <v>0.10133333333333333</v>
      </c>
      <c r="T72" s="115">
        <f t="shared" si="7"/>
        <v>0.14226662073716845</v>
      </c>
      <c r="U72" s="115">
        <f t="shared" si="7"/>
        <v>0.13716166788588149</v>
      </c>
    </row>
    <row r="73" spans="1:21" x14ac:dyDescent="0.2">
      <c r="A73" s="32">
        <f t="shared" ref="A73:P73" si="8">A9</f>
        <v>3</v>
      </c>
      <c r="B73" s="18" t="str">
        <f t="shared" si="8"/>
        <v>CEBADA GRANO</v>
      </c>
      <c r="C73" s="56">
        <f t="shared" si="8"/>
        <v>270</v>
      </c>
      <c r="D73" s="57">
        <f t="shared" si="8"/>
        <v>0</v>
      </c>
      <c r="E73" s="57">
        <f t="shared" si="8"/>
        <v>0</v>
      </c>
      <c r="F73" s="57">
        <f t="shared" si="8"/>
        <v>5</v>
      </c>
      <c r="G73" s="57">
        <f t="shared" si="8"/>
        <v>73</v>
      </c>
      <c r="H73" s="57">
        <f t="shared" si="8"/>
        <v>144</v>
      </c>
      <c r="I73" s="57">
        <f t="shared" si="8"/>
        <v>48</v>
      </c>
      <c r="J73" s="57">
        <f t="shared" si="8"/>
        <v>0</v>
      </c>
      <c r="K73" s="57">
        <f t="shared" si="8"/>
        <v>0</v>
      </c>
      <c r="L73" s="57">
        <f t="shared" si="8"/>
        <v>0</v>
      </c>
      <c r="M73" s="57">
        <f t="shared" si="8"/>
        <v>0</v>
      </c>
      <c r="N73" s="57">
        <f t="shared" si="8"/>
        <v>0</v>
      </c>
      <c r="O73" s="57">
        <f t="shared" si="8"/>
        <v>0</v>
      </c>
      <c r="P73" s="57">
        <f t="shared" si="8"/>
        <v>257</v>
      </c>
      <c r="Q73" s="129">
        <f t="shared" ref="Q73:U73" si="9">Q9</f>
        <v>272</v>
      </c>
      <c r="R73" s="57">
        <f t="shared" si="9"/>
        <v>13</v>
      </c>
      <c r="S73" s="115">
        <f t="shared" si="9"/>
        <v>5.0583657587548639E-2</v>
      </c>
      <c r="T73" s="115">
        <f t="shared" si="9"/>
        <v>9.3007233895969682E-2</v>
      </c>
      <c r="U73" s="115">
        <f t="shared" si="9"/>
        <v>9.4001463057790779E-2</v>
      </c>
    </row>
    <row r="74" spans="1:21" x14ac:dyDescent="0.2">
      <c r="A74" s="32">
        <f t="shared" ref="A74:P74" si="10">A10</f>
        <v>4</v>
      </c>
      <c r="B74" s="18" t="str">
        <f t="shared" si="10"/>
        <v>HABA GRANO SECO</v>
      </c>
      <c r="C74" s="56">
        <f t="shared" si="10"/>
        <v>249</v>
      </c>
      <c r="D74" s="57">
        <f t="shared" si="10"/>
        <v>0</v>
      </c>
      <c r="E74" s="57">
        <f t="shared" si="10"/>
        <v>9</v>
      </c>
      <c r="F74" s="57">
        <f t="shared" si="10"/>
        <v>122</v>
      </c>
      <c r="G74" s="57">
        <f t="shared" si="10"/>
        <v>102</v>
      </c>
      <c r="H74" s="57">
        <f t="shared" si="10"/>
        <v>16</v>
      </c>
      <c r="I74" s="57">
        <f t="shared" si="10"/>
        <v>0</v>
      </c>
      <c r="J74" s="57">
        <f t="shared" si="10"/>
        <v>0</v>
      </c>
      <c r="K74" s="57">
        <f t="shared" si="10"/>
        <v>0</v>
      </c>
      <c r="L74" s="57">
        <f t="shared" si="10"/>
        <v>0</v>
      </c>
      <c r="M74" s="57">
        <f t="shared" si="10"/>
        <v>0</v>
      </c>
      <c r="N74" s="57">
        <f t="shared" si="10"/>
        <v>0</v>
      </c>
      <c r="O74" s="57">
        <f t="shared" si="10"/>
        <v>0</v>
      </c>
      <c r="P74" s="57">
        <f t="shared" si="10"/>
        <v>226</v>
      </c>
      <c r="Q74" s="129">
        <f t="shared" ref="Q74:U74" si="11">Q10</f>
        <v>239</v>
      </c>
      <c r="R74" s="57">
        <f t="shared" si="11"/>
        <v>23</v>
      </c>
      <c r="S74" s="115">
        <f t="shared" si="11"/>
        <v>0.10176991150442478</v>
      </c>
      <c r="T74" s="115">
        <f t="shared" si="11"/>
        <v>8.5773337926283152E-2</v>
      </c>
      <c r="U74" s="115">
        <f t="shared" si="11"/>
        <v>8.2662765179224579E-2</v>
      </c>
    </row>
    <row r="75" spans="1:21" x14ac:dyDescent="0.2">
      <c r="A75" s="32">
        <f t="shared" ref="A75:P75" si="12">A11</f>
        <v>5</v>
      </c>
      <c r="B75" s="18" t="str">
        <f t="shared" si="12"/>
        <v>TRIGO</v>
      </c>
      <c r="C75" s="56">
        <f t="shared" si="12"/>
        <v>209</v>
      </c>
      <c r="D75" s="57">
        <f t="shared" si="12"/>
        <v>0</v>
      </c>
      <c r="E75" s="57">
        <f t="shared" si="12"/>
        <v>0</v>
      </c>
      <c r="F75" s="57">
        <f t="shared" si="12"/>
        <v>17</v>
      </c>
      <c r="G75" s="57">
        <f t="shared" si="12"/>
        <v>55</v>
      </c>
      <c r="H75" s="57">
        <f t="shared" si="12"/>
        <v>118</v>
      </c>
      <c r="I75" s="57">
        <f t="shared" si="12"/>
        <v>19</v>
      </c>
      <c r="J75" s="57">
        <f t="shared" si="12"/>
        <v>0</v>
      </c>
      <c r="K75" s="57">
        <f t="shared" si="12"/>
        <v>0</v>
      </c>
      <c r="L75" s="57">
        <f t="shared" si="12"/>
        <v>0</v>
      </c>
      <c r="M75" s="57">
        <f t="shared" si="12"/>
        <v>0</v>
      </c>
      <c r="N75" s="57">
        <f t="shared" si="12"/>
        <v>0</v>
      </c>
      <c r="O75" s="57">
        <f t="shared" si="12"/>
        <v>0</v>
      </c>
      <c r="P75" s="57">
        <f t="shared" si="12"/>
        <v>181</v>
      </c>
      <c r="Q75" s="129">
        <f t="shared" ref="Q75:U75" si="13">Q11</f>
        <v>191</v>
      </c>
      <c r="R75" s="57">
        <f t="shared" si="13"/>
        <v>28</v>
      </c>
      <c r="S75" s="115">
        <f t="shared" si="13"/>
        <v>0.15469613259668508</v>
      </c>
      <c r="T75" s="115">
        <f t="shared" si="13"/>
        <v>7.1994488460213571E-2</v>
      </c>
      <c r="U75" s="115">
        <f t="shared" si="13"/>
        <v>6.6203365032918807E-2</v>
      </c>
    </row>
    <row r="76" spans="1:21" x14ac:dyDescent="0.2">
      <c r="A76" s="32">
        <f>A12</f>
        <v>6</v>
      </c>
      <c r="B76" s="18" t="s">
        <v>44</v>
      </c>
      <c r="C76" s="56">
        <f t="shared" ref="C76:P76" si="14">SUM(C12:C22)</f>
        <v>496</v>
      </c>
      <c r="D76" s="56">
        <f t="shared" si="14"/>
        <v>3</v>
      </c>
      <c r="E76" s="56">
        <f t="shared" si="14"/>
        <v>53</v>
      </c>
      <c r="F76" s="56">
        <f t="shared" si="14"/>
        <v>226</v>
      </c>
      <c r="G76" s="56">
        <f t="shared" si="14"/>
        <v>193</v>
      </c>
      <c r="H76" s="56">
        <f t="shared" si="14"/>
        <v>20</v>
      </c>
      <c r="I76" s="56">
        <f t="shared" si="14"/>
        <v>0</v>
      </c>
      <c r="J76" s="56">
        <f t="shared" si="14"/>
        <v>0</v>
      </c>
      <c r="K76" s="56">
        <f t="shared" si="14"/>
        <v>0</v>
      </c>
      <c r="L76" s="56">
        <f t="shared" si="14"/>
        <v>0</v>
      </c>
      <c r="M76" s="56">
        <f t="shared" si="14"/>
        <v>0</v>
      </c>
      <c r="N76" s="56">
        <f t="shared" si="14"/>
        <v>0</v>
      </c>
      <c r="O76" s="56">
        <f t="shared" si="14"/>
        <v>1</v>
      </c>
      <c r="P76" s="56">
        <f t="shared" si="14"/>
        <v>491</v>
      </c>
      <c r="Q76" s="129"/>
      <c r="R76" s="57"/>
      <c r="S76" s="115"/>
      <c r="T76" s="115"/>
      <c r="U76" s="115"/>
    </row>
    <row r="77" spans="1:21" x14ac:dyDescent="0.2">
      <c r="A77" s="104" t="s">
        <v>1349</v>
      </c>
      <c r="B77" s="105"/>
      <c r="C77" s="106">
        <f>SUBTOTAL(109,Tabla18[ENIS 2022-2023])</f>
        <v>2903</v>
      </c>
      <c r="D77" s="106">
        <f>SUBTOTAL(109,Tabla18[AGO])</f>
        <v>11</v>
      </c>
      <c r="E77" s="106">
        <f>SUBTOTAL(109,Tabla18[SEP])</f>
        <v>110</v>
      </c>
      <c r="F77" s="106">
        <f>SUBTOTAL(109,Tabla18[OCT])</f>
        <v>997</v>
      </c>
      <c r="G77" s="106">
        <f>SUBTOTAL(109,Tabla18[NOV])</f>
        <v>1242</v>
      </c>
      <c r="H77" s="106">
        <f>SUBTOTAL(109,Tabla18[DIC])</f>
        <v>468</v>
      </c>
      <c r="I77" s="106">
        <f>SUBTOTAL(109,Tabla18[ENE])</f>
        <v>74</v>
      </c>
      <c r="J77" s="106">
        <f>SUBTOTAL(109,Tabla18[FEB])</f>
        <v>0</v>
      </c>
      <c r="K77" s="106">
        <f>SUBTOTAL(109,Tabla18[MAR])</f>
        <v>0</v>
      </c>
      <c r="L77" s="106">
        <f>SUBTOTAL(109,Tabla18[ABR])</f>
        <v>0</v>
      </c>
      <c r="M77" s="106">
        <f>SUBTOTAL(109,Tabla18[MAY])</f>
        <v>0</v>
      </c>
      <c r="N77" s="106">
        <f>SUBTOTAL(109,Tabla18[JUN])</f>
        <v>0</v>
      </c>
      <c r="O77" s="106">
        <f>SUBTOTAL(109,Tabla18[JUL])</f>
        <v>1</v>
      </c>
      <c r="P77" s="106">
        <f>SUBTOTAL(109,Tabla18[SUPERFICIE SEMBRADA 2021-2022])</f>
        <v>2734</v>
      </c>
      <c r="Q77" s="130"/>
      <c r="R77" s="104"/>
      <c r="S77" s="119"/>
      <c r="T77" s="119"/>
      <c r="U77" s="119"/>
    </row>
    <row r="78" spans="1:21" ht="27.75" customHeight="1" x14ac:dyDescent="0.2"/>
    <row r="80" spans="1:21" x14ac:dyDescent="0.2">
      <c r="B80" s="139" t="s">
        <v>1318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22"/>
      <c r="R80" s="22"/>
      <c r="S80" s="22"/>
      <c r="T80" s="22"/>
      <c r="U80" s="22"/>
    </row>
  </sheetData>
  <mergeCells count="8">
    <mergeCell ref="B80:P80"/>
    <mergeCell ref="A1:O1"/>
    <mergeCell ref="D4:H4"/>
    <mergeCell ref="I4:O4"/>
    <mergeCell ref="A41:O41"/>
    <mergeCell ref="D69:H69"/>
    <mergeCell ref="I69:O69"/>
    <mergeCell ref="A2:W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4CF0-6269-408E-BFB5-4D91574C73DE}">
  <dimension ref="A1:W80"/>
  <sheetViews>
    <sheetView showGridLines="0" zoomScaleNormal="100" workbookViewId="0">
      <selection activeCell="A4" sqref="A4:P30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2" width="10.7109375" style="23" customWidth="1"/>
    <col min="23" max="23" width="10.7109375" style="19" customWidth="1"/>
    <col min="24" max="16384" width="11.42578125" style="21"/>
  </cols>
  <sheetData>
    <row r="1" spans="1:23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</row>
    <row r="2" spans="1:23" x14ac:dyDescent="0.2">
      <c r="A2" s="159" t="s">
        <v>1362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</row>
    <row r="5" spans="1:23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3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3" ht="12.75" customHeight="1" x14ac:dyDescent="0.2">
      <c r="A7" s="32">
        <v>1</v>
      </c>
      <c r="B7" s="18" t="s">
        <v>189</v>
      </c>
      <c r="C7" s="56">
        <v>2690</v>
      </c>
      <c r="D7" s="57">
        <v>55</v>
      </c>
      <c r="E7" s="57">
        <v>492</v>
      </c>
      <c r="F7" s="57">
        <v>1062</v>
      </c>
      <c r="G7" s="57">
        <v>855</v>
      </c>
      <c r="H7" s="57">
        <v>193</v>
      </c>
      <c r="I7" s="57">
        <v>30</v>
      </c>
      <c r="J7" s="57">
        <v>3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2975</v>
      </c>
      <c r="Q7" s="129">
        <v>2984</v>
      </c>
      <c r="R7" s="57">
        <f t="shared" ref="R7:R28" si="0">C7-P7</f>
        <v>-285</v>
      </c>
      <c r="S7" s="27">
        <f t="shared" ref="S7:S28" si="1">(C7-P7)/P7</f>
        <v>-9.5798319327731099E-2</v>
      </c>
      <c r="T7" s="27">
        <f t="shared" ref="T7:T28" si="2">C7/$C$30</f>
        <v>0.28170489056445702</v>
      </c>
      <c r="U7" s="27">
        <f t="shared" ref="U7:U28" si="3">P7/$P$30</f>
        <v>0.34613147178592207</v>
      </c>
    </row>
    <row r="8" spans="1:23" ht="12.75" customHeight="1" x14ac:dyDescent="0.2">
      <c r="A8" s="32">
        <v>2</v>
      </c>
      <c r="B8" s="18" t="s">
        <v>1</v>
      </c>
      <c r="C8" s="56">
        <v>1274</v>
      </c>
      <c r="D8" s="57">
        <v>0</v>
      </c>
      <c r="E8" s="57">
        <v>0</v>
      </c>
      <c r="F8" s="57">
        <v>12</v>
      </c>
      <c r="G8" s="57">
        <v>354</v>
      </c>
      <c r="H8" s="57">
        <v>703</v>
      </c>
      <c r="I8" s="57">
        <v>205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1109</v>
      </c>
      <c r="Q8" s="129">
        <v>1220</v>
      </c>
      <c r="R8" s="57">
        <f t="shared" si="0"/>
        <v>165</v>
      </c>
      <c r="S8" s="27">
        <f t="shared" si="1"/>
        <v>0.14878268710550044</v>
      </c>
      <c r="T8" s="27">
        <f t="shared" si="2"/>
        <v>0.13341711173944915</v>
      </c>
      <c r="U8" s="27">
        <f t="shared" si="3"/>
        <v>0.12902850494473531</v>
      </c>
    </row>
    <row r="9" spans="1:23" ht="12.75" customHeight="1" x14ac:dyDescent="0.2">
      <c r="A9" s="32">
        <v>3</v>
      </c>
      <c r="B9" s="18" t="s">
        <v>192</v>
      </c>
      <c r="C9" s="56">
        <v>1082</v>
      </c>
      <c r="D9" s="57">
        <v>0</v>
      </c>
      <c r="E9" s="57">
        <v>0</v>
      </c>
      <c r="F9" s="57">
        <v>26</v>
      </c>
      <c r="G9" s="57">
        <v>302</v>
      </c>
      <c r="H9" s="57">
        <v>574</v>
      </c>
      <c r="I9" s="57">
        <v>166</v>
      </c>
      <c r="J9" s="57">
        <v>14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924</v>
      </c>
      <c r="Q9" s="129">
        <v>1022</v>
      </c>
      <c r="R9" s="57">
        <f t="shared" si="0"/>
        <v>158</v>
      </c>
      <c r="S9" s="27">
        <f t="shared" si="1"/>
        <v>0.17099567099567101</v>
      </c>
      <c r="T9" s="27">
        <f t="shared" si="2"/>
        <v>0.11331029427165148</v>
      </c>
      <c r="U9" s="27">
        <f t="shared" si="3"/>
        <v>0.10750436300174521</v>
      </c>
    </row>
    <row r="10" spans="1:23" ht="12.75" customHeight="1" x14ac:dyDescent="0.2">
      <c r="A10" s="32">
        <v>4</v>
      </c>
      <c r="B10" s="18" t="s">
        <v>3</v>
      </c>
      <c r="C10" s="56">
        <v>911</v>
      </c>
      <c r="D10" s="57">
        <v>16</v>
      </c>
      <c r="E10" s="57">
        <v>172</v>
      </c>
      <c r="F10" s="57">
        <v>361</v>
      </c>
      <c r="G10" s="57">
        <v>323</v>
      </c>
      <c r="H10" s="57">
        <v>39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791</v>
      </c>
      <c r="Q10" s="129">
        <v>806</v>
      </c>
      <c r="R10" s="57">
        <f t="shared" si="0"/>
        <v>120</v>
      </c>
      <c r="S10" s="27">
        <f t="shared" si="1"/>
        <v>0.15170670037926676</v>
      </c>
      <c r="T10" s="27">
        <f t="shared" si="2"/>
        <v>9.5402659964394176E-2</v>
      </c>
      <c r="U10" s="27">
        <f t="shared" si="3"/>
        <v>9.2030250145433395E-2</v>
      </c>
    </row>
    <row r="11" spans="1:23" ht="12.75" customHeight="1" x14ac:dyDescent="0.2">
      <c r="A11" s="32">
        <v>5</v>
      </c>
      <c r="B11" s="18" t="s">
        <v>190</v>
      </c>
      <c r="C11" s="56">
        <v>585</v>
      </c>
      <c r="D11" s="57">
        <v>19</v>
      </c>
      <c r="E11" s="57">
        <v>49</v>
      </c>
      <c r="F11" s="57">
        <v>108</v>
      </c>
      <c r="G11" s="57">
        <v>242</v>
      </c>
      <c r="H11" s="57">
        <v>137</v>
      </c>
      <c r="I11" s="57">
        <v>26</v>
      </c>
      <c r="J11" s="57">
        <v>4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483</v>
      </c>
      <c r="Q11" s="129">
        <v>489</v>
      </c>
      <c r="R11" s="57">
        <f t="shared" si="0"/>
        <v>102</v>
      </c>
      <c r="S11" s="27">
        <f t="shared" si="1"/>
        <v>0.21118012422360249</v>
      </c>
      <c r="T11" s="27">
        <f t="shared" si="2"/>
        <v>6.1262959472196045E-2</v>
      </c>
      <c r="U11" s="27">
        <f t="shared" si="3"/>
        <v>5.6195462478184993E-2</v>
      </c>
    </row>
    <row r="12" spans="1:23" ht="12.75" customHeight="1" x14ac:dyDescent="0.2">
      <c r="A12" s="32">
        <v>6</v>
      </c>
      <c r="B12" s="18" t="s">
        <v>0</v>
      </c>
      <c r="C12" s="56">
        <v>442</v>
      </c>
      <c r="D12" s="57">
        <v>0</v>
      </c>
      <c r="E12" s="57">
        <v>58</v>
      </c>
      <c r="F12" s="57">
        <v>169</v>
      </c>
      <c r="G12" s="57">
        <v>162</v>
      </c>
      <c r="H12" s="57">
        <v>47</v>
      </c>
      <c r="I12" s="57">
        <v>6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381</v>
      </c>
      <c r="Q12" s="129">
        <v>366</v>
      </c>
      <c r="R12" s="57">
        <f t="shared" si="0"/>
        <v>61</v>
      </c>
      <c r="S12" s="27">
        <f t="shared" si="1"/>
        <v>0.16010498687664043</v>
      </c>
      <c r="T12" s="27">
        <f t="shared" si="2"/>
        <v>4.6287569378992567E-2</v>
      </c>
      <c r="U12" s="27">
        <f t="shared" si="3"/>
        <v>4.4328097731239094E-2</v>
      </c>
    </row>
    <row r="13" spans="1:23" ht="12.75" customHeight="1" x14ac:dyDescent="0.2">
      <c r="A13" s="32">
        <v>7</v>
      </c>
      <c r="B13" s="18" t="s">
        <v>193</v>
      </c>
      <c r="C13" s="56">
        <v>439</v>
      </c>
      <c r="D13" s="57">
        <v>0</v>
      </c>
      <c r="E13" s="57">
        <v>19</v>
      </c>
      <c r="F13" s="57">
        <v>97</v>
      </c>
      <c r="G13" s="57">
        <v>169</v>
      </c>
      <c r="H13" s="57">
        <v>133</v>
      </c>
      <c r="I13" s="57">
        <v>21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335</v>
      </c>
      <c r="Q13" s="129">
        <v>380</v>
      </c>
      <c r="R13" s="57">
        <f t="shared" si="0"/>
        <v>104</v>
      </c>
      <c r="S13" s="27">
        <f t="shared" si="1"/>
        <v>0.31044776119402984</v>
      </c>
      <c r="T13" s="27">
        <f t="shared" si="2"/>
        <v>4.5973400356058229E-2</v>
      </c>
      <c r="U13" s="27">
        <f t="shared" si="3"/>
        <v>3.8976148923792905E-2</v>
      </c>
    </row>
    <row r="14" spans="1:23" ht="12.75" customHeight="1" x14ac:dyDescent="0.2">
      <c r="A14" s="32">
        <v>8</v>
      </c>
      <c r="B14" s="18" t="s">
        <v>191</v>
      </c>
      <c r="C14" s="56">
        <v>403</v>
      </c>
      <c r="D14" s="57">
        <v>13</v>
      </c>
      <c r="E14" s="57">
        <v>15</v>
      </c>
      <c r="F14" s="57">
        <v>73</v>
      </c>
      <c r="G14" s="57">
        <v>173</v>
      </c>
      <c r="H14" s="57">
        <v>121</v>
      </c>
      <c r="I14" s="57">
        <v>8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289</v>
      </c>
      <c r="Q14" s="129">
        <v>323</v>
      </c>
      <c r="R14" s="57">
        <f t="shared" si="0"/>
        <v>114</v>
      </c>
      <c r="S14" s="27">
        <f t="shared" si="1"/>
        <v>0.3944636678200692</v>
      </c>
      <c r="T14" s="27">
        <f t="shared" si="2"/>
        <v>4.2203372080846159E-2</v>
      </c>
      <c r="U14" s="27">
        <f t="shared" si="3"/>
        <v>3.362420011634671E-2</v>
      </c>
    </row>
    <row r="15" spans="1:23" ht="12.75" customHeight="1" x14ac:dyDescent="0.2">
      <c r="A15" s="32">
        <v>9</v>
      </c>
      <c r="B15" s="18" t="s">
        <v>4</v>
      </c>
      <c r="C15" s="56">
        <v>242</v>
      </c>
      <c r="D15" s="57">
        <v>0</v>
      </c>
      <c r="E15" s="57">
        <v>73</v>
      </c>
      <c r="F15" s="57">
        <v>115</v>
      </c>
      <c r="G15" s="57">
        <v>54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185</v>
      </c>
      <c r="Q15" s="129">
        <v>223</v>
      </c>
      <c r="R15" s="57">
        <f t="shared" si="0"/>
        <v>57</v>
      </c>
      <c r="S15" s="27">
        <f t="shared" si="1"/>
        <v>0.30810810810810813</v>
      </c>
      <c r="T15" s="27">
        <f t="shared" si="2"/>
        <v>2.5342967850036653E-2</v>
      </c>
      <c r="U15" s="27">
        <f t="shared" si="3"/>
        <v>2.152414194299011E-2</v>
      </c>
    </row>
    <row r="16" spans="1:23" ht="12.75" customHeight="1" x14ac:dyDescent="0.2">
      <c r="A16" s="32">
        <v>10</v>
      </c>
      <c r="B16" s="18" t="s">
        <v>195</v>
      </c>
      <c r="C16" s="56">
        <v>209</v>
      </c>
      <c r="D16" s="57">
        <v>12</v>
      </c>
      <c r="E16" s="57">
        <v>75</v>
      </c>
      <c r="F16" s="57">
        <v>93</v>
      </c>
      <c r="G16" s="57">
        <v>29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200</v>
      </c>
      <c r="Q16" s="129">
        <v>214</v>
      </c>
      <c r="R16" s="57">
        <f t="shared" si="0"/>
        <v>9</v>
      </c>
      <c r="S16" s="27">
        <f t="shared" si="1"/>
        <v>4.4999999999999998E-2</v>
      </c>
      <c r="T16" s="27">
        <f t="shared" si="2"/>
        <v>2.1887108597758928E-2</v>
      </c>
      <c r="U16" s="27">
        <f t="shared" si="3"/>
        <v>2.326934264107039E-2</v>
      </c>
    </row>
    <row r="17" spans="1:23" ht="12.75" customHeight="1" x14ac:dyDescent="0.2">
      <c r="A17" s="32">
        <v>11</v>
      </c>
      <c r="B17" s="18" t="s">
        <v>199</v>
      </c>
      <c r="C17" s="56">
        <v>208</v>
      </c>
      <c r="D17" s="57">
        <v>32</v>
      </c>
      <c r="E17" s="57">
        <v>73</v>
      </c>
      <c r="F17" s="57">
        <v>61</v>
      </c>
      <c r="G17" s="57">
        <v>31</v>
      </c>
      <c r="H17" s="57">
        <v>11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170</v>
      </c>
      <c r="Q17" s="129">
        <v>159</v>
      </c>
      <c r="R17" s="57">
        <f t="shared" si="0"/>
        <v>38</v>
      </c>
      <c r="S17" s="27">
        <f t="shared" si="1"/>
        <v>0.22352941176470589</v>
      </c>
      <c r="T17" s="27">
        <f t="shared" si="2"/>
        <v>2.1782385590114146E-2</v>
      </c>
      <c r="U17" s="27">
        <f t="shared" si="3"/>
        <v>1.977894124490983E-2</v>
      </c>
    </row>
    <row r="18" spans="1:23" ht="12.75" customHeight="1" x14ac:dyDescent="0.2">
      <c r="A18" s="32">
        <v>12</v>
      </c>
      <c r="B18" s="18" t="s">
        <v>174</v>
      </c>
      <c r="C18" s="56">
        <v>186</v>
      </c>
      <c r="D18" s="57">
        <v>0</v>
      </c>
      <c r="E18" s="57">
        <v>42</v>
      </c>
      <c r="F18" s="57">
        <v>75</v>
      </c>
      <c r="G18" s="57">
        <v>63</v>
      </c>
      <c r="H18" s="57">
        <v>6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139</v>
      </c>
      <c r="Q18" s="129">
        <v>137</v>
      </c>
      <c r="R18" s="57">
        <f t="shared" si="0"/>
        <v>47</v>
      </c>
      <c r="S18" s="27">
        <f t="shared" si="1"/>
        <v>0.33812949640287771</v>
      </c>
      <c r="T18" s="27">
        <f t="shared" si="2"/>
        <v>1.9478479421928999E-2</v>
      </c>
      <c r="U18" s="27">
        <f t="shared" si="3"/>
        <v>1.6172193135543921E-2</v>
      </c>
    </row>
    <row r="19" spans="1:23" ht="12.75" customHeight="1" x14ac:dyDescent="0.2">
      <c r="A19" s="32">
        <v>13</v>
      </c>
      <c r="B19" s="18" t="s">
        <v>5</v>
      </c>
      <c r="C19" s="56">
        <v>174</v>
      </c>
      <c r="D19" s="57">
        <v>4</v>
      </c>
      <c r="E19" s="57">
        <v>26</v>
      </c>
      <c r="F19" s="57">
        <v>79</v>
      </c>
      <c r="G19" s="57">
        <v>56</v>
      </c>
      <c r="H19" s="57">
        <v>9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106</v>
      </c>
      <c r="Q19" s="129">
        <v>173</v>
      </c>
      <c r="R19" s="57">
        <f t="shared" si="0"/>
        <v>68</v>
      </c>
      <c r="S19" s="27">
        <f t="shared" si="1"/>
        <v>0.64150943396226412</v>
      </c>
      <c r="T19" s="27">
        <f t="shared" si="2"/>
        <v>1.8221803330191643E-2</v>
      </c>
      <c r="U19" s="27">
        <f t="shared" si="3"/>
        <v>1.2332751599767306E-2</v>
      </c>
    </row>
    <row r="20" spans="1:23" ht="12.75" customHeight="1" x14ac:dyDescent="0.2">
      <c r="A20" s="32">
        <v>14</v>
      </c>
      <c r="B20" s="18" t="s">
        <v>173</v>
      </c>
      <c r="C20" s="56">
        <v>165</v>
      </c>
      <c r="D20" s="57">
        <v>0</v>
      </c>
      <c r="E20" s="57">
        <v>33</v>
      </c>
      <c r="F20" s="57">
        <v>67</v>
      </c>
      <c r="G20" s="57">
        <v>65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121</v>
      </c>
      <c r="Q20" s="129">
        <v>132</v>
      </c>
      <c r="R20" s="57">
        <f t="shared" si="0"/>
        <v>44</v>
      </c>
      <c r="S20" s="27">
        <f t="shared" si="1"/>
        <v>0.36363636363636365</v>
      </c>
      <c r="T20" s="27">
        <f t="shared" si="2"/>
        <v>1.7279296261388626E-2</v>
      </c>
      <c r="U20" s="27">
        <f t="shared" si="3"/>
        <v>1.4077952297847586E-2</v>
      </c>
    </row>
    <row r="21" spans="1:23" ht="12.75" customHeight="1" x14ac:dyDescent="0.2">
      <c r="A21" s="32">
        <v>15</v>
      </c>
      <c r="B21" s="18" t="s">
        <v>196</v>
      </c>
      <c r="C21" s="56">
        <v>152</v>
      </c>
      <c r="D21" s="57">
        <v>3</v>
      </c>
      <c r="E21" s="57">
        <v>39</v>
      </c>
      <c r="F21" s="57">
        <v>79</v>
      </c>
      <c r="G21" s="57">
        <v>28</v>
      </c>
      <c r="H21" s="57">
        <v>3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136</v>
      </c>
      <c r="Q21" s="129">
        <v>169</v>
      </c>
      <c r="R21" s="57">
        <f t="shared" si="0"/>
        <v>16</v>
      </c>
      <c r="S21" s="27">
        <f t="shared" si="1"/>
        <v>0.11764705882352941</v>
      </c>
      <c r="T21" s="27">
        <f t="shared" si="2"/>
        <v>1.5917897162006492E-2</v>
      </c>
      <c r="U21" s="27">
        <f t="shared" si="3"/>
        <v>1.5823152995927865E-2</v>
      </c>
    </row>
    <row r="22" spans="1:23" ht="12.75" customHeight="1" x14ac:dyDescent="0.2">
      <c r="A22" s="32">
        <v>16</v>
      </c>
      <c r="B22" s="18" t="s">
        <v>2</v>
      </c>
      <c r="C22" s="56">
        <v>131</v>
      </c>
      <c r="D22" s="57">
        <v>0</v>
      </c>
      <c r="E22" s="57">
        <v>13</v>
      </c>
      <c r="F22" s="57">
        <v>32</v>
      </c>
      <c r="G22" s="57">
        <v>42</v>
      </c>
      <c r="H22" s="57">
        <v>39</v>
      </c>
      <c r="I22" s="57">
        <v>5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115</v>
      </c>
      <c r="Q22" s="129">
        <v>122</v>
      </c>
      <c r="R22" s="57">
        <f t="shared" si="0"/>
        <v>16</v>
      </c>
      <c r="S22" s="27">
        <f t="shared" si="1"/>
        <v>0.1391304347826087</v>
      </c>
      <c r="T22" s="27">
        <f t="shared" si="2"/>
        <v>1.3718714001466122E-2</v>
      </c>
      <c r="U22" s="27">
        <f t="shared" si="3"/>
        <v>1.3379872018615475E-2</v>
      </c>
    </row>
    <row r="23" spans="1:23" ht="12.75" customHeight="1" x14ac:dyDescent="0.2">
      <c r="A23" s="32">
        <v>17</v>
      </c>
      <c r="B23" s="18" t="s">
        <v>194</v>
      </c>
      <c r="C23" s="56">
        <v>129</v>
      </c>
      <c r="D23" s="57">
        <v>3</v>
      </c>
      <c r="E23" s="57">
        <v>25</v>
      </c>
      <c r="F23" s="57">
        <v>58</v>
      </c>
      <c r="G23" s="57">
        <v>38</v>
      </c>
      <c r="H23" s="57">
        <v>5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98</v>
      </c>
      <c r="Q23" s="129">
        <v>140</v>
      </c>
      <c r="R23" s="57">
        <f t="shared" si="0"/>
        <v>31</v>
      </c>
      <c r="S23" s="27">
        <f t="shared" si="1"/>
        <v>0.31632653061224492</v>
      </c>
      <c r="T23" s="27">
        <f t="shared" si="2"/>
        <v>1.3509267986176562E-2</v>
      </c>
      <c r="U23" s="27">
        <f t="shared" si="3"/>
        <v>1.140197789412449E-2</v>
      </c>
    </row>
    <row r="24" spans="1:23" ht="12.75" customHeight="1" x14ac:dyDescent="0.2">
      <c r="A24" s="32">
        <v>18</v>
      </c>
      <c r="B24" s="18" t="s">
        <v>1246</v>
      </c>
      <c r="C24" s="56">
        <v>39</v>
      </c>
      <c r="D24" s="57">
        <v>0</v>
      </c>
      <c r="E24" s="57">
        <v>0</v>
      </c>
      <c r="F24" s="57">
        <v>0</v>
      </c>
      <c r="G24" s="57">
        <v>15</v>
      </c>
      <c r="H24" s="57">
        <v>20</v>
      </c>
      <c r="I24" s="57">
        <v>4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129">
        <v>39</v>
      </c>
      <c r="R24" s="57">
        <f t="shared" si="0"/>
        <v>39</v>
      </c>
      <c r="S24" s="27" t="e">
        <f t="shared" si="1"/>
        <v>#DIV/0!</v>
      </c>
      <c r="T24" s="27">
        <f t="shared" si="2"/>
        <v>4.0841972981464029E-3</v>
      </c>
      <c r="U24" s="27">
        <f t="shared" si="3"/>
        <v>0</v>
      </c>
    </row>
    <row r="25" spans="1:23" ht="12.75" customHeight="1" x14ac:dyDescent="0.2">
      <c r="A25" s="32">
        <v>19</v>
      </c>
      <c r="B25" s="18" t="s">
        <v>175</v>
      </c>
      <c r="C25" s="56">
        <v>32</v>
      </c>
      <c r="D25" s="57">
        <v>1</v>
      </c>
      <c r="E25" s="57">
        <v>5</v>
      </c>
      <c r="F25" s="57">
        <v>25</v>
      </c>
      <c r="G25" s="57">
        <v>0</v>
      </c>
      <c r="H25" s="57">
        <v>1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129">
        <v>3</v>
      </c>
      <c r="R25" s="57">
        <f t="shared" si="0"/>
        <v>32</v>
      </c>
      <c r="S25" s="27" t="e">
        <f t="shared" si="1"/>
        <v>#DIV/0!</v>
      </c>
      <c r="T25" s="27">
        <f t="shared" si="2"/>
        <v>3.3511362446329461E-3</v>
      </c>
      <c r="U25" s="27">
        <f t="shared" si="3"/>
        <v>0</v>
      </c>
      <c r="V25" s="21"/>
      <c r="W25" s="21"/>
    </row>
    <row r="26" spans="1:23" ht="12.75" customHeight="1" x14ac:dyDescent="0.2">
      <c r="A26" s="32">
        <v>20</v>
      </c>
      <c r="B26" s="18" t="s">
        <v>8</v>
      </c>
      <c r="C26" s="56">
        <v>31</v>
      </c>
      <c r="D26" s="57">
        <v>4</v>
      </c>
      <c r="E26" s="57">
        <v>0</v>
      </c>
      <c r="F26" s="57">
        <v>0</v>
      </c>
      <c r="G26" s="57">
        <v>8</v>
      </c>
      <c r="H26" s="57">
        <v>19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13</v>
      </c>
      <c r="Q26" s="129">
        <v>29</v>
      </c>
      <c r="R26" s="57">
        <f t="shared" si="0"/>
        <v>18</v>
      </c>
      <c r="S26" s="27">
        <f t="shared" si="1"/>
        <v>1.3846153846153846</v>
      </c>
      <c r="T26" s="27">
        <f t="shared" si="2"/>
        <v>3.2464132369881661E-3</v>
      </c>
      <c r="U26" s="27">
        <f t="shared" si="3"/>
        <v>1.5125072716695752E-3</v>
      </c>
    </row>
    <row r="27" spans="1:23" ht="12.75" customHeight="1" x14ac:dyDescent="0.2">
      <c r="A27" s="32">
        <v>21</v>
      </c>
      <c r="B27" s="18" t="s">
        <v>200</v>
      </c>
      <c r="C27" s="56">
        <v>16</v>
      </c>
      <c r="D27" s="57">
        <v>0</v>
      </c>
      <c r="E27" s="57">
        <v>0</v>
      </c>
      <c r="F27" s="57">
        <v>0</v>
      </c>
      <c r="G27" s="57">
        <v>3</v>
      </c>
      <c r="H27" s="57">
        <v>13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15</v>
      </c>
      <c r="Q27" s="129">
        <v>22</v>
      </c>
      <c r="R27" s="57">
        <f t="shared" si="0"/>
        <v>1</v>
      </c>
      <c r="S27" s="27">
        <f t="shared" si="1"/>
        <v>6.6666666666666666E-2</v>
      </c>
      <c r="T27" s="27">
        <f t="shared" si="2"/>
        <v>1.675568122316473E-3</v>
      </c>
      <c r="U27" s="27">
        <f t="shared" si="3"/>
        <v>1.7452006980802793E-3</v>
      </c>
    </row>
    <row r="28" spans="1:23" ht="12.75" customHeight="1" x14ac:dyDescent="0.2">
      <c r="A28" s="32">
        <v>22</v>
      </c>
      <c r="B28" s="18" t="s">
        <v>7</v>
      </c>
      <c r="C28" s="56">
        <v>9</v>
      </c>
      <c r="D28" s="57">
        <v>0</v>
      </c>
      <c r="E28" s="57">
        <v>0</v>
      </c>
      <c r="F28" s="57">
        <v>0</v>
      </c>
      <c r="G28" s="57">
        <v>2</v>
      </c>
      <c r="H28" s="57">
        <v>5</v>
      </c>
      <c r="I28" s="57">
        <v>2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10</v>
      </c>
      <c r="Q28" s="129">
        <v>8</v>
      </c>
      <c r="R28" s="57">
        <f t="shared" si="0"/>
        <v>-1</v>
      </c>
      <c r="S28" s="27">
        <f t="shared" si="1"/>
        <v>-0.1</v>
      </c>
      <c r="T28" s="27">
        <f t="shared" si="2"/>
        <v>9.42507068803016E-4</v>
      </c>
      <c r="U28" s="27">
        <f t="shared" si="3"/>
        <v>1.1634671320535194E-3</v>
      </c>
      <c r="V28" s="21"/>
      <c r="W28" s="21"/>
    </row>
    <row r="29" spans="1:23" ht="12.75" customHeight="1" x14ac:dyDescent="0.2">
      <c r="A29" s="32"/>
      <c r="B29" s="18"/>
      <c r="C29" s="56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129"/>
      <c r="R29" s="57"/>
      <c r="S29" s="27"/>
      <c r="T29" s="27"/>
      <c r="U29" s="27"/>
      <c r="V29" s="21"/>
      <c r="W29" s="21"/>
    </row>
    <row r="30" spans="1:23" ht="16.5" customHeight="1" x14ac:dyDescent="0.2">
      <c r="A30" s="104" t="s">
        <v>1349</v>
      </c>
      <c r="B30" s="105"/>
      <c r="C30" s="106">
        <f>SUBTOTAL(109,Tabla9[ENIS 2022-2023])</f>
        <v>9549</v>
      </c>
      <c r="D30" s="106">
        <f>SUBTOTAL(109,Tabla9[AGO])</f>
        <v>162</v>
      </c>
      <c r="E30" s="106">
        <f>SUBTOTAL(109,Tabla9[SEP])</f>
        <v>1209</v>
      </c>
      <c r="F30" s="106">
        <f>SUBTOTAL(109,Tabla9[OCT])</f>
        <v>2592</v>
      </c>
      <c r="G30" s="106">
        <f>SUBTOTAL(109,Tabla9[NOV])</f>
        <v>3014</v>
      </c>
      <c r="H30" s="106">
        <f>SUBTOTAL(109,Tabla9[DIC])</f>
        <v>2078</v>
      </c>
      <c r="I30" s="106">
        <f>SUBTOTAL(109,Tabla9[ENE])</f>
        <v>473</v>
      </c>
      <c r="J30" s="106">
        <f>SUBTOTAL(109,Tabla9[FEB])</f>
        <v>21</v>
      </c>
      <c r="K30" s="106">
        <f>SUBTOTAL(109,Tabla9[MAR])</f>
        <v>0</v>
      </c>
      <c r="L30" s="106">
        <f>SUBTOTAL(109,Tabla9[ABR])</f>
        <v>0</v>
      </c>
      <c r="M30" s="106">
        <f>SUBTOTAL(109,Tabla9[MAY])</f>
        <v>0</v>
      </c>
      <c r="N30" s="106">
        <f>SUBTOTAL(109,Tabla9[JUN])</f>
        <v>0</v>
      </c>
      <c r="O30" s="106">
        <f>SUBTOTAL(109,Tabla9[JUL])</f>
        <v>0</v>
      </c>
      <c r="P30" s="106">
        <f>SUBTOTAL(109,Tabla9[SUPERFICIE SEMBRADA 2021-2022])</f>
        <v>8595</v>
      </c>
      <c r="Q30" s="132">
        <f>SUBTOTAL(109,Tabla9[ENIS 2021-2022])</f>
        <v>9160</v>
      </c>
      <c r="R30" s="106">
        <f>SUBTOTAL(109,Tabla9[DIF.])</f>
        <v>954</v>
      </c>
      <c r="S30" s="27">
        <f>(C30-P30)/P30</f>
        <v>0.11099476439790576</v>
      </c>
      <c r="T30" s="122">
        <f>SUBTOTAL(109,Tabla9[% ENIS])</f>
        <v>1</v>
      </c>
      <c r="U30" s="122">
        <f>SUBTOTAL(109,Tabla9[%  SUP SEMB])</f>
        <v>1</v>
      </c>
      <c r="V30" s="27"/>
      <c r="W30" s="27"/>
    </row>
    <row r="32" spans="1:23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</row>
    <row r="33" spans="1:21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  <row r="34" spans="1:21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</row>
    <row r="35" spans="1:21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</row>
    <row r="36" spans="1:21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</row>
    <row r="37" spans="1:21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</row>
    <row r="38" spans="1:21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</row>
    <row r="39" spans="1:2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</row>
    <row r="40" spans="1:21" ht="43.5" customHeight="1" x14ac:dyDescent="0.2">
      <c r="A40" s="25"/>
      <c r="B40" s="3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</row>
    <row r="41" spans="1:21" x14ac:dyDescent="0.2">
      <c r="A41" s="139" t="s">
        <v>1310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22"/>
      <c r="Q41" s="22"/>
      <c r="R41" s="22"/>
      <c r="S41" s="22"/>
      <c r="T41" s="22"/>
      <c r="U41" s="22"/>
    </row>
    <row r="42" spans="1:21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</row>
    <row r="43" spans="1:21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21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21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21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21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21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2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2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2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</row>
    <row r="68" spans="1:22" ht="12.75" customHeight="1" x14ac:dyDescent="0.2">
      <c r="B68" s="18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2"/>
      <c r="Q68" s="22"/>
      <c r="R68" s="22"/>
      <c r="S68" s="22"/>
      <c r="T68" s="22"/>
      <c r="U68" s="22"/>
      <c r="V68" s="19"/>
    </row>
    <row r="69" spans="1:22" ht="28.5" customHeight="1" x14ac:dyDescent="0.2">
      <c r="A69" s="82"/>
      <c r="B69" s="88"/>
      <c r="C69" s="82"/>
      <c r="D69" s="160">
        <f>HGA!D4</f>
        <v>2022</v>
      </c>
      <c r="E69" s="160">
        <f>HGA!E4</f>
        <v>0</v>
      </c>
      <c r="F69" s="160">
        <f>HGA!F4</f>
        <v>0</v>
      </c>
      <c r="G69" s="160">
        <f>HGA!G4</f>
        <v>0</v>
      </c>
      <c r="H69" s="160">
        <f>HGA!H4</f>
        <v>0</v>
      </c>
      <c r="I69" s="160">
        <f>HGA!I4</f>
        <v>2023</v>
      </c>
      <c r="J69" s="160">
        <f>HGA!J4</f>
        <v>0</v>
      </c>
      <c r="K69" s="160">
        <f>HGA!K4</f>
        <v>0</v>
      </c>
      <c r="L69" s="160">
        <f>HGA!L4</f>
        <v>0</v>
      </c>
      <c r="M69" s="160">
        <f>HGA!M4</f>
        <v>0</v>
      </c>
      <c r="N69" s="160">
        <f>HGA!N4</f>
        <v>0</v>
      </c>
      <c r="O69" s="160">
        <f>HGA!O4</f>
        <v>0</v>
      </c>
      <c r="P69" s="77"/>
      <c r="Q69" s="125"/>
      <c r="R69" s="77"/>
      <c r="S69" s="77"/>
      <c r="T69" s="77"/>
      <c r="U69" s="77"/>
    </row>
    <row r="70" spans="1:22" ht="25.5" x14ac:dyDescent="0.2">
      <c r="A70" s="87" t="s">
        <v>59</v>
      </c>
      <c r="B70" s="89" t="s">
        <v>10</v>
      </c>
      <c r="C70" s="87" t="s">
        <v>1298</v>
      </c>
      <c r="D70" s="90" t="s">
        <v>12</v>
      </c>
      <c r="E70" s="90" t="s">
        <v>13</v>
      </c>
      <c r="F70" s="90" t="s">
        <v>14</v>
      </c>
      <c r="G70" s="90" t="s">
        <v>15</v>
      </c>
      <c r="H70" s="90" t="s">
        <v>16</v>
      </c>
      <c r="I70" s="90" t="s">
        <v>17</v>
      </c>
      <c r="J70" s="90" t="s">
        <v>18</v>
      </c>
      <c r="K70" s="90" t="s">
        <v>19</v>
      </c>
      <c r="L70" s="90" t="s">
        <v>20</v>
      </c>
      <c r="M70" s="90" t="s">
        <v>21</v>
      </c>
      <c r="N70" s="90" t="s">
        <v>22</v>
      </c>
      <c r="O70" s="90" t="s">
        <v>23</v>
      </c>
      <c r="P70" s="91" t="s">
        <v>1328</v>
      </c>
      <c r="Q70" s="126" t="s">
        <v>1299</v>
      </c>
      <c r="R70" s="118" t="s">
        <v>187</v>
      </c>
      <c r="S70" s="118" t="s">
        <v>1351</v>
      </c>
      <c r="T70" s="82" t="s">
        <v>1352</v>
      </c>
      <c r="U70" s="82" t="s">
        <v>1353</v>
      </c>
    </row>
    <row r="71" spans="1:22" x14ac:dyDescent="0.2">
      <c r="A71" s="32">
        <f t="shared" ref="A71:P71" si="4">A7</f>
        <v>1</v>
      </c>
      <c r="B71" s="18" t="str">
        <f t="shared" si="4"/>
        <v>MAIZ AMILACEO</v>
      </c>
      <c r="C71" s="56">
        <f t="shared" si="4"/>
        <v>2690</v>
      </c>
      <c r="D71" s="57">
        <f t="shared" si="4"/>
        <v>55</v>
      </c>
      <c r="E71" s="57">
        <f t="shared" si="4"/>
        <v>492</v>
      </c>
      <c r="F71" s="57">
        <f t="shared" si="4"/>
        <v>1062</v>
      </c>
      <c r="G71" s="57">
        <f t="shared" si="4"/>
        <v>855</v>
      </c>
      <c r="H71" s="57">
        <f t="shared" si="4"/>
        <v>193</v>
      </c>
      <c r="I71" s="57">
        <f t="shared" si="4"/>
        <v>30</v>
      </c>
      <c r="J71" s="57">
        <f t="shared" si="4"/>
        <v>3</v>
      </c>
      <c r="K71" s="57">
        <f t="shared" si="4"/>
        <v>0</v>
      </c>
      <c r="L71" s="57">
        <f t="shared" si="4"/>
        <v>0</v>
      </c>
      <c r="M71" s="57">
        <f t="shared" si="4"/>
        <v>0</v>
      </c>
      <c r="N71" s="57">
        <f t="shared" si="4"/>
        <v>0</v>
      </c>
      <c r="O71" s="57">
        <f t="shared" si="4"/>
        <v>0</v>
      </c>
      <c r="P71" s="57">
        <f t="shared" si="4"/>
        <v>2975</v>
      </c>
      <c r="Q71" s="129">
        <f t="shared" ref="Q71:U71" si="5">Q7</f>
        <v>2984</v>
      </c>
      <c r="R71" s="57">
        <f t="shared" si="5"/>
        <v>-285</v>
      </c>
      <c r="S71" s="115">
        <f t="shared" si="5"/>
        <v>-9.5798319327731099E-2</v>
      </c>
      <c r="T71" s="115">
        <f t="shared" si="5"/>
        <v>0.28170489056445702</v>
      </c>
      <c r="U71" s="115">
        <f t="shared" si="5"/>
        <v>0.34613147178592207</v>
      </c>
    </row>
    <row r="72" spans="1:22" x14ac:dyDescent="0.2">
      <c r="A72" s="32">
        <f t="shared" ref="A72:P72" si="6">A8</f>
        <v>2</v>
      </c>
      <c r="B72" s="18" t="str">
        <f t="shared" si="6"/>
        <v>CEBADA GRANO</v>
      </c>
      <c r="C72" s="56">
        <f t="shared" si="6"/>
        <v>1274</v>
      </c>
      <c r="D72" s="57">
        <f t="shared" si="6"/>
        <v>0</v>
      </c>
      <c r="E72" s="57">
        <f t="shared" si="6"/>
        <v>0</v>
      </c>
      <c r="F72" s="57">
        <f t="shared" si="6"/>
        <v>12</v>
      </c>
      <c r="G72" s="57">
        <f t="shared" si="6"/>
        <v>354</v>
      </c>
      <c r="H72" s="57">
        <f t="shared" si="6"/>
        <v>703</v>
      </c>
      <c r="I72" s="57">
        <f t="shared" si="6"/>
        <v>205</v>
      </c>
      <c r="J72" s="57">
        <f t="shared" si="6"/>
        <v>0</v>
      </c>
      <c r="K72" s="57">
        <f t="shared" si="6"/>
        <v>0</v>
      </c>
      <c r="L72" s="57">
        <f t="shared" si="6"/>
        <v>0</v>
      </c>
      <c r="M72" s="57">
        <f t="shared" si="6"/>
        <v>0</v>
      </c>
      <c r="N72" s="57">
        <f t="shared" si="6"/>
        <v>0</v>
      </c>
      <c r="O72" s="57">
        <f t="shared" si="6"/>
        <v>0</v>
      </c>
      <c r="P72" s="57">
        <f t="shared" si="6"/>
        <v>1109</v>
      </c>
      <c r="Q72" s="129">
        <f t="shared" ref="Q72:U72" si="7">Q8</f>
        <v>1220</v>
      </c>
      <c r="R72" s="57">
        <f t="shared" si="7"/>
        <v>165</v>
      </c>
      <c r="S72" s="115">
        <f t="shared" si="7"/>
        <v>0.14878268710550044</v>
      </c>
      <c r="T72" s="115">
        <f t="shared" si="7"/>
        <v>0.13341711173944915</v>
      </c>
      <c r="U72" s="115">
        <f t="shared" si="7"/>
        <v>0.12902850494473531</v>
      </c>
    </row>
    <row r="73" spans="1:22" x14ac:dyDescent="0.2">
      <c r="A73" s="32">
        <f t="shared" ref="A73:P73" si="8">A9</f>
        <v>3</v>
      </c>
      <c r="B73" s="18" t="str">
        <f t="shared" si="8"/>
        <v>TRIGO</v>
      </c>
      <c r="C73" s="56">
        <f t="shared" si="8"/>
        <v>1082</v>
      </c>
      <c r="D73" s="57">
        <f t="shared" si="8"/>
        <v>0</v>
      </c>
      <c r="E73" s="57">
        <f t="shared" si="8"/>
        <v>0</v>
      </c>
      <c r="F73" s="57">
        <f t="shared" si="8"/>
        <v>26</v>
      </c>
      <c r="G73" s="57">
        <f t="shared" si="8"/>
        <v>302</v>
      </c>
      <c r="H73" s="57">
        <f t="shared" si="8"/>
        <v>574</v>
      </c>
      <c r="I73" s="57">
        <f t="shared" si="8"/>
        <v>166</v>
      </c>
      <c r="J73" s="57">
        <f t="shared" si="8"/>
        <v>14</v>
      </c>
      <c r="K73" s="57">
        <f t="shared" si="8"/>
        <v>0</v>
      </c>
      <c r="L73" s="57">
        <f t="shared" si="8"/>
        <v>0</v>
      </c>
      <c r="M73" s="57">
        <f t="shared" si="8"/>
        <v>0</v>
      </c>
      <c r="N73" s="57">
        <f t="shared" si="8"/>
        <v>0</v>
      </c>
      <c r="O73" s="57">
        <f t="shared" si="8"/>
        <v>0</v>
      </c>
      <c r="P73" s="57">
        <f t="shared" si="8"/>
        <v>924</v>
      </c>
      <c r="Q73" s="129">
        <f t="shared" ref="Q73:U73" si="9">Q9</f>
        <v>1022</v>
      </c>
      <c r="R73" s="57">
        <f t="shared" si="9"/>
        <v>158</v>
      </c>
      <c r="S73" s="115">
        <f t="shared" si="9"/>
        <v>0.17099567099567101</v>
      </c>
      <c r="T73" s="115">
        <f t="shared" si="9"/>
        <v>0.11331029427165148</v>
      </c>
      <c r="U73" s="115">
        <f t="shared" si="9"/>
        <v>0.10750436300174521</v>
      </c>
    </row>
    <row r="74" spans="1:22" x14ac:dyDescent="0.2">
      <c r="A74" s="32">
        <f t="shared" ref="A74:P74" si="10">A10</f>
        <v>4</v>
      </c>
      <c r="B74" s="18" t="str">
        <f t="shared" si="10"/>
        <v>HABA GRANO SECO</v>
      </c>
      <c r="C74" s="56">
        <f t="shared" si="10"/>
        <v>911</v>
      </c>
      <c r="D74" s="57">
        <f t="shared" si="10"/>
        <v>16</v>
      </c>
      <c r="E74" s="57">
        <f t="shared" si="10"/>
        <v>172</v>
      </c>
      <c r="F74" s="57">
        <f t="shared" si="10"/>
        <v>361</v>
      </c>
      <c r="G74" s="57">
        <f t="shared" si="10"/>
        <v>323</v>
      </c>
      <c r="H74" s="57">
        <f t="shared" si="10"/>
        <v>39</v>
      </c>
      <c r="I74" s="57">
        <f t="shared" si="10"/>
        <v>0</v>
      </c>
      <c r="J74" s="57">
        <f t="shared" si="10"/>
        <v>0</v>
      </c>
      <c r="K74" s="57">
        <f t="shared" si="10"/>
        <v>0</v>
      </c>
      <c r="L74" s="57">
        <f t="shared" si="10"/>
        <v>0</v>
      </c>
      <c r="M74" s="57">
        <f t="shared" si="10"/>
        <v>0</v>
      </c>
      <c r="N74" s="57">
        <f t="shared" si="10"/>
        <v>0</v>
      </c>
      <c r="O74" s="57">
        <f t="shared" si="10"/>
        <v>0</v>
      </c>
      <c r="P74" s="57">
        <f t="shared" si="10"/>
        <v>791</v>
      </c>
      <c r="Q74" s="129">
        <f t="shared" ref="Q74:U74" si="11">Q10</f>
        <v>806</v>
      </c>
      <c r="R74" s="57">
        <f t="shared" si="11"/>
        <v>120</v>
      </c>
      <c r="S74" s="115">
        <f t="shared" si="11"/>
        <v>0.15170670037926676</v>
      </c>
      <c r="T74" s="115">
        <f t="shared" si="11"/>
        <v>9.5402659964394176E-2</v>
      </c>
      <c r="U74" s="115">
        <f t="shared" si="11"/>
        <v>9.2030250145433395E-2</v>
      </c>
    </row>
    <row r="75" spans="1:22" x14ac:dyDescent="0.2">
      <c r="A75" s="32">
        <f t="shared" ref="A75:P75" si="12">A11</f>
        <v>5</v>
      </c>
      <c r="B75" s="18" t="str">
        <f t="shared" si="12"/>
        <v>PAPA BLANCA</v>
      </c>
      <c r="C75" s="56">
        <f t="shared" si="12"/>
        <v>585</v>
      </c>
      <c r="D75" s="57">
        <f t="shared" si="12"/>
        <v>19</v>
      </c>
      <c r="E75" s="57">
        <f t="shared" si="12"/>
        <v>49</v>
      </c>
      <c r="F75" s="57">
        <f t="shared" si="12"/>
        <v>108</v>
      </c>
      <c r="G75" s="57">
        <f t="shared" si="12"/>
        <v>242</v>
      </c>
      <c r="H75" s="57">
        <f t="shared" si="12"/>
        <v>137</v>
      </c>
      <c r="I75" s="57">
        <f t="shared" si="12"/>
        <v>26</v>
      </c>
      <c r="J75" s="57">
        <f t="shared" si="12"/>
        <v>4</v>
      </c>
      <c r="K75" s="57">
        <f t="shared" si="12"/>
        <v>0</v>
      </c>
      <c r="L75" s="57">
        <f t="shared" si="12"/>
        <v>0</v>
      </c>
      <c r="M75" s="57">
        <f t="shared" si="12"/>
        <v>0</v>
      </c>
      <c r="N75" s="57">
        <f t="shared" si="12"/>
        <v>0</v>
      </c>
      <c r="O75" s="57">
        <f t="shared" si="12"/>
        <v>0</v>
      </c>
      <c r="P75" s="57">
        <f t="shared" si="12"/>
        <v>483</v>
      </c>
      <c r="Q75" s="129">
        <f t="shared" ref="Q75:U75" si="13">Q11</f>
        <v>489</v>
      </c>
      <c r="R75" s="57">
        <f t="shared" si="13"/>
        <v>102</v>
      </c>
      <c r="S75" s="115">
        <f t="shared" si="13"/>
        <v>0.21118012422360249</v>
      </c>
      <c r="T75" s="115">
        <f t="shared" si="13"/>
        <v>6.1262959472196045E-2</v>
      </c>
      <c r="U75" s="115">
        <f t="shared" si="13"/>
        <v>5.6195462478184993E-2</v>
      </c>
    </row>
    <row r="76" spans="1:22" x14ac:dyDescent="0.2">
      <c r="A76" s="32">
        <f>A12</f>
        <v>6</v>
      </c>
      <c r="B76" s="18" t="s">
        <v>44</v>
      </c>
      <c r="C76" s="56">
        <f t="shared" ref="C76:P76" si="14">SUM(C12:C28)</f>
        <v>3007</v>
      </c>
      <c r="D76" s="56">
        <f t="shared" si="14"/>
        <v>72</v>
      </c>
      <c r="E76" s="56">
        <f t="shared" si="14"/>
        <v>496</v>
      </c>
      <c r="F76" s="56">
        <f t="shared" si="14"/>
        <v>1023</v>
      </c>
      <c r="G76" s="56">
        <f t="shared" si="14"/>
        <v>938</v>
      </c>
      <c r="H76" s="56">
        <f t="shared" si="14"/>
        <v>432</v>
      </c>
      <c r="I76" s="56">
        <f t="shared" si="14"/>
        <v>46</v>
      </c>
      <c r="J76" s="56">
        <f t="shared" si="14"/>
        <v>0</v>
      </c>
      <c r="K76" s="56">
        <f t="shared" si="14"/>
        <v>0</v>
      </c>
      <c r="L76" s="56">
        <f t="shared" si="14"/>
        <v>0</v>
      </c>
      <c r="M76" s="56">
        <f t="shared" si="14"/>
        <v>0</v>
      </c>
      <c r="N76" s="56">
        <f t="shared" si="14"/>
        <v>0</v>
      </c>
      <c r="O76" s="56">
        <f t="shared" si="14"/>
        <v>0</v>
      </c>
      <c r="P76" s="56">
        <f t="shared" si="14"/>
        <v>2313</v>
      </c>
      <c r="Q76" s="129"/>
      <c r="R76" s="57"/>
      <c r="S76" s="115"/>
      <c r="T76" s="115"/>
      <c r="U76" s="115"/>
    </row>
    <row r="77" spans="1:22" x14ac:dyDescent="0.2">
      <c r="A77" s="19" t="s">
        <v>1349</v>
      </c>
      <c r="B77" s="105"/>
      <c r="C77" s="106">
        <f>SUBTOTAL(109,Tabla19[ENIS 2022-2023])</f>
        <v>9549</v>
      </c>
      <c r="D77" s="106">
        <f>SUBTOTAL(109,Tabla19[AGO])</f>
        <v>162</v>
      </c>
      <c r="E77" s="106">
        <f>SUBTOTAL(109,Tabla19[SEP])</f>
        <v>1209</v>
      </c>
      <c r="F77" s="106">
        <f>SUBTOTAL(109,Tabla19[OCT])</f>
        <v>2592</v>
      </c>
      <c r="G77" s="106">
        <f>SUBTOTAL(109,Tabla19[NOV])</f>
        <v>3014</v>
      </c>
      <c r="H77" s="106">
        <f>SUBTOTAL(109,Tabla19[DIC])</f>
        <v>2078</v>
      </c>
      <c r="I77" s="106">
        <f>SUBTOTAL(109,Tabla19[ENE])</f>
        <v>473</v>
      </c>
      <c r="J77" s="106">
        <f>SUBTOTAL(109,Tabla19[FEB])</f>
        <v>21</v>
      </c>
      <c r="K77" s="106">
        <f>SUBTOTAL(109,Tabla19[MAR])</f>
        <v>0</v>
      </c>
      <c r="L77" s="106">
        <f>SUBTOTAL(109,Tabla19[ABR])</f>
        <v>0</v>
      </c>
      <c r="M77" s="106">
        <f>SUBTOTAL(109,Tabla19[MAY])</f>
        <v>0</v>
      </c>
      <c r="N77" s="106">
        <f>SUBTOTAL(109,Tabla19[JUN])</f>
        <v>0</v>
      </c>
      <c r="O77" s="106">
        <f>SUBTOTAL(109,Tabla19[JUL])</f>
        <v>0</v>
      </c>
      <c r="P77" s="106">
        <f>SUBTOTAL(109,Tabla19[SUPERFICIE SEMBRADA 2021-2022])</f>
        <v>8595</v>
      </c>
      <c r="Q77" s="130"/>
      <c r="R77" s="104"/>
      <c r="S77" s="119"/>
      <c r="T77" s="119"/>
      <c r="U77" s="119"/>
    </row>
    <row r="78" spans="1:22" ht="61.5" customHeight="1" x14ac:dyDescent="0.2"/>
    <row r="80" spans="1:22" x14ac:dyDescent="0.2">
      <c r="B80" s="139" t="s">
        <v>1319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22"/>
      <c r="R80" s="22"/>
      <c r="S80" s="22"/>
      <c r="T80" s="22"/>
      <c r="U80" s="22"/>
    </row>
  </sheetData>
  <mergeCells count="8">
    <mergeCell ref="B80:P80"/>
    <mergeCell ref="A1:O1"/>
    <mergeCell ref="D4:H4"/>
    <mergeCell ref="I4:O4"/>
    <mergeCell ref="A41:O41"/>
    <mergeCell ref="D69:H69"/>
    <mergeCell ref="I69:O69"/>
    <mergeCell ref="A2:W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0CA8-CF98-42BB-B8CA-88C84C1E6A3F}">
  <dimension ref="A1:AN109"/>
  <sheetViews>
    <sheetView showGridLines="0" zoomScaleNormal="100" workbookViewId="0">
      <selection activeCell="L28" sqref="L28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2" width="10.7109375" style="23" customWidth="1"/>
    <col min="23" max="23" width="10.7109375" style="19" customWidth="1"/>
    <col min="24" max="16384" width="11.42578125" style="21"/>
  </cols>
  <sheetData>
    <row r="1" spans="1:23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</row>
    <row r="2" spans="1:23" x14ac:dyDescent="0.2">
      <c r="A2" s="159" t="s">
        <v>1363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</row>
    <row r="5" spans="1:23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3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3" ht="12.75" customHeight="1" x14ac:dyDescent="0.2">
      <c r="A7" s="32">
        <v>1</v>
      </c>
      <c r="B7" s="18" t="s">
        <v>5</v>
      </c>
      <c r="C7" s="56">
        <v>2057</v>
      </c>
      <c r="D7" s="57">
        <v>0</v>
      </c>
      <c r="E7" s="57">
        <v>168</v>
      </c>
      <c r="F7" s="57">
        <v>983</v>
      </c>
      <c r="G7" s="57">
        <v>789</v>
      </c>
      <c r="H7" s="57">
        <v>117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2155</v>
      </c>
      <c r="Q7" s="129">
        <v>2057</v>
      </c>
      <c r="R7" s="57">
        <f t="shared" ref="R7:R25" si="0">C7-P7</f>
        <v>-98</v>
      </c>
      <c r="S7" s="27">
        <f t="shared" ref="S7:S26" si="1">(C7-P7)/P7</f>
        <v>-4.5475638051044084E-2</v>
      </c>
      <c r="T7" s="27">
        <f t="shared" ref="T7:T25" si="2">C7/$C$26</f>
        <v>0.21552808046940486</v>
      </c>
      <c r="U7" s="27">
        <f t="shared" ref="U7:U25" si="3">P7/$P$26</f>
        <v>0.21895956106482423</v>
      </c>
    </row>
    <row r="8" spans="1:23" ht="12.75" customHeight="1" x14ac:dyDescent="0.2">
      <c r="A8" s="32">
        <v>2</v>
      </c>
      <c r="B8" s="18" t="s">
        <v>189</v>
      </c>
      <c r="C8" s="56">
        <v>2027</v>
      </c>
      <c r="D8" s="57">
        <v>20</v>
      </c>
      <c r="E8" s="57">
        <v>361</v>
      </c>
      <c r="F8" s="57">
        <v>742</v>
      </c>
      <c r="G8" s="57">
        <v>666</v>
      </c>
      <c r="H8" s="57">
        <v>198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40</v>
      </c>
      <c r="P8" s="57">
        <v>1966</v>
      </c>
      <c r="Q8" s="129">
        <v>1954</v>
      </c>
      <c r="R8" s="57">
        <f t="shared" si="0"/>
        <v>61</v>
      </c>
      <c r="S8" s="27">
        <f t="shared" si="1"/>
        <v>3.1027466937945065E-2</v>
      </c>
      <c r="T8" s="27">
        <f t="shared" si="2"/>
        <v>0.21238474434199497</v>
      </c>
      <c r="U8" s="27">
        <f t="shared" si="3"/>
        <v>0.19975614712456818</v>
      </c>
    </row>
    <row r="9" spans="1:23" ht="12.75" customHeight="1" x14ac:dyDescent="0.2">
      <c r="A9" s="32">
        <v>3</v>
      </c>
      <c r="B9" s="18" t="s">
        <v>190</v>
      </c>
      <c r="C9" s="56">
        <v>1245</v>
      </c>
      <c r="D9" s="57">
        <v>0</v>
      </c>
      <c r="E9" s="57">
        <v>27</v>
      </c>
      <c r="F9" s="57">
        <v>387</v>
      </c>
      <c r="G9" s="57">
        <v>556</v>
      </c>
      <c r="H9" s="57">
        <v>264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7</v>
      </c>
      <c r="O9" s="57">
        <v>4</v>
      </c>
      <c r="P9" s="57">
        <v>1268</v>
      </c>
      <c r="Q9" s="129">
        <v>1242</v>
      </c>
      <c r="R9" s="57">
        <f t="shared" si="0"/>
        <v>-23</v>
      </c>
      <c r="S9" s="27">
        <f t="shared" si="1"/>
        <v>-1.8138801261829655E-2</v>
      </c>
      <c r="T9" s="27">
        <f t="shared" si="2"/>
        <v>0.13044844928751048</v>
      </c>
      <c r="U9" s="27">
        <f t="shared" si="3"/>
        <v>0.12883560251981305</v>
      </c>
    </row>
    <row r="10" spans="1:23" ht="12.75" customHeight="1" x14ac:dyDescent="0.2">
      <c r="A10" s="32">
        <v>4</v>
      </c>
      <c r="B10" s="18" t="s">
        <v>1</v>
      </c>
      <c r="C10" s="56">
        <v>1172</v>
      </c>
      <c r="D10" s="57">
        <v>0</v>
      </c>
      <c r="E10" s="57">
        <v>57</v>
      </c>
      <c r="F10" s="57">
        <v>244</v>
      </c>
      <c r="G10" s="57">
        <v>386</v>
      </c>
      <c r="H10" s="57">
        <v>395</v>
      </c>
      <c r="I10" s="57">
        <v>90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1545</v>
      </c>
      <c r="Q10" s="129">
        <v>1270</v>
      </c>
      <c r="R10" s="57">
        <f t="shared" si="0"/>
        <v>-373</v>
      </c>
      <c r="S10" s="27">
        <f t="shared" si="1"/>
        <v>-0.24142394822006472</v>
      </c>
      <c r="T10" s="27">
        <f t="shared" si="2"/>
        <v>0.12279966471081308</v>
      </c>
      <c r="U10" s="27">
        <f t="shared" si="3"/>
        <v>0.15698028855923593</v>
      </c>
    </row>
    <row r="11" spans="1:23" ht="12.75" customHeight="1" x14ac:dyDescent="0.2">
      <c r="A11" s="32">
        <v>5</v>
      </c>
      <c r="B11" s="18" t="s">
        <v>192</v>
      </c>
      <c r="C11" s="56">
        <v>740</v>
      </c>
      <c r="D11" s="57">
        <v>0</v>
      </c>
      <c r="E11" s="57">
        <v>13</v>
      </c>
      <c r="F11" s="57">
        <v>146</v>
      </c>
      <c r="G11" s="57">
        <v>347</v>
      </c>
      <c r="H11" s="57">
        <v>234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755</v>
      </c>
      <c r="Q11" s="129">
        <v>805</v>
      </c>
      <c r="R11" s="57">
        <f t="shared" si="0"/>
        <v>-15</v>
      </c>
      <c r="S11" s="27">
        <f t="shared" si="1"/>
        <v>-1.9867549668874173E-2</v>
      </c>
      <c r="T11" s="27">
        <f t="shared" si="2"/>
        <v>7.7535624476110648E-2</v>
      </c>
      <c r="U11" s="27">
        <f t="shared" si="3"/>
        <v>7.6712050396260917E-2</v>
      </c>
    </row>
    <row r="12" spans="1:23" ht="12.75" customHeight="1" x14ac:dyDescent="0.2">
      <c r="A12" s="32">
        <v>6</v>
      </c>
      <c r="B12" s="18" t="s">
        <v>191</v>
      </c>
      <c r="C12" s="56">
        <v>544</v>
      </c>
      <c r="D12" s="57">
        <v>7</v>
      </c>
      <c r="E12" s="57">
        <v>30</v>
      </c>
      <c r="F12" s="57">
        <v>107</v>
      </c>
      <c r="G12" s="57">
        <v>271</v>
      </c>
      <c r="H12" s="57">
        <v>118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5</v>
      </c>
      <c r="O12" s="57">
        <v>6</v>
      </c>
      <c r="P12" s="57">
        <v>513</v>
      </c>
      <c r="Q12" s="129">
        <v>476</v>
      </c>
      <c r="R12" s="57">
        <f t="shared" si="0"/>
        <v>31</v>
      </c>
      <c r="S12" s="27">
        <f t="shared" si="1"/>
        <v>6.042884990253411E-2</v>
      </c>
      <c r="T12" s="27">
        <f t="shared" si="2"/>
        <v>5.6999161777032688E-2</v>
      </c>
      <c r="U12" s="27">
        <f t="shared" si="3"/>
        <v>5.2123552123552123E-2</v>
      </c>
    </row>
    <row r="13" spans="1:23" ht="12.75" customHeight="1" x14ac:dyDescent="0.2">
      <c r="A13" s="32">
        <v>7</v>
      </c>
      <c r="B13" s="18" t="s">
        <v>3</v>
      </c>
      <c r="C13" s="56">
        <v>431</v>
      </c>
      <c r="D13" s="57">
        <v>0</v>
      </c>
      <c r="E13" s="57">
        <v>31</v>
      </c>
      <c r="F13" s="57">
        <v>177</v>
      </c>
      <c r="G13" s="57">
        <v>181</v>
      </c>
      <c r="H13" s="57">
        <v>42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456</v>
      </c>
      <c r="Q13" s="129">
        <v>476</v>
      </c>
      <c r="R13" s="57">
        <f t="shared" si="0"/>
        <v>-25</v>
      </c>
      <c r="S13" s="27">
        <f t="shared" si="1"/>
        <v>-5.4824561403508769E-2</v>
      </c>
      <c r="T13" s="27">
        <f t="shared" si="2"/>
        <v>4.5159262363788769E-2</v>
      </c>
      <c r="U13" s="27">
        <f t="shared" si="3"/>
        <v>4.633204633204633E-2</v>
      </c>
    </row>
    <row r="14" spans="1:23" ht="12.75" customHeight="1" x14ac:dyDescent="0.2">
      <c r="A14" s="32">
        <v>8</v>
      </c>
      <c r="B14" s="18" t="s">
        <v>193</v>
      </c>
      <c r="C14" s="56">
        <v>381</v>
      </c>
      <c r="D14" s="57">
        <v>0</v>
      </c>
      <c r="E14" s="57">
        <v>7</v>
      </c>
      <c r="F14" s="57">
        <v>111</v>
      </c>
      <c r="G14" s="57">
        <v>178</v>
      </c>
      <c r="H14" s="57">
        <v>79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6</v>
      </c>
      <c r="O14" s="57">
        <v>0</v>
      </c>
      <c r="P14" s="57">
        <v>355</v>
      </c>
      <c r="Q14" s="129">
        <v>334</v>
      </c>
      <c r="R14" s="57">
        <f t="shared" si="0"/>
        <v>26</v>
      </c>
      <c r="S14" s="27">
        <f t="shared" si="1"/>
        <v>7.3239436619718309E-2</v>
      </c>
      <c r="T14" s="27">
        <f t="shared" si="2"/>
        <v>3.9920368818105616E-2</v>
      </c>
      <c r="U14" s="27">
        <f t="shared" si="3"/>
        <v>3.6069904490957122E-2</v>
      </c>
    </row>
    <row r="15" spans="1:23" ht="12.75" customHeight="1" x14ac:dyDescent="0.2">
      <c r="A15" s="32">
        <v>9</v>
      </c>
      <c r="B15" s="18" t="s">
        <v>4</v>
      </c>
      <c r="C15" s="56">
        <v>210</v>
      </c>
      <c r="D15" s="57">
        <v>0</v>
      </c>
      <c r="E15" s="57">
        <v>17</v>
      </c>
      <c r="F15" s="57">
        <v>102</v>
      </c>
      <c r="G15" s="57">
        <v>83</v>
      </c>
      <c r="H15" s="57">
        <v>8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207</v>
      </c>
      <c r="Q15" s="129">
        <v>223</v>
      </c>
      <c r="R15" s="57">
        <f t="shared" si="0"/>
        <v>3</v>
      </c>
      <c r="S15" s="27">
        <f t="shared" si="1"/>
        <v>1.4492753623188406E-2</v>
      </c>
      <c r="T15" s="27">
        <f t="shared" si="2"/>
        <v>2.2003352891869239E-2</v>
      </c>
      <c r="U15" s="27">
        <f t="shared" si="3"/>
        <v>2.1032310505994717E-2</v>
      </c>
    </row>
    <row r="16" spans="1:23" ht="12.75" customHeight="1" x14ac:dyDescent="0.2">
      <c r="A16" s="32">
        <v>10</v>
      </c>
      <c r="B16" s="18" t="s">
        <v>0</v>
      </c>
      <c r="C16" s="56">
        <v>170</v>
      </c>
      <c r="D16" s="57">
        <v>0</v>
      </c>
      <c r="E16" s="57">
        <v>9</v>
      </c>
      <c r="F16" s="57">
        <v>57</v>
      </c>
      <c r="G16" s="57">
        <v>70</v>
      </c>
      <c r="H16" s="57">
        <v>30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4</v>
      </c>
      <c r="P16" s="57">
        <v>175</v>
      </c>
      <c r="Q16" s="129">
        <v>192</v>
      </c>
      <c r="R16" s="57">
        <f t="shared" si="0"/>
        <v>-5</v>
      </c>
      <c r="S16" s="27">
        <f t="shared" si="1"/>
        <v>-2.8571428571428571E-2</v>
      </c>
      <c r="T16" s="27">
        <f t="shared" si="2"/>
        <v>1.7812238055322716E-2</v>
      </c>
      <c r="U16" s="27">
        <f t="shared" si="3"/>
        <v>1.7780938833570414E-2</v>
      </c>
    </row>
    <row r="17" spans="1:23" ht="12.75" customHeight="1" x14ac:dyDescent="0.2">
      <c r="A17" s="32">
        <v>11</v>
      </c>
      <c r="B17" s="18" t="s">
        <v>174</v>
      </c>
      <c r="C17" s="56">
        <v>138</v>
      </c>
      <c r="D17" s="57">
        <v>0</v>
      </c>
      <c r="E17" s="57">
        <v>8</v>
      </c>
      <c r="F17" s="57">
        <v>72</v>
      </c>
      <c r="G17" s="57">
        <v>51</v>
      </c>
      <c r="H17" s="57">
        <v>7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144</v>
      </c>
      <c r="Q17" s="129">
        <v>150</v>
      </c>
      <c r="R17" s="57">
        <f t="shared" si="0"/>
        <v>-6</v>
      </c>
      <c r="S17" s="27">
        <f t="shared" si="1"/>
        <v>-4.1666666666666664E-2</v>
      </c>
      <c r="T17" s="27">
        <f t="shared" si="2"/>
        <v>1.4459346186085499E-2</v>
      </c>
      <c r="U17" s="27">
        <f t="shared" si="3"/>
        <v>1.4631172525909368E-2</v>
      </c>
    </row>
    <row r="18" spans="1:23" ht="12.75" customHeight="1" x14ac:dyDescent="0.2">
      <c r="A18" s="32">
        <v>12</v>
      </c>
      <c r="B18" s="18" t="s">
        <v>173</v>
      </c>
      <c r="C18" s="56">
        <v>138</v>
      </c>
      <c r="D18" s="57">
        <v>0</v>
      </c>
      <c r="E18" s="57">
        <v>9</v>
      </c>
      <c r="F18" s="57">
        <v>69</v>
      </c>
      <c r="G18" s="57">
        <v>50</v>
      </c>
      <c r="H18" s="57">
        <v>10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141</v>
      </c>
      <c r="Q18" s="129">
        <v>150</v>
      </c>
      <c r="R18" s="57">
        <f t="shared" si="0"/>
        <v>-3</v>
      </c>
      <c r="S18" s="27">
        <f t="shared" si="1"/>
        <v>-2.1276595744680851E-2</v>
      </c>
      <c r="T18" s="27">
        <f t="shared" si="2"/>
        <v>1.4459346186085499E-2</v>
      </c>
      <c r="U18" s="27">
        <f t="shared" si="3"/>
        <v>1.4326356431619589E-2</v>
      </c>
    </row>
    <row r="19" spans="1:23" ht="12.75" customHeight="1" x14ac:dyDescent="0.2">
      <c r="A19" s="32">
        <v>13</v>
      </c>
      <c r="B19" s="18" t="s">
        <v>2</v>
      </c>
      <c r="C19" s="56">
        <v>89</v>
      </c>
      <c r="D19" s="57">
        <v>0</v>
      </c>
      <c r="E19" s="57">
        <v>2</v>
      </c>
      <c r="F19" s="57">
        <v>7</v>
      </c>
      <c r="G19" s="57">
        <v>38</v>
      </c>
      <c r="H19" s="57">
        <v>34</v>
      </c>
      <c r="I19" s="57">
        <v>8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74</v>
      </c>
      <c r="Q19" s="129">
        <v>83</v>
      </c>
      <c r="R19" s="57">
        <f t="shared" si="0"/>
        <v>15</v>
      </c>
      <c r="S19" s="27">
        <f t="shared" si="1"/>
        <v>0.20270270270270271</v>
      </c>
      <c r="T19" s="27">
        <f t="shared" si="2"/>
        <v>9.3252305113160107E-3</v>
      </c>
      <c r="U19" s="27">
        <f t="shared" si="3"/>
        <v>7.5187969924812026E-3</v>
      </c>
    </row>
    <row r="20" spans="1:23" ht="12.75" customHeight="1" x14ac:dyDescent="0.2">
      <c r="A20" s="32">
        <v>14</v>
      </c>
      <c r="B20" s="18" t="s">
        <v>175</v>
      </c>
      <c r="C20" s="56">
        <v>58</v>
      </c>
      <c r="D20" s="57">
        <v>0</v>
      </c>
      <c r="E20" s="57">
        <v>3</v>
      </c>
      <c r="F20" s="57">
        <v>21</v>
      </c>
      <c r="G20" s="57">
        <v>20</v>
      </c>
      <c r="H20" s="57">
        <v>12</v>
      </c>
      <c r="I20" s="57">
        <v>2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32</v>
      </c>
      <c r="Q20" s="129">
        <v>34</v>
      </c>
      <c r="R20" s="57">
        <f t="shared" si="0"/>
        <v>26</v>
      </c>
      <c r="S20" s="27">
        <f t="shared" si="1"/>
        <v>0.8125</v>
      </c>
      <c r="T20" s="27">
        <f t="shared" si="2"/>
        <v>6.0771165129924563E-3</v>
      </c>
      <c r="U20" s="27">
        <f t="shared" si="3"/>
        <v>3.251371672424304E-3</v>
      </c>
    </row>
    <row r="21" spans="1:23" ht="12.75" customHeight="1" x14ac:dyDescent="0.2">
      <c r="A21" s="32">
        <v>15</v>
      </c>
      <c r="B21" s="18" t="s">
        <v>200</v>
      </c>
      <c r="C21" s="56">
        <v>45</v>
      </c>
      <c r="D21" s="57">
        <v>0</v>
      </c>
      <c r="E21" s="57">
        <v>0</v>
      </c>
      <c r="F21" s="57">
        <v>10</v>
      </c>
      <c r="G21" s="57">
        <v>25</v>
      </c>
      <c r="H21" s="57">
        <v>10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129">
        <v>45</v>
      </c>
      <c r="R21" s="57">
        <f t="shared" si="0"/>
        <v>45</v>
      </c>
      <c r="S21" s="27" t="e">
        <f t="shared" si="1"/>
        <v>#DIV/0!</v>
      </c>
      <c r="T21" s="27">
        <f t="shared" si="2"/>
        <v>4.7150041911148367E-3</v>
      </c>
      <c r="U21" s="27">
        <f t="shared" si="3"/>
        <v>0</v>
      </c>
      <c r="V21" s="21"/>
      <c r="W21" s="21"/>
    </row>
    <row r="22" spans="1:23" ht="12.75" customHeight="1" x14ac:dyDescent="0.2">
      <c r="A22" s="32">
        <v>16</v>
      </c>
      <c r="B22" s="18" t="s">
        <v>194</v>
      </c>
      <c r="C22" s="56">
        <v>40</v>
      </c>
      <c r="D22" s="57">
        <v>28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7</v>
      </c>
      <c r="O22" s="57">
        <v>5</v>
      </c>
      <c r="P22" s="57">
        <v>19</v>
      </c>
      <c r="Q22" s="129">
        <v>38</v>
      </c>
      <c r="R22" s="57">
        <f t="shared" si="0"/>
        <v>21</v>
      </c>
      <c r="S22" s="27">
        <f t="shared" si="1"/>
        <v>1.1052631578947369</v>
      </c>
      <c r="T22" s="27">
        <f t="shared" si="2"/>
        <v>4.1911148365465214E-3</v>
      </c>
      <c r="U22" s="27">
        <f t="shared" si="3"/>
        <v>1.9305019305019305E-3</v>
      </c>
    </row>
    <row r="23" spans="1:23" ht="12.75" customHeight="1" x14ac:dyDescent="0.2">
      <c r="A23" s="32">
        <v>17</v>
      </c>
      <c r="B23" s="18" t="s">
        <v>196</v>
      </c>
      <c r="C23" s="56">
        <v>36</v>
      </c>
      <c r="D23" s="57">
        <v>27</v>
      </c>
      <c r="E23" s="57">
        <v>2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2</v>
      </c>
      <c r="O23" s="57">
        <v>5</v>
      </c>
      <c r="P23" s="57">
        <v>20</v>
      </c>
      <c r="Q23" s="129">
        <v>32</v>
      </c>
      <c r="R23" s="57">
        <f t="shared" si="0"/>
        <v>16</v>
      </c>
      <c r="S23" s="27">
        <f t="shared" si="1"/>
        <v>0.8</v>
      </c>
      <c r="T23" s="27">
        <f t="shared" si="2"/>
        <v>3.7720033528918693E-3</v>
      </c>
      <c r="U23" s="27">
        <f t="shared" si="3"/>
        <v>2.0321072952651899E-3</v>
      </c>
    </row>
    <row r="24" spans="1:23" ht="12.75" customHeight="1" x14ac:dyDescent="0.2">
      <c r="A24" s="32">
        <v>18</v>
      </c>
      <c r="B24" s="18" t="s">
        <v>197</v>
      </c>
      <c r="C24" s="56">
        <v>13</v>
      </c>
      <c r="D24" s="57">
        <v>0</v>
      </c>
      <c r="E24" s="57">
        <v>0</v>
      </c>
      <c r="F24" s="57">
        <v>0</v>
      </c>
      <c r="G24" s="57">
        <v>5</v>
      </c>
      <c r="H24" s="57">
        <v>7</v>
      </c>
      <c r="I24" s="57">
        <v>1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9</v>
      </c>
      <c r="Q24" s="129">
        <v>9</v>
      </c>
      <c r="R24" s="57">
        <f t="shared" si="0"/>
        <v>4</v>
      </c>
      <c r="S24" s="27">
        <f t="shared" si="1"/>
        <v>0.44444444444444442</v>
      </c>
      <c r="T24" s="27">
        <f t="shared" si="2"/>
        <v>1.3621123218776194E-3</v>
      </c>
      <c r="U24" s="27">
        <f t="shared" si="3"/>
        <v>9.1444828286933548E-4</v>
      </c>
    </row>
    <row r="25" spans="1:23" ht="12.75" customHeight="1" x14ac:dyDescent="0.2">
      <c r="A25" s="32">
        <v>19</v>
      </c>
      <c r="B25" s="18" t="s">
        <v>195</v>
      </c>
      <c r="C25" s="56">
        <v>10</v>
      </c>
      <c r="D25" s="57">
        <v>8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1</v>
      </c>
      <c r="O25" s="57">
        <v>1</v>
      </c>
      <c r="P25" s="57">
        <v>8</v>
      </c>
      <c r="Q25" s="129">
        <v>13</v>
      </c>
      <c r="R25" s="57">
        <f t="shared" si="0"/>
        <v>2</v>
      </c>
      <c r="S25" s="27">
        <f t="shared" si="1"/>
        <v>0.25</v>
      </c>
      <c r="T25" s="27">
        <f t="shared" si="2"/>
        <v>1.0477787091366304E-3</v>
      </c>
      <c r="U25" s="27">
        <f t="shared" si="3"/>
        <v>8.1284291810607601E-4</v>
      </c>
    </row>
    <row r="26" spans="1:23" ht="16.5" customHeight="1" x14ac:dyDescent="0.2">
      <c r="A26" s="104" t="s">
        <v>1349</v>
      </c>
      <c r="B26" s="105"/>
      <c r="C26" s="106">
        <f>SUBTOTAL(109,Tabla10[ENIS 2022-2023])</f>
        <v>9544</v>
      </c>
      <c r="D26" s="106">
        <f>SUBTOTAL(109,Tabla10[AGO])</f>
        <v>90</v>
      </c>
      <c r="E26" s="106">
        <f>SUBTOTAL(109,Tabla10[SEP])</f>
        <v>744</v>
      </c>
      <c r="F26" s="106">
        <f>SUBTOTAL(109,Tabla10[OCT])</f>
        <v>3235</v>
      </c>
      <c r="G26" s="106">
        <f>SUBTOTAL(109,Tabla10[NOV])</f>
        <v>3716</v>
      </c>
      <c r="H26" s="106">
        <f>SUBTOTAL(109,Tabla10[DIC])</f>
        <v>1565</v>
      </c>
      <c r="I26" s="106">
        <f>SUBTOTAL(109,Tabla10[ENE])</f>
        <v>101</v>
      </c>
      <c r="J26" s="106">
        <f>SUBTOTAL(109,Tabla10[FEB])</f>
        <v>0</v>
      </c>
      <c r="K26" s="106">
        <f>SUBTOTAL(109,Tabla10[MAR])</f>
        <v>0</v>
      </c>
      <c r="L26" s="106">
        <f>SUBTOTAL(109,Tabla10[ABR])</f>
        <v>0</v>
      </c>
      <c r="M26" s="106">
        <f>SUBTOTAL(109,Tabla10[MAY])</f>
        <v>0</v>
      </c>
      <c r="N26" s="106">
        <f>SUBTOTAL(109,Tabla10[JUN])</f>
        <v>28</v>
      </c>
      <c r="O26" s="106">
        <f>SUBTOTAL(109,Tabla10[JUL])</f>
        <v>65</v>
      </c>
      <c r="P26" s="106">
        <f>SUBTOTAL(109,Tabla10[SUPERFICIE SEMBRADA 2021-2022])</f>
        <v>9842</v>
      </c>
      <c r="Q26" s="132">
        <f>SUBTOTAL(109,Tabla10[ENIS 2021-2022])</f>
        <v>9583</v>
      </c>
      <c r="R26" s="106">
        <f>SUBTOTAL(109,Tabla10[DIF.])</f>
        <v>-298</v>
      </c>
      <c r="S26" s="27">
        <f t="shared" si="1"/>
        <v>-3.0278398699451332E-2</v>
      </c>
      <c r="T26" s="122">
        <f>SUBTOTAL(109,Tabla10[% ENIS])</f>
        <v>1</v>
      </c>
      <c r="U26" s="122">
        <f>SUBTOTAL(109,Tabla10[%  SUP SEMB])</f>
        <v>1.0000000000000002</v>
      </c>
      <c r="V26" s="27"/>
      <c r="W26" s="27"/>
    </row>
    <row r="28" spans="1:23" x14ac:dyDescent="0.2">
      <c r="A28" s="25"/>
      <c r="B28" s="30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3" x14ac:dyDescent="0.2">
      <c r="A29" s="25"/>
      <c r="B29" s="3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</row>
    <row r="30" spans="1:23" x14ac:dyDescent="0.2">
      <c r="A30" s="25"/>
      <c r="B30" s="3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</row>
    <row r="31" spans="1:23" x14ac:dyDescent="0.2">
      <c r="A31" s="25"/>
      <c r="B31" s="30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</row>
    <row r="32" spans="1:23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</row>
    <row r="33" spans="1:21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  <row r="34" spans="1:21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</row>
    <row r="35" spans="1:21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</row>
    <row r="36" spans="1:21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</row>
    <row r="37" spans="1:21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</row>
    <row r="38" spans="1:21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</row>
    <row r="39" spans="1:21" ht="43.5" customHeight="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</row>
    <row r="40" spans="1:21" x14ac:dyDescent="0.2">
      <c r="A40" s="152" t="s">
        <v>1311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22"/>
      <c r="Q40" s="22"/>
      <c r="R40" s="22"/>
      <c r="S40" s="22"/>
      <c r="T40" s="22"/>
      <c r="U40" s="22"/>
    </row>
    <row r="41" spans="1:21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</row>
    <row r="42" spans="1:21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</row>
    <row r="43" spans="1:21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21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21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21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21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21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1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1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1" ht="12.75" customHeight="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</row>
    <row r="68" spans="1:21" ht="28.5" customHeight="1" x14ac:dyDescent="0.2">
      <c r="A68" s="82"/>
      <c r="B68" s="88"/>
      <c r="C68" s="82"/>
      <c r="D68" s="160">
        <f>HGA!D4</f>
        <v>2022</v>
      </c>
      <c r="E68" s="160">
        <f>HGA!E4</f>
        <v>0</v>
      </c>
      <c r="F68" s="160">
        <f>HGA!F4</f>
        <v>0</v>
      </c>
      <c r="G68" s="160">
        <f>HGA!G4</f>
        <v>0</v>
      </c>
      <c r="H68" s="160">
        <f>HGA!H4</f>
        <v>0</v>
      </c>
      <c r="I68" s="160">
        <f>HGA!I4</f>
        <v>2023</v>
      </c>
      <c r="J68" s="160">
        <f>HGA!J4</f>
        <v>0</v>
      </c>
      <c r="K68" s="160">
        <f>HGA!K4</f>
        <v>0</v>
      </c>
      <c r="L68" s="160">
        <f>HGA!L4</f>
        <v>0</v>
      </c>
      <c r="M68" s="160">
        <f>HGA!M4</f>
        <v>0</v>
      </c>
      <c r="N68" s="160">
        <f>HGA!N4</f>
        <v>0</v>
      </c>
      <c r="O68" s="160">
        <f>HGA!O4</f>
        <v>0</v>
      </c>
      <c r="P68" s="77"/>
      <c r="Q68" s="125"/>
      <c r="R68" s="77"/>
      <c r="S68" s="77"/>
      <c r="T68" s="77"/>
      <c r="U68" s="77"/>
    </row>
    <row r="69" spans="1:21" ht="25.5" x14ac:dyDescent="0.2">
      <c r="A69" s="87" t="s">
        <v>59</v>
      </c>
      <c r="B69" s="89" t="s">
        <v>10</v>
      </c>
      <c r="C69" s="87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118" t="s">
        <v>187</v>
      </c>
      <c r="S69" s="118" t="s">
        <v>1351</v>
      </c>
      <c r="T69" s="82" t="s">
        <v>1352</v>
      </c>
      <c r="U69" s="82" t="s">
        <v>1353</v>
      </c>
    </row>
    <row r="70" spans="1:21" x14ac:dyDescent="0.2">
      <c r="A70" s="32">
        <f t="shared" ref="A70:P70" si="4">A7</f>
        <v>1</v>
      </c>
      <c r="B70" s="18" t="str">
        <f t="shared" si="4"/>
        <v>QUINUA</v>
      </c>
      <c r="C70" s="56">
        <f t="shared" si="4"/>
        <v>2057</v>
      </c>
      <c r="D70" s="57">
        <f t="shared" si="4"/>
        <v>0</v>
      </c>
      <c r="E70" s="57">
        <f t="shared" si="4"/>
        <v>168</v>
      </c>
      <c r="F70" s="57">
        <f t="shared" si="4"/>
        <v>983</v>
      </c>
      <c r="G70" s="57">
        <f t="shared" si="4"/>
        <v>789</v>
      </c>
      <c r="H70" s="57">
        <f t="shared" si="4"/>
        <v>117</v>
      </c>
      <c r="I70" s="57">
        <f t="shared" si="4"/>
        <v>0</v>
      </c>
      <c r="J70" s="57">
        <f t="shared" si="4"/>
        <v>0</v>
      </c>
      <c r="K70" s="57">
        <f t="shared" si="4"/>
        <v>0</v>
      </c>
      <c r="L70" s="57">
        <f t="shared" si="4"/>
        <v>0</v>
      </c>
      <c r="M70" s="57">
        <f t="shared" si="4"/>
        <v>0</v>
      </c>
      <c r="N70" s="57">
        <f t="shared" si="4"/>
        <v>0</v>
      </c>
      <c r="O70" s="57">
        <f t="shared" si="4"/>
        <v>0</v>
      </c>
      <c r="P70" s="57">
        <f t="shared" si="4"/>
        <v>2155</v>
      </c>
      <c r="Q70" s="129">
        <f t="shared" ref="Q70:U70" si="5">Q7</f>
        <v>2057</v>
      </c>
      <c r="R70" s="57">
        <f t="shared" si="5"/>
        <v>-98</v>
      </c>
      <c r="S70" s="115">
        <f t="shared" si="5"/>
        <v>-4.5475638051044084E-2</v>
      </c>
      <c r="T70" s="115">
        <f t="shared" si="5"/>
        <v>0.21552808046940486</v>
      </c>
      <c r="U70" s="115">
        <f t="shared" si="5"/>
        <v>0.21895956106482423</v>
      </c>
    </row>
    <row r="71" spans="1:21" x14ac:dyDescent="0.2">
      <c r="A71" s="32">
        <f t="shared" ref="A71:P71" si="6">A8</f>
        <v>2</v>
      </c>
      <c r="B71" s="18" t="str">
        <f t="shared" si="6"/>
        <v>MAIZ AMILACEO</v>
      </c>
      <c r="C71" s="56">
        <f t="shared" si="6"/>
        <v>2027</v>
      </c>
      <c r="D71" s="57">
        <f t="shared" si="6"/>
        <v>20</v>
      </c>
      <c r="E71" s="57">
        <f t="shared" si="6"/>
        <v>361</v>
      </c>
      <c r="F71" s="57">
        <f t="shared" si="6"/>
        <v>742</v>
      </c>
      <c r="G71" s="57">
        <f t="shared" si="6"/>
        <v>666</v>
      </c>
      <c r="H71" s="57">
        <f t="shared" si="6"/>
        <v>198</v>
      </c>
      <c r="I71" s="57">
        <f t="shared" si="6"/>
        <v>0</v>
      </c>
      <c r="J71" s="57">
        <f t="shared" si="6"/>
        <v>0</v>
      </c>
      <c r="K71" s="57">
        <f t="shared" si="6"/>
        <v>0</v>
      </c>
      <c r="L71" s="57">
        <f t="shared" si="6"/>
        <v>0</v>
      </c>
      <c r="M71" s="57">
        <f t="shared" si="6"/>
        <v>0</v>
      </c>
      <c r="N71" s="57">
        <f t="shared" si="6"/>
        <v>0</v>
      </c>
      <c r="O71" s="57">
        <f t="shared" si="6"/>
        <v>40</v>
      </c>
      <c r="P71" s="57">
        <f t="shared" si="6"/>
        <v>1966</v>
      </c>
      <c r="Q71" s="129">
        <f t="shared" ref="Q71:U71" si="7">Q8</f>
        <v>1954</v>
      </c>
      <c r="R71" s="57">
        <f t="shared" si="7"/>
        <v>61</v>
      </c>
      <c r="S71" s="115">
        <f t="shared" si="7"/>
        <v>3.1027466937945065E-2</v>
      </c>
      <c r="T71" s="115">
        <f t="shared" si="7"/>
        <v>0.21238474434199497</v>
      </c>
      <c r="U71" s="115">
        <f t="shared" si="7"/>
        <v>0.19975614712456818</v>
      </c>
    </row>
    <row r="72" spans="1:21" x14ac:dyDescent="0.2">
      <c r="A72" s="32">
        <f t="shared" ref="A72:P72" si="8">A9</f>
        <v>3</v>
      </c>
      <c r="B72" s="18" t="str">
        <f t="shared" si="8"/>
        <v>PAPA BLANCA</v>
      </c>
      <c r="C72" s="56">
        <f t="shared" si="8"/>
        <v>1245</v>
      </c>
      <c r="D72" s="57">
        <f t="shared" si="8"/>
        <v>0</v>
      </c>
      <c r="E72" s="57">
        <f t="shared" si="8"/>
        <v>27</v>
      </c>
      <c r="F72" s="57">
        <f t="shared" si="8"/>
        <v>387</v>
      </c>
      <c r="G72" s="57">
        <f t="shared" si="8"/>
        <v>556</v>
      </c>
      <c r="H72" s="57">
        <f t="shared" si="8"/>
        <v>264</v>
      </c>
      <c r="I72" s="57">
        <f t="shared" si="8"/>
        <v>0</v>
      </c>
      <c r="J72" s="57">
        <f t="shared" si="8"/>
        <v>0</v>
      </c>
      <c r="K72" s="57">
        <f t="shared" si="8"/>
        <v>0</v>
      </c>
      <c r="L72" s="57">
        <f t="shared" si="8"/>
        <v>0</v>
      </c>
      <c r="M72" s="57">
        <f t="shared" si="8"/>
        <v>0</v>
      </c>
      <c r="N72" s="57">
        <f t="shared" si="8"/>
        <v>7</v>
      </c>
      <c r="O72" s="57">
        <f t="shared" si="8"/>
        <v>4</v>
      </c>
      <c r="P72" s="57">
        <f t="shared" si="8"/>
        <v>1268</v>
      </c>
      <c r="Q72" s="129">
        <f t="shared" ref="Q72:U72" si="9">Q9</f>
        <v>1242</v>
      </c>
      <c r="R72" s="57">
        <f t="shared" si="9"/>
        <v>-23</v>
      </c>
      <c r="S72" s="115">
        <f t="shared" si="9"/>
        <v>-1.8138801261829655E-2</v>
      </c>
      <c r="T72" s="115">
        <f t="shared" si="9"/>
        <v>0.13044844928751048</v>
      </c>
      <c r="U72" s="115">
        <f t="shared" si="9"/>
        <v>0.12883560251981305</v>
      </c>
    </row>
    <row r="73" spans="1:21" x14ac:dyDescent="0.2">
      <c r="A73" s="32">
        <f t="shared" ref="A73:P73" si="10">A10</f>
        <v>4</v>
      </c>
      <c r="B73" s="18" t="str">
        <f t="shared" si="10"/>
        <v>CEBADA GRANO</v>
      </c>
      <c r="C73" s="56">
        <f t="shared" si="10"/>
        <v>1172</v>
      </c>
      <c r="D73" s="57">
        <f t="shared" si="10"/>
        <v>0</v>
      </c>
      <c r="E73" s="57">
        <f t="shared" si="10"/>
        <v>57</v>
      </c>
      <c r="F73" s="57">
        <f t="shared" si="10"/>
        <v>244</v>
      </c>
      <c r="G73" s="57">
        <f t="shared" si="10"/>
        <v>386</v>
      </c>
      <c r="H73" s="57">
        <f t="shared" si="10"/>
        <v>395</v>
      </c>
      <c r="I73" s="57">
        <f t="shared" si="10"/>
        <v>90</v>
      </c>
      <c r="J73" s="57">
        <f t="shared" si="10"/>
        <v>0</v>
      </c>
      <c r="K73" s="57">
        <f t="shared" si="10"/>
        <v>0</v>
      </c>
      <c r="L73" s="57">
        <f t="shared" si="10"/>
        <v>0</v>
      </c>
      <c r="M73" s="57">
        <f t="shared" si="10"/>
        <v>0</v>
      </c>
      <c r="N73" s="57">
        <f t="shared" si="10"/>
        <v>0</v>
      </c>
      <c r="O73" s="57">
        <f t="shared" si="10"/>
        <v>0</v>
      </c>
      <c r="P73" s="57">
        <f t="shared" si="10"/>
        <v>1545</v>
      </c>
      <c r="Q73" s="129">
        <f t="shared" ref="Q73:U73" si="11">Q10</f>
        <v>1270</v>
      </c>
      <c r="R73" s="57">
        <f t="shared" si="11"/>
        <v>-373</v>
      </c>
      <c r="S73" s="115">
        <f t="shared" si="11"/>
        <v>-0.24142394822006472</v>
      </c>
      <c r="T73" s="115">
        <f t="shared" si="11"/>
        <v>0.12279966471081308</v>
      </c>
      <c r="U73" s="115">
        <f t="shared" si="11"/>
        <v>0.15698028855923593</v>
      </c>
    </row>
    <row r="74" spans="1:21" x14ac:dyDescent="0.2">
      <c r="A74" s="32">
        <f t="shared" ref="A74:P74" si="12">A11</f>
        <v>5</v>
      </c>
      <c r="B74" s="18" t="str">
        <f t="shared" si="12"/>
        <v>TRIGO</v>
      </c>
      <c r="C74" s="56">
        <f t="shared" si="12"/>
        <v>740</v>
      </c>
      <c r="D74" s="57">
        <f t="shared" si="12"/>
        <v>0</v>
      </c>
      <c r="E74" s="57">
        <f t="shared" si="12"/>
        <v>13</v>
      </c>
      <c r="F74" s="57">
        <f t="shared" si="12"/>
        <v>146</v>
      </c>
      <c r="G74" s="57">
        <f t="shared" si="12"/>
        <v>347</v>
      </c>
      <c r="H74" s="57">
        <f t="shared" si="12"/>
        <v>234</v>
      </c>
      <c r="I74" s="57">
        <f t="shared" si="12"/>
        <v>0</v>
      </c>
      <c r="J74" s="57">
        <f t="shared" si="12"/>
        <v>0</v>
      </c>
      <c r="K74" s="57">
        <f t="shared" si="12"/>
        <v>0</v>
      </c>
      <c r="L74" s="57">
        <f t="shared" si="12"/>
        <v>0</v>
      </c>
      <c r="M74" s="57">
        <f t="shared" si="12"/>
        <v>0</v>
      </c>
      <c r="N74" s="57">
        <f t="shared" si="12"/>
        <v>0</v>
      </c>
      <c r="O74" s="57">
        <f t="shared" si="12"/>
        <v>0</v>
      </c>
      <c r="P74" s="57">
        <f t="shared" si="12"/>
        <v>755</v>
      </c>
      <c r="Q74" s="129">
        <f t="shared" ref="Q74:U74" si="13">Q11</f>
        <v>805</v>
      </c>
      <c r="R74" s="57">
        <f t="shared" si="13"/>
        <v>-15</v>
      </c>
      <c r="S74" s="115">
        <f t="shared" si="13"/>
        <v>-1.9867549668874173E-2</v>
      </c>
      <c r="T74" s="115">
        <f t="shared" si="13"/>
        <v>7.7535624476110648E-2</v>
      </c>
      <c r="U74" s="115">
        <f t="shared" si="13"/>
        <v>7.6712050396260917E-2</v>
      </c>
    </row>
    <row r="75" spans="1:21" x14ac:dyDescent="0.2">
      <c r="A75" s="32">
        <f>A12</f>
        <v>6</v>
      </c>
      <c r="B75" s="18" t="s">
        <v>44</v>
      </c>
      <c r="C75" s="56">
        <f t="shared" ref="C75:P75" si="14">SUM(C12:C25)</f>
        <v>2303</v>
      </c>
      <c r="D75" s="56">
        <f t="shared" si="14"/>
        <v>70</v>
      </c>
      <c r="E75" s="56">
        <f t="shared" si="14"/>
        <v>118</v>
      </c>
      <c r="F75" s="56">
        <f t="shared" si="14"/>
        <v>733</v>
      </c>
      <c r="G75" s="56">
        <f t="shared" si="14"/>
        <v>972</v>
      </c>
      <c r="H75" s="56">
        <f t="shared" si="14"/>
        <v>357</v>
      </c>
      <c r="I75" s="56">
        <f t="shared" si="14"/>
        <v>11</v>
      </c>
      <c r="J75" s="56">
        <f t="shared" si="14"/>
        <v>0</v>
      </c>
      <c r="K75" s="56">
        <f t="shared" si="14"/>
        <v>0</v>
      </c>
      <c r="L75" s="56">
        <f t="shared" si="14"/>
        <v>0</v>
      </c>
      <c r="M75" s="56">
        <f t="shared" si="14"/>
        <v>0</v>
      </c>
      <c r="N75" s="56">
        <f t="shared" si="14"/>
        <v>21</v>
      </c>
      <c r="O75" s="56">
        <f t="shared" si="14"/>
        <v>21</v>
      </c>
      <c r="P75" s="56">
        <f t="shared" si="14"/>
        <v>2153</v>
      </c>
      <c r="Q75" s="129"/>
      <c r="R75" s="57"/>
      <c r="S75" s="115"/>
      <c r="T75" s="115"/>
      <c r="U75" s="115"/>
    </row>
    <row r="76" spans="1:21" x14ac:dyDescent="0.2">
      <c r="A76" s="19" t="s">
        <v>1349</v>
      </c>
      <c r="B76" s="105"/>
      <c r="C76" s="106">
        <f>SUBTOTAL(109,Tabla21[ENIS 2022-2023])</f>
        <v>9544</v>
      </c>
      <c r="D76" s="106">
        <f>SUBTOTAL(109,Tabla21[AGO])</f>
        <v>90</v>
      </c>
      <c r="E76" s="106">
        <f>SUBTOTAL(109,Tabla21[SEP])</f>
        <v>744</v>
      </c>
      <c r="F76" s="106">
        <f>SUBTOTAL(109,Tabla21[OCT])</f>
        <v>3235</v>
      </c>
      <c r="G76" s="106">
        <f>SUBTOTAL(109,Tabla21[NOV])</f>
        <v>3716</v>
      </c>
      <c r="H76" s="106">
        <f>SUBTOTAL(109,Tabla21[DIC])</f>
        <v>1565</v>
      </c>
      <c r="I76" s="106">
        <f>SUBTOTAL(109,Tabla21[ENE])</f>
        <v>101</v>
      </c>
      <c r="J76" s="106">
        <f>SUBTOTAL(109,Tabla21[FEB])</f>
        <v>0</v>
      </c>
      <c r="K76" s="106">
        <f>SUBTOTAL(109,Tabla21[MAR])</f>
        <v>0</v>
      </c>
      <c r="L76" s="106">
        <f>SUBTOTAL(109,Tabla21[ABR])</f>
        <v>0</v>
      </c>
      <c r="M76" s="106">
        <f>SUBTOTAL(109,Tabla21[MAY])</f>
        <v>0</v>
      </c>
      <c r="N76" s="106">
        <f>SUBTOTAL(109,Tabla21[JUN])</f>
        <v>28</v>
      </c>
      <c r="O76" s="106">
        <f>SUBTOTAL(109,Tabla21[JUL])</f>
        <v>65</v>
      </c>
      <c r="P76" s="106">
        <f>SUBTOTAL(109,Tabla21[SUPERFICIE SEMBRADA 2021-2022])</f>
        <v>9842</v>
      </c>
      <c r="Q76" s="130"/>
      <c r="R76" s="104"/>
      <c r="S76" s="119"/>
      <c r="T76" s="119"/>
      <c r="U76" s="119"/>
    </row>
    <row r="77" spans="1:21" ht="31.5" customHeight="1" x14ac:dyDescent="0.2"/>
    <row r="79" spans="1:21" x14ac:dyDescent="0.2">
      <c r="B79" s="139" t="s">
        <v>1320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22"/>
      <c r="R79" s="22"/>
      <c r="S79" s="22"/>
      <c r="T79" s="22"/>
      <c r="U79" s="22"/>
    </row>
    <row r="108" spans="25:40" x14ac:dyDescent="0.2"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41"/>
    </row>
    <row r="109" spans="25:40" x14ac:dyDescent="0.2">
      <c r="Y109" s="139"/>
      <c r="Z109" s="139"/>
      <c r="AA109" s="139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141"/>
    </row>
  </sheetData>
  <mergeCells count="14">
    <mergeCell ref="B79:P79"/>
    <mergeCell ref="A1:O1"/>
    <mergeCell ref="D4:H4"/>
    <mergeCell ref="I4:O4"/>
    <mergeCell ref="A40:O40"/>
    <mergeCell ref="D68:H68"/>
    <mergeCell ref="I68:O68"/>
    <mergeCell ref="A2:W2"/>
    <mergeCell ref="AN108:AN109"/>
    <mergeCell ref="Y108:Y109"/>
    <mergeCell ref="Z108:Z109"/>
    <mergeCell ref="AA108:AA109"/>
    <mergeCell ref="AB108:AF108"/>
    <mergeCell ref="AG108:AM10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/>
  <dimension ref="A1:V74"/>
  <sheetViews>
    <sheetView showGridLines="0" zoomScaleNormal="100" workbookViewId="0">
      <selection activeCell="J84" sqref="J84"/>
    </sheetView>
  </sheetViews>
  <sheetFormatPr baseColWidth="10" defaultColWidth="11.42578125" defaultRowHeight="12.75" x14ac:dyDescent="0.2"/>
  <cols>
    <col min="1" max="1" width="3.5703125" style="21" customWidth="1"/>
    <col min="2" max="2" width="27.7109375" style="21" bestFit="1" customWidth="1"/>
    <col min="3" max="3" width="9.42578125" style="21" bestFit="1" customWidth="1"/>
    <col min="4" max="4" width="7.42578125" style="38" bestFit="1" customWidth="1"/>
    <col min="5" max="8" width="8.42578125" style="21" bestFit="1" customWidth="1"/>
    <col min="9" max="9" width="7.42578125" style="21" bestFit="1" customWidth="1"/>
    <col min="10" max="13" width="6.42578125" style="21" bestFit="1" customWidth="1"/>
    <col min="14" max="15" width="7.42578125" style="21" bestFit="1" customWidth="1"/>
    <col min="16" max="16" width="0.28515625" style="21" customWidth="1"/>
    <col min="17" max="17" width="11.42578125" style="21"/>
    <col min="18" max="20" width="16.42578125" style="21" bestFit="1" customWidth="1"/>
    <col min="21" max="21" width="14.28515625" style="21" bestFit="1" customWidth="1"/>
    <col min="22" max="22" width="14.42578125" style="21" bestFit="1" customWidth="1"/>
    <col min="23" max="16384" width="11.42578125" style="21"/>
  </cols>
  <sheetData>
    <row r="1" spans="1:22" x14ac:dyDescent="0.2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35"/>
    </row>
    <row r="2" spans="1:22" ht="31.5" customHeight="1" x14ac:dyDescent="0.2">
      <c r="A2" s="139" t="s">
        <v>1325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35"/>
    </row>
    <row r="3" spans="1:2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35"/>
    </row>
    <row r="4" spans="1:22" x14ac:dyDescent="0.2">
      <c r="A4" s="144" t="s">
        <v>9</v>
      </c>
      <c r="B4" s="146" t="s">
        <v>10</v>
      </c>
      <c r="C4" s="144" t="s">
        <v>11</v>
      </c>
      <c r="D4" s="144">
        <v>2022</v>
      </c>
      <c r="E4" s="144"/>
      <c r="F4" s="144"/>
      <c r="G4" s="144"/>
      <c r="H4" s="144"/>
      <c r="I4" s="144">
        <v>2023</v>
      </c>
      <c r="J4" s="144"/>
      <c r="K4" s="144"/>
      <c r="L4" s="144"/>
      <c r="M4" s="144"/>
      <c r="N4" s="144"/>
      <c r="O4" s="144"/>
      <c r="P4" s="35"/>
      <c r="Q4" s="141" t="s">
        <v>1326</v>
      </c>
      <c r="R4" s="139" t="s">
        <v>1299</v>
      </c>
      <c r="S4" s="139" t="s">
        <v>1301</v>
      </c>
      <c r="T4" s="139" t="s">
        <v>188</v>
      </c>
      <c r="U4" s="22"/>
    </row>
    <row r="5" spans="1:22" ht="30" customHeight="1" x14ac:dyDescent="0.2">
      <c r="A5" s="145"/>
      <c r="B5" s="147"/>
      <c r="C5" s="145"/>
      <c r="D5" s="68" t="s">
        <v>12</v>
      </c>
      <c r="E5" s="69" t="s">
        <v>13</v>
      </c>
      <c r="F5" s="69" t="s">
        <v>14</v>
      </c>
      <c r="G5" s="69" t="s">
        <v>15</v>
      </c>
      <c r="H5" s="69" t="s">
        <v>16</v>
      </c>
      <c r="I5" s="69" t="s">
        <v>17</v>
      </c>
      <c r="J5" s="69" t="s">
        <v>18</v>
      </c>
      <c r="K5" s="69" t="s">
        <v>19</v>
      </c>
      <c r="L5" s="69" t="s">
        <v>20</v>
      </c>
      <c r="M5" s="69" t="s">
        <v>21</v>
      </c>
      <c r="N5" s="69" t="s">
        <v>22</v>
      </c>
      <c r="O5" s="69" t="s">
        <v>23</v>
      </c>
      <c r="P5" s="35"/>
      <c r="Q5" s="141"/>
      <c r="R5" s="139"/>
      <c r="S5" s="139"/>
      <c r="T5" s="139"/>
      <c r="U5" s="22"/>
      <c r="V5" s="21" t="s">
        <v>1300</v>
      </c>
    </row>
    <row r="6" spans="1:22" x14ac:dyDescent="0.2">
      <c r="A6" s="53"/>
      <c r="B6" s="54"/>
      <c r="C6" s="53"/>
      <c r="D6" s="5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35"/>
    </row>
    <row r="7" spans="1:22" x14ac:dyDescent="0.2">
      <c r="A7" s="48" t="s">
        <v>24</v>
      </c>
      <c r="B7" s="49" t="s">
        <v>189</v>
      </c>
      <c r="C7" s="50">
        <v>19811</v>
      </c>
      <c r="D7" s="51">
        <v>297</v>
      </c>
      <c r="E7" s="51">
        <v>2895</v>
      </c>
      <c r="F7" s="51">
        <v>7858</v>
      </c>
      <c r="G7" s="51">
        <v>6679</v>
      </c>
      <c r="H7" s="51">
        <v>1810</v>
      </c>
      <c r="I7" s="51">
        <v>178</v>
      </c>
      <c r="J7" s="51">
        <v>15</v>
      </c>
      <c r="K7" s="51">
        <v>5</v>
      </c>
      <c r="L7" s="51"/>
      <c r="M7" s="51"/>
      <c r="N7" s="51">
        <v>8</v>
      </c>
      <c r="O7" s="51">
        <v>66</v>
      </c>
      <c r="P7" s="35"/>
    </row>
    <row r="8" spans="1:22" x14ac:dyDescent="0.2">
      <c r="A8" s="48" t="s">
        <v>25</v>
      </c>
      <c r="B8" s="49" t="s">
        <v>5</v>
      </c>
      <c r="C8" s="50">
        <v>15714</v>
      </c>
      <c r="D8" s="51">
        <v>1113</v>
      </c>
      <c r="E8" s="51">
        <v>1418</v>
      </c>
      <c r="F8" s="51">
        <v>4485</v>
      </c>
      <c r="G8" s="51">
        <v>6238</v>
      </c>
      <c r="H8" s="51">
        <v>2098</v>
      </c>
      <c r="I8" s="51">
        <v>15</v>
      </c>
      <c r="J8" s="51"/>
      <c r="K8" s="51"/>
      <c r="L8" s="51"/>
      <c r="M8" s="51">
        <v>32</v>
      </c>
      <c r="N8" s="51">
        <v>166</v>
      </c>
      <c r="O8" s="51">
        <v>149</v>
      </c>
      <c r="P8" s="35"/>
    </row>
    <row r="9" spans="1:22" x14ac:dyDescent="0.2">
      <c r="A9" s="48" t="s">
        <v>26</v>
      </c>
      <c r="B9" s="49" t="s">
        <v>190</v>
      </c>
      <c r="C9" s="50">
        <v>14602</v>
      </c>
      <c r="D9" s="51">
        <v>837</v>
      </c>
      <c r="E9" s="51">
        <v>1445</v>
      </c>
      <c r="F9" s="51">
        <v>4528</v>
      </c>
      <c r="G9" s="51">
        <v>4939</v>
      </c>
      <c r="H9" s="51">
        <v>1884</v>
      </c>
      <c r="I9" s="51">
        <v>132</v>
      </c>
      <c r="J9" s="51">
        <v>4</v>
      </c>
      <c r="K9" s="51">
        <v>2</v>
      </c>
      <c r="L9" s="51">
        <v>3</v>
      </c>
      <c r="M9" s="51">
        <v>50</v>
      </c>
      <c r="N9" s="51">
        <v>366</v>
      </c>
      <c r="O9" s="51">
        <v>412</v>
      </c>
      <c r="P9" s="35"/>
    </row>
    <row r="10" spans="1:22" x14ac:dyDescent="0.2">
      <c r="A10" s="48" t="s">
        <v>27</v>
      </c>
      <c r="B10" s="49" t="s">
        <v>1</v>
      </c>
      <c r="C10" s="50">
        <v>13806</v>
      </c>
      <c r="D10" s="51">
        <v>10</v>
      </c>
      <c r="E10" s="51">
        <v>143</v>
      </c>
      <c r="F10" s="51">
        <v>921</v>
      </c>
      <c r="G10" s="51">
        <v>3744</v>
      </c>
      <c r="H10" s="51">
        <v>6063</v>
      </c>
      <c r="I10" s="51">
        <v>2332</v>
      </c>
      <c r="J10" s="51">
        <v>355</v>
      </c>
      <c r="K10" s="51">
        <v>112</v>
      </c>
      <c r="L10" s="51">
        <v>7</v>
      </c>
      <c r="M10" s="51">
        <v>41</v>
      </c>
      <c r="N10" s="51">
        <v>48</v>
      </c>
      <c r="O10" s="51">
        <v>30</v>
      </c>
      <c r="P10" s="35"/>
    </row>
    <row r="11" spans="1:22" x14ac:dyDescent="0.2">
      <c r="A11" s="48" t="s">
        <v>28</v>
      </c>
      <c r="B11" s="49" t="s">
        <v>191</v>
      </c>
      <c r="C11" s="50">
        <v>10707</v>
      </c>
      <c r="D11" s="51">
        <v>1435</v>
      </c>
      <c r="E11" s="51">
        <v>1832</v>
      </c>
      <c r="F11" s="51">
        <v>3134</v>
      </c>
      <c r="G11" s="51">
        <v>2614</v>
      </c>
      <c r="H11" s="51">
        <v>828</v>
      </c>
      <c r="I11" s="51">
        <v>29</v>
      </c>
      <c r="J11" s="51">
        <v>3</v>
      </c>
      <c r="K11" s="51">
        <v>9</v>
      </c>
      <c r="L11" s="51">
        <v>9</v>
      </c>
      <c r="M11" s="51">
        <v>23</v>
      </c>
      <c r="N11" s="51">
        <v>313</v>
      </c>
      <c r="O11" s="51">
        <v>478</v>
      </c>
      <c r="P11" s="35"/>
    </row>
    <row r="12" spans="1:22" x14ac:dyDescent="0.2">
      <c r="A12" s="48" t="s">
        <v>29</v>
      </c>
      <c r="B12" s="49" t="s">
        <v>192</v>
      </c>
      <c r="C12" s="50">
        <v>9369</v>
      </c>
      <c r="D12" s="51">
        <v>2</v>
      </c>
      <c r="E12" s="51">
        <v>38</v>
      </c>
      <c r="F12" s="51">
        <v>1167</v>
      </c>
      <c r="G12" s="51">
        <v>2575</v>
      </c>
      <c r="H12" s="51">
        <v>3540</v>
      </c>
      <c r="I12" s="51">
        <v>1659</v>
      </c>
      <c r="J12" s="51">
        <v>269</v>
      </c>
      <c r="K12" s="51">
        <v>92</v>
      </c>
      <c r="L12" s="51">
        <v>2</v>
      </c>
      <c r="M12" s="51">
        <v>5</v>
      </c>
      <c r="N12" s="51">
        <v>13</v>
      </c>
      <c r="O12" s="51">
        <v>7</v>
      </c>
      <c r="P12" s="35"/>
    </row>
    <row r="13" spans="1:22" x14ac:dyDescent="0.2">
      <c r="A13" s="48" t="s">
        <v>30</v>
      </c>
      <c r="B13" s="49" t="s">
        <v>193</v>
      </c>
      <c r="C13" s="50">
        <v>8526</v>
      </c>
      <c r="D13" s="51">
        <v>289</v>
      </c>
      <c r="E13" s="51">
        <v>1137</v>
      </c>
      <c r="F13" s="51">
        <v>3094</v>
      </c>
      <c r="G13" s="51">
        <v>2934</v>
      </c>
      <c r="H13" s="51">
        <v>762</v>
      </c>
      <c r="I13" s="51">
        <v>31</v>
      </c>
      <c r="J13" s="51">
        <v>1</v>
      </c>
      <c r="K13" s="51">
        <v>40</v>
      </c>
      <c r="L13" s="51">
        <v>9</v>
      </c>
      <c r="M13" s="51">
        <v>33</v>
      </c>
      <c r="N13" s="51">
        <v>93</v>
      </c>
      <c r="O13" s="51">
        <v>103</v>
      </c>
      <c r="P13" s="35"/>
    </row>
    <row r="14" spans="1:22" x14ac:dyDescent="0.2">
      <c r="A14" s="48" t="s">
        <v>31</v>
      </c>
      <c r="B14" s="49" t="s">
        <v>3</v>
      </c>
      <c r="C14" s="50">
        <v>7602</v>
      </c>
      <c r="D14" s="51">
        <v>112</v>
      </c>
      <c r="E14" s="51">
        <v>1129</v>
      </c>
      <c r="F14" s="51">
        <v>3316</v>
      </c>
      <c r="G14" s="51">
        <v>2436</v>
      </c>
      <c r="H14" s="51">
        <v>500</v>
      </c>
      <c r="I14" s="51">
        <v>38</v>
      </c>
      <c r="J14" s="51">
        <v>4</v>
      </c>
      <c r="K14" s="51"/>
      <c r="L14" s="51">
        <v>1</v>
      </c>
      <c r="M14" s="51">
        <v>13</v>
      </c>
      <c r="N14" s="51">
        <v>34</v>
      </c>
      <c r="O14" s="51">
        <v>19</v>
      </c>
      <c r="P14" s="35"/>
    </row>
    <row r="15" spans="1:22" x14ac:dyDescent="0.2">
      <c r="A15" s="48" t="s">
        <v>32</v>
      </c>
      <c r="B15" s="49" t="s">
        <v>0</v>
      </c>
      <c r="C15" s="50">
        <v>4743</v>
      </c>
      <c r="D15" s="51">
        <v>14</v>
      </c>
      <c r="E15" s="51">
        <v>278</v>
      </c>
      <c r="F15" s="51">
        <v>1274</v>
      </c>
      <c r="G15" s="51">
        <v>1738</v>
      </c>
      <c r="H15" s="51">
        <v>1169</v>
      </c>
      <c r="I15" s="51">
        <v>235</v>
      </c>
      <c r="J15" s="51">
        <v>2</v>
      </c>
      <c r="K15" s="51">
        <v>6</v>
      </c>
      <c r="L15" s="51">
        <v>8</v>
      </c>
      <c r="M15" s="51">
        <v>5</v>
      </c>
      <c r="N15" s="51">
        <v>8</v>
      </c>
      <c r="O15" s="51">
        <v>6</v>
      </c>
      <c r="P15" s="35"/>
    </row>
    <row r="16" spans="1:22" x14ac:dyDescent="0.2">
      <c r="A16" s="48" t="s">
        <v>33</v>
      </c>
      <c r="B16" s="49" t="s">
        <v>4</v>
      </c>
      <c r="C16" s="50">
        <v>3223</v>
      </c>
      <c r="D16" s="51">
        <v>128</v>
      </c>
      <c r="E16" s="51">
        <v>519</v>
      </c>
      <c r="F16" s="51">
        <v>1328</v>
      </c>
      <c r="G16" s="51">
        <v>986</v>
      </c>
      <c r="H16" s="51">
        <v>139</v>
      </c>
      <c r="I16" s="51"/>
      <c r="J16" s="51"/>
      <c r="K16" s="51"/>
      <c r="L16" s="51"/>
      <c r="M16" s="51">
        <v>37</v>
      </c>
      <c r="N16" s="51">
        <v>34</v>
      </c>
      <c r="O16" s="51">
        <v>52</v>
      </c>
      <c r="P16" s="35"/>
    </row>
    <row r="17" spans="1:16" x14ac:dyDescent="0.2">
      <c r="A17" s="48" t="s">
        <v>34</v>
      </c>
      <c r="B17" s="49" t="s">
        <v>195</v>
      </c>
      <c r="C17" s="50">
        <v>2349</v>
      </c>
      <c r="D17" s="51">
        <v>687</v>
      </c>
      <c r="E17" s="51">
        <v>535</v>
      </c>
      <c r="F17" s="51">
        <v>401</v>
      </c>
      <c r="G17" s="51">
        <v>165</v>
      </c>
      <c r="H17" s="51">
        <v>47</v>
      </c>
      <c r="I17" s="51">
        <v>10</v>
      </c>
      <c r="J17" s="51">
        <v>8</v>
      </c>
      <c r="K17" s="51">
        <v>9</v>
      </c>
      <c r="L17" s="51">
        <v>2</v>
      </c>
      <c r="M17" s="51">
        <v>12</v>
      </c>
      <c r="N17" s="51">
        <v>171</v>
      </c>
      <c r="O17" s="51">
        <v>302</v>
      </c>
      <c r="P17" s="35"/>
    </row>
    <row r="18" spans="1:16" x14ac:dyDescent="0.2">
      <c r="A18" s="48" t="s">
        <v>35</v>
      </c>
      <c r="B18" s="49" t="s">
        <v>173</v>
      </c>
      <c r="C18" s="50">
        <v>2254</v>
      </c>
      <c r="D18" s="51">
        <v>162</v>
      </c>
      <c r="E18" s="51">
        <v>447</v>
      </c>
      <c r="F18" s="51">
        <v>933</v>
      </c>
      <c r="G18" s="51">
        <v>594</v>
      </c>
      <c r="H18" s="51">
        <v>85</v>
      </c>
      <c r="I18" s="51"/>
      <c r="J18" s="51"/>
      <c r="K18" s="51"/>
      <c r="L18" s="51"/>
      <c r="M18" s="51"/>
      <c r="N18" s="51">
        <v>13</v>
      </c>
      <c r="O18" s="51">
        <v>20</v>
      </c>
      <c r="P18" s="35"/>
    </row>
    <row r="19" spans="1:16" x14ac:dyDescent="0.2">
      <c r="A19" s="48" t="s">
        <v>36</v>
      </c>
      <c r="B19" s="49" t="s">
        <v>194</v>
      </c>
      <c r="C19" s="50">
        <v>2065</v>
      </c>
      <c r="D19" s="51">
        <v>433</v>
      </c>
      <c r="E19" s="51">
        <v>362</v>
      </c>
      <c r="F19" s="51">
        <v>319</v>
      </c>
      <c r="G19" s="51">
        <v>196</v>
      </c>
      <c r="H19" s="51">
        <v>76</v>
      </c>
      <c r="I19" s="51">
        <v>9</v>
      </c>
      <c r="J19" s="51">
        <v>23</v>
      </c>
      <c r="K19" s="51">
        <v>41</v>
      </c>
      <c r="L19" s="51">
        <v>40</v>
      </c>
      <c r="M19" s="51">
        <v>61</v>
      </c>
      <c r="N19" s="51">
        <v>259</v>
      </c>
      <c r="O19" s="51">
        <v>246</v>
      </c>
      <c r="P19" s="35"/>
    </row>
    <row r="20" spans="1:16" x14ac:dyDescent="0.2">
      <c r="A20" s="48" t="s">
        <v>37</v>
      </c>
      <c r="B20" s="49" t="s">
        <v>196</v>
      </c>
      <c r="C20" s="50">
        <v>1968</v>
      </c>
      <c r="D20" s="51">
        <v>389</v>
      </c>
      <c r="E20" s="51">
        <v>417</v>
      </c>
      <c r="F20" s="51">
        <v>337</v>
      </c>
      <c r="G20" s="51">
        <v>112</v>
      </c>
      <c r="H20" s="51">
        <v>63</v>
      </c>
      <c r="I20" s="51">
        <v>77</v>
      </c>
      <c r="J20" s="51">
        <v>43</v>
      </c>
      <c r="K20" s="51">
        <v>29</v>
      </c>
      <c r="L20" s="51">
        <v>2</v>
      </c>
      <c r="M20" s="51">
        <v>59</v>
      </c>
      <c r="N20" s="51">
        <v>208</v>
      </c>
      <c r="O20" s="51">
        <v>232</v>
      </c>
      <c r="P20" s="35"/>
    </row>
    <row r="21" spans="1:16" x14ac:dyDescent="0.2">
      <c r="A21" s="48" t="s">
        <v>38</v>
      </c>
      <c r="B21" s="49" t="s">
        <v>174</v>
      </c>
      <c r="C21" s="50">
        <v>1937</v>
      </c>
      <c r="D21" s="51">
        <v>82</v>
      </c>
      <c r="E21" s="51">
        <v>362</v>
      </c>
      <c r="F21" s="51">
        <v>812</v>
      </c>
      <c r="G21" s="51">
        <v>582</v>
      </c>
      <c r="H21" s="51">
        <v>85</v>
      </c>
      <c r="I21" s="51"/>
      <c r="J21" s="51"/>
      <c r="K21" s="51"/>
      <c r="L21" s="51"/>
      <c r="M21" s="51"/>
      <c r="N21" s="51">
        <v>4</v>
      </c>
      <c r="O21" s="51">
        <v>10</v>
      </c>
      <c r="P21" s="35"/>
    </row>
    <row r="22" spans="1:16" x14ac:dyDescent="0.2">
      <c r="A22" s="48" t="s">
        <v>39</v>
      </c>
      <c r="B22" s="49" t="s">
        <v>2</v>
      </c>
      <c r="C22" s="50">
        <v>1565</v>
      </c>
      <c r="D22" s="51">
        <v>1</v>
      </c>
      <c r="E22" s="51">
        <v>58</v>
      </c>
      <c r="F22" s="51">
        <v>290</v>
      </c>
      <c r="G22" s="51">
        <v>562</v>
      </c>
      <c r="H22" s="51">
        <v>423</v>
      </c>
      <c r="I22" s="51">
        <v>176</v>
      </c>
      <c r="J22" s="51">
        <v>32</v>
      </c>
      <c r="K22" s="51">
        <v>12</v>
      </c>
      <c r="L22" s="51">
        <v>6</v>
      </c>
      <c r="M22" s="51">
        <v>5</v>
      </c>
      <c r="N22" s="51"/>
      <c r="O22" s="51"/>
      <c r="P22" s="35"/>
    </row>
    <row r="23" spans="1:16" x14ac:dyDescent="0.2">
      <c r="A23" s="48" t="s">
        <v>40</v>
      </c>
      <c r="B23" s="49" t="s">
        <v>175</v>
      </c>
      <c r="C23" s="50">
        <v>1168</v>
      </c>
      <c r="D23" s="51">
        <v>29</v>
      </c>
      <c r="E23" s="51">
        <v>61</v>
      </c>
      <c r="F23" s="51">
        <v>126</v>
      </c>
      <c r="G23" s="51">
        <v>570</v>
      </c>
      <c r="H23" s="51">
        <v>176</v>
      </c>
      <c r="I23" s="51">
        <v>13</v>
      </c>
      <c r="J23" s="51">
        <v>38</v>
      </c>
      <c r="K23" s="51">
        <v>25</v>
      </c>
      <c r="L23" s="51">
        <v>15</v>
      </c>
      <c r="M23" s="51">
        <v>36</v>
      </c>
      <c r="N23" s="51">
        <v>46</v>
      </c>
      <c r="O23" s="51">
        <v>33</v>
      </c>
      <c r="P23" s="35"/>
    </row>
    <row r="24" spans="1:16" x14ac:dyDescent="0.2">
      <c r="A24" s="48" t="s">
        <v>41</v>
      </c>
      <c r="B24" s="49" t="s">
        <v>197</v>
      </c>
      <c r="C24" s="50">
        <v>1111</v>
      </c>
      <c r="D24" s="51">
        <v>342</v>
      </c>
      <c r="E24" s="51">
        <v>296</v>
      </c>
      <c r="F24" s="51">
        <v>238</v>
      </c>
      <c r="G24" s="51">
        <v>84</v>
      </c>
      <c r="H24" s="51">
        <v>82</v>
      </c>
      <c r="I24" s="51">
        <v>20</v>
      </c>
      <c r="J24" s="51">
        <v>6</v>
      </c>
      <c r="K24" s="51"/>
      <c r="L24" s="51">
        <v>1</v>
      </c>
      <c r="M24" s="51">
        <v>16</v>
      </c>
      <c r="N24" s="51">
        <v>16</v>
      </c>
      <c r="O24" s="51">
        <v>10</v>
      </c>
      <c r="P24" s="35"/>
    </row>
    <row r="25" spans="1:16" x14ac:dyDescent="0.2">
      <c r="A25" s="48" t="s">
        <v>42</v>
      </c>
      <c r="B25" s="49" t="s">
        <v>198</v>
      </c>
      <c r="C25" s="50">
        <v>856</v>
      </c>
      <c r="D25" s="51">
        <v>366</v>
      </c>
      <c r="E25" s="51">
        <v>310</v>
      </c>
      <c r="F25" s="51">
        <v>130</v>
      </c>
      <c r="G25" s="51">
        <v>6</v>
      </c>
      <c r="H25" s="51">
        <v>15</v>
      </c>
      <c r="I25" s="51">
        <v>22</v>
      </c>
      <c r="J25" s="51">
        <v>3</v>
      </c>
      <c r="K25" s="51">
        <v>4</v>
      </c>
      <c r="L25" s="51"/>
      <c r="M25" s="51"/>
      <c r="N25" s="51"/>
      <c r="O25" s="51"/>
      <c r="P25" s="35"/>
    </row>
    <row r="26" spans="1:16" x14ac:dyDescent="0.2">
      <c r="A26" s="48" t="s">
        <v>43</v>
      </c>
      <c r="B26" s="49" t="s">
        <v>199</v>
      </c>
      <c r="C26" s="50">
        <v>583</v>
      </c>
      <c r="D26" s="51">
        <v>46</v>
      </c>
      <c r="E26" s="51">
        <v>170</v>
      </c>
      <c r="F26" s="51">
        <v>168</v>
      </c>
      <c r="G26" s="51">
        <v>99</v>
      </c>
      <c r="H26" s="51">
        <v>44</v>
      </c>
      <c r="I26" s="51">
        <v>6</v>
      </c>
      <c r="J26" s="51">
        <v>2</v>
      </c>
      <c r="K26" s="51">
        <v>2</v>
      </c>
      <c r="L26" s="51">
        <v>4</v>
      </c>
      <c r="M26" s="51">
        <v>14</v>
      </c>
      <c r="N26" s="51">
        <v>16</v>
      </c>
      <c r="O26" s="51">
        <v>12</v>
      </c>
      <c r="P26" s="35"/>
    </row>
    <row r="27" spans="1:16" x14ac:dyDescent="0.2">
      <c r="A27" s="48" t="s">
        <v>60</v>
      </c>
      <c r="B27" s="49" t="s">
        <v>7</v>
      </c>
      <c r="C27" s="50">
        <v>265</v>
      </c>
      <c r="D27" s="51">
        <v>27</v>
      </c>
      <c r="E27" s="51">
        <v>45</v>
      </c>
      <c r="F27" s="51">
        <v>61</v>
      </c>
      <c r="G27" s="51">
        <v>45</v>
      </c>
      <c r="H27" s="51">
        <v>46</v>
      </c>
      <c r="I27" s="51">
        <v>14</v>
      </c>
      <c r="J27" s="51">
        <v>5</v>
      </c>
      <c r="K27" s="51">
        <v>8</v>
      </c>
      <c r="L27" s="51">
        <v>2</v>
      </c>
      <c r="M27" s="51">
        <v>6</v>
      </c>
      <c r="N27" s="51">
        <v>1</v>
      </c>
      <c r="O27" s="51">
        <v>5</v>
      </c>
      <c r="P27" s="35"/>
    </row>
    <row r="28" spans="1:16" x14ac:dyDescent="0.2">
      <c r="A28" s="48" t="s">
        <v>176</v>
      </c>
      <c r="B28" s="49" t="s">
        <v>200</v>
      </c>
      <c r="C28" s="50">
        <v>253</v>
      </c>
      <c r="D28" s="51">
        <v>23</v>
      </c>
      <c r="E28" s="51">
        <v>30</v>
      </c>
      <c r="F28" s="51">
        <v>38</v>
      </c>
      <c r="G28" s="51">
        <v>52</v>
      </c>
      <c r="H28" s="51">
        <v>47</v>
      </c>
      <c r="I28" s="51">
        <v>12</v>
      </c>
      <c r="J28" s="51">
        <v>12</v>
      </c>
      <c r="K28" s="51">
        <v>4</v>
      </c>
      <c r="L28" s="51">
        <v>2</v>
      </c>
      <c r="M28" s="51">
        <v>3</v>
      </c>
      <c r="N28" s="51">
        <v>8</v>
      </c>
      <c r="O28" s="51">
        <v>22</v>
      </c>
      <c r="P28" s="35"/>
    </row>
    <row r="29" spans="1:16" x14ac:dyDescent="0.2">
      <c r="A29" s="48" t="s">
        <v>177</v>
      </c>
      <c r="B29" s="49" t="s">
        <v>8</v>
      </c>
      <c r="C29" s="50">
        <v>126</v>
      </c>
      <c r="D29" s="51">
        <v>30</v>
      </c>
      <c r="E29" s="51">
        <v>27</v>
      </c>
      <c r="F29" s="51">
        <v>11</v>
      </c>
      <c r="G29" s="51">
        <v>18</v>
      </c>
      <c r="H29" s="51">
        <v>22</v>
      </c>
      <c r="I29" s="51"/>
      <c r="J29" s="51">
        <v>6</v>
      </c>
      <c r="K29" s="51">
        <v>3</v>
      </c>
      <c r="L29" s="51">
        <v>3</v>
      </c>
      <c r="M29" s="51"/>
      <c r="N29" s="51">
        <v>2</v>
      </c>
      <c r="O29" s="51">
        <v>4</v>
      </c>
      <c r="P29" s="35"/>
    </row>
    <row r="30" spans="1:16" x14ac:dyDescent="0.2">
      <c r="A30" s="48" t="s">
        <v>178</v>
      </c>
      <c r="B30" s="49" t="s">
        <v>6</v>
      </c>
      <c r="C30" s="50">
        <v>124</v>
      </c>
      <c r="D30" s="51">
        <v>6</v>
      </c>
      <c r="E30" s="51">
        <v>18</v>
      </c>
      <c r="F30" s="51">
        <v>8</v>
      </c>
      <c r="G30" s="51">
        <v>14</v>
      </c>
      <c r="H30" s="51">
        <v>14</v>
      </c>
      <c r="I30" s="51">
        <v>7</v>
      </c>
      <c r="J30" s="51">
        <v>22</v>
      </c>
      <c r="K30" s="51">
        <v>4</v>
      </c>
      <c r="L30" s="51">
        <v>12</v>
      </c>
      <c r="M30" s="51">
        <v>5</v>
      </c>
      <c r="N30" s="51">
        <v>4</v>
      </c>
      <c r="O30" s="51">
        <v>10</v>
      </c>
      <c r="P30" s="35"/>
    </row>
    <row r="31" spans="1:16" x14ac:dyDescent="0.2">
      <c r="A31" s="48" t="s">
        <v>179</v>
      </c>
      <c r="B31" s="49" t="s">
        <v>1246</v>
      </c>
      <c r="C31" s="50">
        <v>39</v>
      </c>
      <c r="D31" s="51"/>
      <c r="E31" s="51"/>
      <c r="F31" s="51"/>
      <c r="G31" s="51">
        <v>15</v>
      </c>
      <c r="H31" s="51">
        <v>20</v>
      </c>
      <c r="I31" s="51">
        <v>4</v>
      </c>
      <c r="J31" s="51"/>
      <c r="K31" s="51"/>
      <c r="L31" s="51"/>
      <c r="M31" s="51"/>
      <c r="N31" s="51"/>
      <c r="O31" s="51"/>
      <c r="P31" s="35"/>
    </row>
    <row r="32" spans="1:16" x14ac:dyDescent="0.2">
      <c r="A32" s="48" t="s">
        <v>180</v>
      </c>
      <c r="B32" s="49" t="s">
        <v>61</v>
      </c>
      <c r="C32" s="50">
        <v>26</v>
      </c>
      <c r="D32" s="51">
        <v>2</v>
      </c>
      <c r="E32" s="51">
        <v>7</v>
      </c>
      <c r="F32" s="51">
        <v>3</v>
      </c>
      <c r="G32" s="51"/>
      <c r="H32" s="51">
        <v>2</v>
      </c>
      <c r="I32" s="51">
        <v>5</v>
      </c>
      <c r="J32" s="51"/>
      <c r="K32" s="51"/>
      <c r="L32" s="51"/>
      <c r="M32" s="51">
        <v>7</v>
      </c>
      <c r="N32" s="51"/>
      <c r="O32" s="51"/>
      <c r="P32" s="35"/>
    </row>
    <row r="33" spans="1:22" x14ac:dyDescent="0.2">
      <c r="A33" s="48" t="s">
        <v>181</v>
      </c>
      <c r="B33" s="49" t="s">
        <v>201</v>
      </c>
      <c r="C33" s="50">
        <v>25</v>
      </c>
      <c r="D33" s="51"/>
      <c r="E33" s="51">
        <v>4</v>
      </c>
      <c r="F33" s="51">
        <v>3</v>
      </c>
      <c r="G33" s="51">
        <v>9</v>
      </c>
      <c r="H33" s="51">
        <v>4</v>
      </c>
      <c r="I33" s="51"/>
      <c r="J33" s="51">
        <v>1</v>
      </c>
      <c r="K33" s="51"/>
      <c r="L33" s="51">
        <v>2</v>
      </c>
      <c r="M33" s="51">
        <v>2</v>
      </c>
      <c r="N33" s="51"/>
      <c r="O33" s="51"/>
      <c r="P33" s="35"/>
    </row>
    <row r="34" spans="1:22" x14ac:dyDescent="0.2">
      <c r="A34" s="142" t="s">
        <v>11</v>
      </c>
      <c r="B34" s="143"/>
      <c r="C34" s="52">
        <f>SUM(C7:C33)</f>
        <v>124817</v>
      </c>
      <c r="D34" s="52">
        <f t="shared" ref="D34:O34" si="0">SUM(D7:D33)</f>
        <v>6862</v>
      </c>
      <c r="E34" s="52">
        <f t="shared" si="0"/>
        <v>13983</v>
      </c>
      <c r="F34" s="52">
        <f t="shared" si="0"/>
        <v>34983</v>
      </c>
      <c r="G34" s="52">
        <f t="shared" si="0"/>
        <v>38006</v>
      </c>
      <c r="H34" s="52">
        <f t="shared" si="0"/>
        <v>20044</v>
      </c>
      <c r="I34" s="52">
        <f t="shared" si="0"/>
        <v>5024</v>
      </c>
      <c r="J34" s="52">
        <f t="shared" si="0"/>
        <v>854</v>
      </c>
      <c r="K34" s="52">
        <f t="shared" si="0"/>
        <v>407</v>
      </c>
      <c r="L34" s="52">
        <f t="shared" si="0"/>
        <v>130</v>
      </c>
      <c r="M34" s="52">
        <f t="shared" si="0"/>
        <v>465</v>
      </c>
      <c r="N34" s="52">
        <f t="shared" si="0"/>
        <v>1831</v>
      </c>
      <c r="O34" s="52">
        <f t="shared" si="0"/>
        <v>2228</v>
      </c>
      <c r="P34" s="35"/>
    </row>
    <row r="35" spans="1:22" x14ac:dyDescent="0.2">
      <c r="P35" s="35"/>
    </row>
    <row r="36" spans="1:22" ht="33" customHeight="1" x14ac:dyDescent="0.2">
      <c r="B36" s="139" t="s">
        <v>1322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35"/>
    </row>
    <row r="37" spans="1:22" x14ac:dyDescent="0.2">
      <c r="F37" s="18"/>
      <c r="P37" s="35"/>
      <c r="V37" s="36"/>
    </row>
    <row r="38" spans="1:22" x14ac:dyDescent="0.2">
      <c r="E38" s="18"/>
      <c r="F38" s="18"/>
      <c r="P38" s="35"/>
    </row>
    <row r="39" spans="1:22" x14ac:dyDescent="0.2">
      <c r="P39" s="35"/>
    </row>
    <row r="40" spans="1:22" x14ac:dyDescent="0.2">
      <c r="P40" s="35"/>
    </row>
    <row r="41" spans="1:22" x14ac:dyDescent="0.2">
      <c r="P41" s="35"/>
      <c r="T41" s="40">
        <f>T51-S51</f>
        <v>63</v>
      </c>
    </row>
    <row r="42" spans="1:22" x14ac:dyDescent="0.2">
      <c r="P42" s="35"/>
    </row>
    <row r="43" spans="1:22" x14ac:dyDescent="0.2">
      <c r="P43" s="35"/>
      <c r="S43" s="31" t="s">
        <v>1295</v>
      </c>
      <c r="T43" s="31" t="s">
        <v>1294</v>
      </c>
      <c r="U43" s="31" t="s">
        <v>1296</v>
      </c>
    </row>
    <row r="44" spans="1:22" x14ac:dyDescent="0.2">
      <c r="P44" s="35"/>
      <c r="S44" s="47">
        <f>'CUADRO N 3'!H31</f>
        <v>121175</v>
      </c>
      <c r="T44" s="47">
        <f>'CUADRO N 3'!I31</f>
        <v>124817</v>
      </c>
      <c r="U44" s="36">
        <f>(T44-S44)/S44</f>
        <v>3.0055704559521352E-2</v>
      </c>
    </row>
    <row r="45" spans="1:22" x14ac:dyDescent="0.2">
      <c r="P45" s="35"/>
      <c r="U45" s="37"/>
    </row>
    <row r="46" spans="1:22" x14ac:dyDescent="0.2">
      <c r="P46" s="35"/>
      <c r="R46" s="140" t="s">
        <v>10</v>
      </c>
      <c r="S46" s="140" t="s">
        <v>1295</v>
      </c>
      <c r="T46" s="140" t="s">
        <v>1297</v>
      </c>
      <c r="U46" s="140" t="s">
        <v>1296</v>
      </c>
    </row>
    <row r="47" spans="1:22" x14ac:dyDescent="0.2">
      <c r="P47" s="35"/>
      <c r="R47" s="140"/>
      <c r="S47" s="140"/>
      <c r="T47" s="140"/>
      <c r="U47" s="140"/>
    </row>
    <row r="48" spans="1:22" x14ac:dyDescent="0.2">
      <c r="P48" s="35"/>
      <c r="R48" s="39" t="s">
        <v>189</v>
      </c>
      <c r="S48" s="46">
        <v>20168</v>
      </c>
      <c r="T48" s="46">
        <v>19811</v>
      </c>
      <c r="U48" s="36">
        <f>(T48-S48)/S48</f>
        <v>-1.7701309004363348E-2</v>
      </c>
      <c r="V48" s="45">
        <f>T48-S48</f>
        <v>-357</v>
      </c>
    </row>
    <row r="49" spans="1:22" x14ac:dyDescent="0.2">
      <c r="P49" s="35"/>
      <c r="R49" s="39" t="s">
        <v>5</v>
      </c>
      <c r="S49" s="46">
        <v>15752</v>
      </c>
      <c r="T49" s="46">
        <v>15714</v>
      </c>
      <c r="U49" s="36">
        <f t="shared" ref="U49:U51" si="1">(T49-S49)/S49</f>
        <v>-2.4123920771965466E-3</v>
      </c>
      <c r="V49" s="45">
        <f t="shared" ref="V49:V51" si="2">T49-S49</f>
        <v>-38</v>
      </c>
    </row>
    <row r="50" spans="1:22" x14ac:dyDescent="0.2">
      <c r="P50" s="35"/>
      <c r="R50" s="39" t="s">
        <v>190</v>
      </c>
      <c r="S50" s="46">
        <v>14322</v>
      </c>
      <c r="T50" s="46">
        <v>14602</v>
      </c>
      <c r="U50" s="36">
        <f t="shared" si="1"/>
        <v>1.9550342130987292E-2</v>
      </c>
      <c r="V50" s="45">
        <f t="shared" si="2"/>
        <v>280</v>
      </c>
    </row>
    <row r="51" spans="1:22" x14ac:dyDescent="0.2">
      <c r="P51" s="35"/>
      <c r="R51" s="39" t="s">
        <v>1</v>
      </c>
      <c r="S51" s="46">
        <v>13743</v>
      </c>
      <c r="T51" s="46">
        <v>13806</v>
      </c>
      <c r="U51" s="36">
        <f t="shared" si="1"/>
        <v>4.5841519318926003E-3</v>
      </c>
      <c r="V51" s="45">
        <f t="shared" si="2"/>
        <v>63</v>
      </c>
    </row>
    <row r="52" spans="1:22" x14ac:dyDescent="0.2">
      <c r="P52" s="35"/>
    </row>
    <row r="53" spans="1:22" x14ac:dyDescent="0.2">
      <c r="P53" s="35"/>
    </row>
    <row r="54" spans="1:22" x14ac:dyDescent="0.2">
      <c r="P54" s="35"/>
    </row>
    <row r="55" spans="1:22" x14ac:dyDescent="0.2">
      <c r="P55" s="35"/>
    </row>
    <row r="56" spans="1:22" x14ac:dyDescent="0.2">
      <c r="P56" s="35"/>
    </row>
    <row r="57" spans="1:22" x14ac:dyDescent="0.2">
      <c r="P57" s="35"/>
    </row>
    <row r="58" spans="1:22" x14ac:dyDescent="0.2">
      <c r="P58" s="35"/>
    </row>
    <row r="59" spans="1:22" x14ac:dyDescent="0.2">
      <c r="P59" s="35"/>
    </row>
    <row r="60" spans="1:22" x14ac:dyDescent="0.2">
      <c r="P60" s="35"/>
    </row>
    <row r="61" spans="1:22" x14ac:dyDescent="0.2">
      <c r="P61" s="35"/>
    </row>
    <row r="62" spans="1:22" x14ac:dyDescent="0.2">
      <c r="P62" s="35"/>
    </row>
    <row r="63" spans="1:22" x14ac:dyDescent="0.2">
      <c r="A63" s="41"/>
      <c r="B63" s="41"/>
      <c r="C63" s="41"/>
      <c r="D63" s="42"/>
      <c r="E63" s="43"/>
      <c r="F63" s="43"/>
      <c r="G63" s="43"/>
    </row>
    <row r="64" spans="1:22" x14ac:dyDescent="0.2">
      <c r="A64" s="32" t="s">
        <v>24</v>
      </c>
      <c r="B64" s="21" t="str">
        <f>B7</f>
        <v>MAIZ AMILACEO</v>
      </c>
      <c r="C64" s="44">
        <f>C7/$C$34</f>
        <v>0.15872036661672689</v>
      </c>
    </row>
    <row r="65" spans="1:3" x14ac:dyDescent="0.2">
      <c r="A65" s="32" t="s">
        <v>25</v>
      </c>
      <c r="B65" s="21" t="str">
        <f t="shared" ref="B65:B73" si="3">B8</f>
        <v>QUINUA</v>
      </c>
      <c r="C65" s="44">
        <f t="shared" ref="C65:C73" si="4">C8/$C$34</f>
        <v>0.12589631220106234</v>
      </c>
    </row>
    <row r="66" spans="1:3" x14ac:dyDescent="0.2">
      <c r="A66" s="32" t="s">
        <v>26</v>
      </c>
      <c r="B66" s="21" t="str">
        <f t="shared" si="3"/>
        <v>PAPA BLANCA</v>
      </c>
      <c r="C66" s="44">
        <f t="shared" si="4"/>
        <v>0.11698726936234648</v>
      </c>
    </row>
    <row r="67" spans="1:3" x14ac:dyDescent="0.2">
      <c r="A67" s="32" t="s">
        <v>27</v>
      </c>
      <c r="B67" s="21" t="str">
        <f t="shared" si="3"/>
        <v>CEBADA GRANO</v>
      </c>
      <c r="C67" s="44">
        <f t="shared" si="4"/>
        <v>0.11060993294182683</v>
      </c>
    </row>
    <row r="68" spans="1:3" x14ac:dyDescent="0.2">
      <c r="A68" s="32" t="s">
        <v>28</v>
      </c>
      <c r="B68" s="21" t="str">
        <f t="shared" si="3"/>
        <v>PAPA COLOR</v>
      </c>
      <c r="C68" s="44">
        <f t="shared" si="4"/>
        <v>8.5781584239326372E-2</v>
      </c>
    </row>
    <row r="69" spans="1:3" x14ac:dyDescent="0.2">
      <c r="A69" s="32" t="s">
        <v>29</v>
      </c>
      <c r="B69" s="21" t="str">
        <f t="shared" si="3"/>
        <v>TRIGO</v>
      </c>
      <c r="C69" s="44">
        <f t="shared" si="4"/>
        <v>7.5061890607849888E-2</v>
      </c>
    </row>
    <row r="70" spans="1:3" x14ac:dyDescent="0.2">
      <c r="A70" s="32" t="s">
        <v>30</v>
      </c>
      <c r="B70" s="21" t="str">
        <f t="shared" si="3"/>
        <v>PAPA NATIVA</v>
      </c>
      <c r="C70" s="44">
        <f t="shared" si="4"/>
        <v>6.8308002916269414E-2</v>
      </c>
    </row>
    <row r="71" spans="1:3" x14ac:dyDescent="0.2">
      <c r="A71" s="32" t="s">
        <v>31</v>
      </c>
      <c r="B71" s="21" t="str">
        <f t="shared" si="3"/>
        <v>HABA GRANO SECO</v>
      </c>
      <c r="C71" s="44">
        <f t="shared" si="4"/>
        <v>6.0905165161796872E-2</v>
      </c>
    </row>
    <row r="72" spans="1:3" x14ac:dyDescent="0.2">
      <c r="A72" s="32" t="s">
        <v>32</v>
      </c>
      <c r="B72" s="21" t="str">
        <f t="shared" si="3"/>
        <v>ARVEJA GRANO SECO</v>
      </c>
      <c r="C72" s="44">
        <f t="shared" si="4"/>
        <v>3.7999631460458108E-2</v>
      </c>
    </row>
    <row r="73" spans="1:3" x14ac:dyDescent="0.2">
      <c r="A73" s="32" t="s">
        <v>33</v>
      </c>
      <c r="B73" s="21" t="str">
        <f t="shared" si="3"/>
        <v>OLLUCO</v>
      </c>
      <c r="C73" s="44">
        <f t="shared" si="4"/>
        <v>2.5821803119767339E-2</v>
      </c>
    </row>
    <row r="74" spans="1:3" x14ac:dyDescent="0.2">
      <c r="B74" s="21" t="s">
        <v>44</v>
      </c>
      <c r="C74" s="44">
        <f>SUM(C17:C33)/C34</f>
        <v>0.13390804137256945</v>
      </c>
    </row>
  </sheetData>
  <mergeCells count="17">
    <mergeCell ref="Q4:Q5"/>
    <mergeCell ref="R4:R5"/>
    <mergeCell ref="S4:S5"/>
    <mergeCell ref="A1:O1"/>
    <mergeCell ref="B36:O36"/>
    <mergeCell ref="A34:B34"/>
    <mergeCell ref="A2:O2"/>
    <mergeCell ref="A4:A5"/>
    <mergeCell ref="B4:B5"/>
    <mergeCell ref="C4:C5"/>
    <mergeCell ref="D4:H4"/>
    <mergeCell ref="I4:O4"/>
    <mergeCell ref="T4:T5"/>
    <mergeCell ref="R46:R47"/>
    <mergeCell ref="T46:T47"/>
    <mergeCell ref="S46:S47"/>
    <mergeCell ref="U46:U47"/>
  </mergeCells>
  <phoneticPr fontId="0" type="noConversion"/>
  <pageMargins left="0.82677165354330717" right="0.11811023622047245" top="0.94488188976377963" bottom="0.51181102362204722" header="0" footer="0.19685039370078741"/>
  <pageSetup paperSize="9" scale="9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K69"/>
  <sheetViews>
    <sheetView showGridLines="0" topLeftCell="A28" zoomScaleNormal="100" workbookViewId="0">
      <selection activeCell="K43" sqref="K43"/>
    </sheetView>
  </sheetViews>
  <sheetFormatPr baseColWidth="10" defaultColWidth="11.42578125" defaultRowHeight="12.75" x14ac:dyDescent="0.2"/>
  <cols>
    <col min="1" max="1" width="22.85546875" style="5" customWidth="1"/>
    <col min="2" max="2" width="14" style="11" bestFit="1" customWidth="1"/>
    <col min="3" max="7" width="9.5703125" style="11" bestFit="1" customWidth="1"/>
    <col min="8" max="8" width="10.28515625" style="11" bestFit="1" customWidth="1"/>
    <col min="9" max="9" width="15" style="11" bestFit="1" customWidth="1"/>
    <col min="10" max="10" width="5" style="11" bestFit="1" customWidth="1"/>
    <col min="11" max="11" width="8.28515625" style="2" bestFit="1" customWidth="1"/>
    <col min="12" max="16384" width="11.42578125" style="2"/>
  </cols>
  <sheetData>
    <row r="1" spans="1:11" ht="43.5" customHeight="1" x14ac:dyDescent="0.2">
      <c r="A1" s="151" t="s">
        <v>1253</v>
      </c>
      <c r="B1" s="151"/>
      <c r="C1" s="151"/>
      <c r="D1" s="151"/>
      <c r="E1" s="151"/>
      <c r="F1" s="151"/>
      <c r="G1" s="151"/>
      <c r="H1" s="151"/>
      <c r="I1" s="151"/>
    </row>
    <row r="2" spans="1:11" x14ac:dyDescent="0.2">
      <c r="A2" s="148" t="s">
        <v>10</v>
      </c>
      <c r="B2" s="150" t="s">
        <v>45</v>
      </c>
      <c r="C2" s="150"/>
      <c r="D2" s="150"/>
      <c r="E2" s="150"/>
      <c r="F2" s="150"/>
      <c r="G2" s="150"/>
      <c r="H2" s="150"/>
      <c r="I2" s="74" t="s">
        <v>46</v>
      </c>
    </row>
    <row r="3" spans="1:11" x14ac:dyDescent="0.2">
      <c r="A3" s="149"/>
      <c r="B3" s="75" t="s">
        <v>182</v>
      </c>
      <c r="C3" s="75" t="s">
        <v>183</v>
      </c>
      <c r="D3" s="75" t="s">
        <v>186</v>
      </c>
      <c r="E3" s="75" t="s">
        <v>202</v>
      </c>
      <c r="F3" s="75" t="s">
        <v>203</v>
      </c>
      <c r="G3" s="75" t="s">
        <v>1248</v>
      </c>
      <c r="H3" s="75" t="s">
        <v>1347</v>
      </c>
      <c r="I3" s="73" t="s">
        <v>1249</v>
      </c>
      <c r="J3" s="6" t="s">
        <v>187</v>
      </c>
      <c r="K3" s="7" t="s">
        <v>1351</v>
      </c>
    </row>
    <row r="4" spans="1:11" x14ac:dyDescent="0.2">
      <c r="A4" s="70" t="s">
        <v>189</v>
      </c>
      <c r="B4" s="9">
        <v>19370</v>
      </c>
      <c r="C4" s="9">
        <v>19677</v>
      </c>
      <c r="D4" s="9">
        <v>19302</v>
      </c>
      <c r="E4" s="9">
        <v>19627</v>
      </c>
      <c r="F4" s="9">
        <v>18897</v>
      </c>
      <c r="G4" s="9">
        <v>18884</v>
      </c>
      <c r="H4" s="9">
        <v>20283</v>
      </c>
      <c r="I4" s="9">
        <v>19811</v>
      </c>
      <c r="J4" s="9">
        <f>+I4-H4</f>
        <v>-472</v>
      </c>
      <c r="K4" s="13">
        <f t="shared" ref="K4:K27" si="0">(I4-H4)/H4</f>
        <v>-2.3270719321599367E-2</v>
      </c>
    </row>
    <row r="5" spans="1:11" x14ac:dyDescent="0.2">
      <c r="A5" s="70" t="s">
        <v>5</v>
      </c>
      <c r="B5" s="9">
        <v>12897</v>
      </c>
      <c r="C5" s="9">
        <v>12958</v>
      </c>
      <c r="D5" s="9">
        <v>14617</v>
      </c>
      <c r="E5" s="9">
        <v>14458</v>
      </c>
      <c r="F5" s="9">
        <v>14640</v>
      </c>
      <c r="G5" s="9">
        <v>14919</v>
      </c>
      <c r="H5" s="9">
        <v>15924</v>
      </c>
      <c r="I5" s="9">
        <v>15714</v>
      </c>
      <c r="J5" s="9">
        <f t="shared" ref="J5:J30" si="1">+I5-H5</f>
        <v>-210</v>
      </c>
      <c r="K5" s="13">
        <f t="shared" si="0"/>
        <v>-1.3187641296156745E-2</v>
      </c>
    </row>
    <row r="6" spans="1:11" x14ac:dyDescent="0.2">
      <c r="A6" s="70" t="s">
        <v>190</v>
      </c>
      <c r="B6" s="9">
        <v>21787</v>
      </c>
      <c r="C6" s="9">
        <v>22780</v>
      </c>
      <c r="D6" s="9">
        <v>24099</v>
      </c>
      <c r="E6" s="9">
        <v>25913</v>
      </c>
      <c r="F6" s="9">
        <v>11385</v>
      </c>
      <c r="G6" s="9">
        <v>12231</v>
      </c>
      <c r="H6" s="9">
        <v>14432</v>
      </c>
      <c r="I6" s="9">
        <v>14602</v>
      </c>
      <c r="J6" s="9">
        <f t="shared" si="1"/>
        <v>170</v>
      </c>
      <c r="K6" s="13">
        <f t="shared" si="0"/>
        <v>1.1779379157427938E-2</v>
      </c>
    </row>
    <row r="7" spans="1:11" x14ac:dyDescent="0.2">
      <c r="A7" s="70" t="s">
        <v>1</v>
      </c>
      <c r="B7" s="9">
        <v>13365</v>
      </c>
      <c r="C7" s="9">
        <v>14084</v>
      </c>
      <c r="D7" s="9">
        <v>13234</v>
      </c>
      <c r="E7" s="9">
        <v>13730</v>
      </c>
      <c r="F7" s="9">
        <v>12007</v>
      </c>
      <c r="G7" s="9">
        <v>12139</v>
      </c>
      <c r="H7" s="9">
        <v>13302</v>
      </c>
      <c r="I7" s="9">
        <v>13806</v>
      </c>
      <c r="J7" s="9">
        <f t="shared" si="1"/>
        <v>504</v>
      </c>
      <c r="K7" s="17">
        <f t="shared" si="0"/>
        <v>3.7889039242219216E-2</v>
      </c>
    </row>
    <row r="8" spans="1:11" x14ac:dyDescent="0.2">
      <c r="A8" s="70" t="s">
        <v>191</v>
      </c>
      <c r="B8" s="9"/>
      <c r="C8" s="9"/>
      <c r="D8" s="9"/>
      <c r="E8" s="9"/>
      <c r="F8" s="9">
        <v>8821</v>
      </c>
      <c r="G8" s="9">
        <v>8468</v>
      </c>
      <c r="H8" s="9">
        <v>10788</v>
      </c>
      <c r="I8" s="9">
        <v>10707</v>
      </c>
      <c r="J8" s="9">
        <f t="shared" si="1"/>
        <v>-81</v>
      </c>
      <c r="K8" s="13">
        <f t="shared" si="0"/>
        <v>-7.508342602892102E-3</v>
      </c>
    </row>
    <row r="9" spans="1:11" x14ac:dyDescent="0.2">
      <c r="A9" s="70" t="s">
        <v>192</v>
      </c>
      <c r="B9" s="9">
        <v>9244</v>
      </c>
      <c r="C9" s="9">
        <v>9975</v>
      </c>
      <c r="D9" s="9">
        <v>9855</v>
      </c>
      <c r="E9" s="9">
        <v>9932</v>
      </c>
      <c r="F9" s="9">
        <v>8514</v>
      </c>
      <c r="G9" s="9">
        <v>8702</v>
      </c>
      <c r="H9" s="9">
        <v>8978</v>
      </c>
      <c r="I9" s="9">
        <v>9369</v>
      </c>
      <c r="J9" s="9">
        <f t="shared" si="1"/>
        <v>391</v>
      </c>
      <c r="K9" s="13">
        <f t="shared" si="0"/>
        <v>4.3550902205390957E-2</v>
      </c>
    </row>
    <row r="10" spans="1:11" x14ac:dyDescent="0.2">
      <c r="A10" s="70" t="s">
        <v>193</v>
      </c>
      <c r="B10" s="9"/>
      <c r="C10" s="9"/>
      <c r="D10" s="9"/>
      <c r="E10" s="9"/>
      <c r="F10" s="9">
        <v>6996</v>
      </c>
      <c r="G10" s="9">
        <v>7489</v>
      </c>
      <c r="H10" s="9">
        <v>8401</v>
      </c>
      <c r="I10" s="9">
        <v>8526</v>
      </c>
      <c r="J10" s="9">
        <f t="shared" si="1"/>
        <v>125</v>
      </c>
      <c r="K10" s="13">
        <f t="shared" si="0"/>
        <v>1.4879181049875016E-2</v>
      </c>
    </row>
    <row r="11" spans="1:11" x14ac:dyDescent="0.2">
      <c r="A11" s="70" t="s">
        <v>3</v>
      </c>
      <c r="B11" s="9">
        <v>7040</v>
      </c>
      <c r="C11" s="9">
        <v>6885</v>
      </c>
      <c r="D11" s="9">
        <v>7140</v>
      </c>
      <c r="E11" s="9">
        <v>7628</v>
      </c>
      <c r="F11" s="9">
        <v>7115</v>
      </c>
      <c r="G11" s="9">
        <v>6863</v>
      </c>
      <c r="H11" s="9">
        <v>7374</v>
      </c>
      <c r="I11" s="9">
        <v>7602</v>
      </c>
      <c r="J11" s="9">
        <f t="shared" si="1"/>
        <v>228</v>
      </c>
      <c r="K11" s="13">
        <f t="shared" si="0"/>
        <v>3.0919446704637917E-2</v>
      </c>
    </row>
    <row r="12" spans="1:11" x14ac:dyDescent="0.2">
      <c r="A12" s="70" t="s">
        <v>0</v>
      </c>
      <c r="B12" s="9">
        <v>4547</v>
      </c>
      <c r="C12" s="9">
        <v>4512</v>
      </c>
      <c r="D12" s="9">
        <v>4667</v>
      </c>
      <c r="E12" s="9">
        <v>5045</v>
      </c>
      <c r="F12" s="9">
        <v>4666</v>
      </c>
      <c r="G12" s="9">
        <v>4410</v>
      </c>
      <c r="H12" s="9">
        <v>4603</v>
      </c>
      <c r="I12" s="9">
        <v>4743</v>
      </c>
      <c r="J12" s="9">
        <f t="shared" si="1"/>
        <v>140</v>
      </c>
      <c r="K12" s="13">
        <f t="shared" si="0"/>
        <v>3.0414946773843144E-2</v>
      </c>
    </row>
    <row r="13" spans="1:11" x14ac:dyDescent="0.2">
      <c r="A13" s="70" t="s">
        <v>4</v>
      </c>
      <c r="B13" s="9">
        <v>2894</v>
      </c>
      <c r="C13" s="9">
        <v>2809</v>
      </c>
      <c r="D13" s="9">
        <v>2836</v>
      </c>
      <c r="E13" s="9">
        <v>3032</v>
      </c>
      <c r="F13" s="9">
        <v>2746</v>
      </c>
      <c r="G13" s="9">
        <v>2705</v>
      </c>
      <c r="H13" s="9">
        <v>3129</v>
      </c>
      <c r="I13" s="9">
        <v>3223</v>
      </c>
      <c r="J13" s="9">
        <f t="shared" si="1"/>
        <v>94</v>
      </c>
      <c r="K13" s="13">
        <f t="shared" si="0"/>
        <v>3.0041546820070309E-2</v>
      </c>
    </row>
    <row r="14" spans="1:11" x14ac:dyDescent="0.2">
      <c r="A14" s="70" t="s">
        <v>195</v>
      </c>
      <c r="B14" s="9">
        <v>1723</v>
      </c>
      <c r="C14" s="9">
        <v>1587</v>
      </c>
      <c r="D14" s="9">
        <v>1982</v>
      </c>
      <c r="E14" s="9">
        <v>2013</v>
      </c>
      <c r="F14" s="9">
        <v>2083</v>
      </c>
      <c r="G14" s="9">
        <v>1760</v>
      </c>
      <c r="H14" s="9">
        <v>1967</v>
      </c>
      <c r="I14" s="9">
        <v>2349</v>
      </c>
      <c r="J14" s="9">
        <f t="shared" si="1"/>
        <v>382</v>
      </c>
      <c r="K14" s="17">
        <f t="shared" si="0"/>
        <v>0.19420437214031519</v>
      </c>
    </row>
    <row r="15" spans="1:11" x14ac:dyDescent="0.2">
      <c r="A15" s="70" t="s">
        <v>173</v>
      </c>
      <c r="B15" s="9">
        <v>1106</v>
      </c>
      <c r="C15" s="9">
        <v>1440</v>
      </c>
      <c r="D15" s="9">
        <v>1606</v>
      </c>
      <c r="E15" s="9">
        <v>1780</v>
      </c>
      <c r="F15" s="9">
        <v>1745</v>
      </c>
      <c r="G15" s="9">
        <v>1717</v>
      </c>
      <c r="H15" s="9">
        <v>2088</v>
      </c>
      <c r="I15" s="9">
        <v>2254</v>
      </c>
      <c r="J15" s="9">
        <f t="shared" si="1"/>
        <v>166</v>
      </c>
      <c r="K15" s="13">
        <f t="shared" si="0"/>
        <v>7.9501915708812265E-2</v>
      </c>
    </row>
    <row r="16" spans="1:11" x14ac:dyDescent="0.2">
      <c r="A16" s="70" t="s">
        <v>194</v>
      </c>
      <c r="B16" s="9">
        <v>1495</v>
      </c>
      <c r="C16" s="9">
        <v>1542</v>
      </c>
      <c r="D16" s="9">
        <v>1539</v>
      </c>
      <c r="E16" s="9">
        <v>1913</v>
      </c>
      <c r="F16" s="9">
        <v>1769</v>
      </c>
      <c r="G16" s="9">
        <v>1749</v>
      </c>
      <c r="H16" s="9">
        <v>1791</v>
      </c>
      <c r="I16" s="9">
        <v>2065</v>
      </c>
      <c r="J16" s="9">
        <f t="shared" si="1"/>
        <v>274</v>
      </c>
      <c r="K16" s="13">
        <f t="shared" si="0"/>
        <v>0.15298715801228363</v>
      </c>
    </row>
    <row r="17" spans="1:11" x14ac:dyDescent="0.2">
      <c r="A17" s="70" t="s">
        <v>196</v>
      </c>
      <c r="B17" s="9">
        <v>1565</v>
      </c>
      <c r="C17" s="9">
        <v>1685</v>
      </c>
      <c r="D17" s="9">
        <v>1330</v>
      </c>
      <c r="E17" s="9">
        <v>1501</v>
      </c>
      <c r="F17" s="9">
        <v>1521</v>
      </c>
      <c r="G17" s="9">
        <v>1639</v>
      </c>
      <c r="H17" s="9">
        <v>1815</v>
      </c>
      <c r="I17" s="9">
        <v>1968</v>
      </c>
      <c r="J17" s="9">
        <f t="shared" si="1"/>
        <v>153</v>
      </c>
      <c r="K17" s="13">
        <f t="shared" si="0"/>
        <v>8.4297520661157019E-2</v>
      </c>
    </row>
    <row r="18" spans="1:11" x14ac:dyDescent="0.2">
      <c r="A18" s="70" t="s">
        <v>174</v>
      </c>
      <c r="B18" s="9">
        <v>882</v>
      </c>
      <c r="C18" s="9">
        <v>1208</v>
      </c>
      <c r="D18" s="9">
        <v>1372</v>
      </c>
      <c r="E18" s="9">
        <v>1695</v>
      </c>
      <c r="F18" s="9">
        <v>1555</v>
      </c>
      <c r="G18" s="9">
        <v>1492</v>
      </c>
      <c r="H18" s="9">
        <v>1778</v>
      </c>
      <c r="I18" s="9">
        <v>1937</v>
      </c>
      <c r="J18" s="9">
        <f t="shared" si="1"/>
        <v>159</v>
      </c>
      <c r="K18" s="13">
        <f t="shared" si="0"/>
        <v>8.9426321709786274E-2</v>
      </c>
    </row>
    <row r="19" spans="1:11" x14ac:dyDescent="0.2">
      <c r="A19" s="70" t="s">
        <v>2</v>
      </c>
      <c r="B19" s="9">
        <v>2050</v>
      </c>
      <c r="C19" s="9">
        <v>2000</v>
      </c>
      <c r="D19" s="9">
        <v>2058</v>
      </c>
      <c r="E19" s="9">
        <v>1704</v>
      </c>
      <c r="F19" s="9">
        <v>1539</v>
      </c>
      <c r="G19" s="9">
        <v>1647</v>
      </c>
      <c r="H19" s="9">
        <v>1589</v>
      </c>
      <c r="I19" s="9">
        <v>1565</v>
      </c>
      <c r="J19" s="9">
        <f t="shared" si="1"/>
        <v>-24</v>
      </c>
      <c r="K19" s="13">
        <f t="shared" si="0"/>
        <v>-1.5103838892385148E-2</v>
      </c>
    </row>
    <row r="20" spans="1:11" x14ac:dyDescent="0.2">
      <c r="A20" s="70" t="s">
        <v>175</v>
      </c>
      <c r="B20" s="9">
        <v>513</v>
      </c>
      <c r="C20" s="9">
        <v>904</v>
      </c>
      <c r="D20" s="9">
        <v>981</v>
      </c>
      <c r="E20" s="9">
        <v>1036</v>
      </c>
      <c r="F20" s="9">
        <v>1204</v>
      </c>
      <c r="G20" s="9">
        <v>1104</v>
      </c>
      <c r="H20" s="9">
        <v>874</v>
      </c>
      <c r="I20" s="9">
        <v>1168</v>
      </c>
      <c r="J20" s="9">
        <f t="shared" si="1"/>
        <v>294</v>
      </c>
      <c r="K20" s="13">
        <f t="shared" si="0"/>
        <v>0.33638443935926776</v>
      </c>
    </row>
    <row r="21" spans="1:11" x14ac:dyDescent="0.2">
      <c r="A21" s="70" t="s">
        <v>197</v>
      </c>
      <c r="B21" s="9">
        <v>803</v>
      </c>
      <c r="C21" s="9">
        <v>729</v>
      </c>
      <c r="D21" s="9">
        <v>844</v>
      </c>
      <c r="E21" s="9">
        <v>1010</v>
      </c>
      <c r="F21" s="9">
        <v>972</v>
      </c>
      <c r="G21" s="9">
        <v>895</v>
      </c>
      <c r="H21" s="9">
        <v>671</v>
      </c>
      <c r="I21" s="9">
        <v>1111</v>
      </c>
      <c r="J21" s="9">
        <f t="shared" si="1"/>
        <v>440</v>
      </c>
      <c r="K21" s="16">
        <f t="shared" si="0"/>
        <v>0.65573770491803274</v>
      </c>
    </row>
    <row r="22" spans="1:11" x14ac:dyDescent="0.2">
      <c r="A22" s="70" t="s">
        <v>198</v>
      </c>
      <c r="B22" s="9">
        <v>470</v>
      </c>
      <c r="C22" s="9">
        <v>518</v>
      </c>
      <c r="D22" s="9">
        <v>749</v>
      </c>
      <c r="E22" s="9">
        <v>751</v>
      </c>
      <c r="F22" s="9">
        <v>799</v>
      </c>
      <c r="G22" s="9">
        <v>707</v>
      </c>
      <c r="H22" s="9">
        <v>289</v>
      </c>
      <c r="I22" s="9">
        <v>856</v>
      </c>
      <c r="J22" s="9">
        <f t="shared" si="1"/>
        <v>567</v>
      </c>
      <c r="K22" s="16">
        <f t="shared" si="0"/>
        <v>1.9619377162629759</v>
      </c>
    </row>
    <row r="23" spans="1:11" x14ac:dyDescent="0.2">
      <c r="A23" s="70" t="s">
        <v>199</v>
      </c>
      <c r="B23" s="9">
        <v>369</v>
      </c>
      <c r="C23" s="9">
        <v>407</v>
      </c>
      <c r="D23" s="9">
        <v>398</v>
      </c>
      <c r="E23" s="9">
        <v>371</v>
      </c>
      <c r="F23" s="9">
        <v>433</v>
      </c>
      <c r="G23" s="9">
        <v>439</v>
      </c>
      <c r="H23" s="9">
        <v>537</v>
      </c>
      <c r="I23" s="9">
        <v>583</v>
      </c>
      <c r="J23" s="9">
        <f t="shared" si="1"/>
        <v>46</v>
      </c>
      <c r="K23" s="13">
        <f t="shared" si="0"/>
        <v>8.5661080074487903E-2</v>
      </c>
    </row>
    <row r="24" spans="1:11" x14ac:dyDescent="0.2">
      <c r="A24" s="70" t="s">
        <v>7</v>
      </c>
      <c r="B24" s="9">
        <v>208</v>
      </c>
      <c r="C24" s="9">
        <v>260</v>
      </c>
      <c r="D24" s="9">
        <v>213</v>
      </c>
      <c r="E24" s="9">
        <v>237</v>
      </c>
      <c r="F24" s="9">
        <v>97</v>
      </c>
      <c r="G24" s="9">
        <v>189</v>
      </c>
      <c r="H24" s="9">
        <v>166</v>
      </c>
      <c r="I24" s="9">
        <v>265</v>
      </c>
      <c r="J24" s="9">
        <f t="shared" si="1"/>
        <v>99</v>
      </c>
      <c r="K24" s="16">
        <f t="shared" si="0"/>
        <v>0.59638554216867468</v>
      </c>
    </row>
    <row r="25" spans="1:11" x14ac:dyDescent="0.2">
      <c r="A25" s="70" t="s">
        <v>200</v>
      </c>
      <c r="B25" s="9">
        <v>417</v>
      </c>
      <c r="C25" s="9">
        <v>449</v>
      </c>
      <c r="D25" s="9">
        <v>381</v>
      </c>
      <c r="E25" s="9">
        <v>392</v>
      </c>
      <c r="F25" s="9">
        <v>382</v>
      </c>
      <c r="G25" s="9">
        <v>388</v>
      </c>
      <c r="H25" s="9">
        <v>195</v>
      </c>
      <c r="I25" s="9">
        <v>253</v>
      </c>
      <c r="J25" s="9">
        <f t="shared" si="1"/>
        <v>58</v>
      </c>
      <c r="K25" s="13">
        <f t="shared" si="0"/>
        <v>0.29743589743589743</v>
      </c>
    </row>
    <row r="26" spans="1:11" x14ac:dyDescent="0.2">
      <c r="A26" s="70" t="s">
        <v>8</v>
      </c>
      <c r="B26" s="9">
        <v>39</v>
      </c>
      <c r="C26" s="9">
        <v>47</v>
      </c>
      <c r="D26" s="9">
        <v>43</v>
      </c>
      <c r="E26" s="9">
        <v>58</v>
      </c>
      <c r="F26" s="9">
        <v>45</v>
      </c>
      <c r="G26" s="9">
        <v>59</v>
      </c>
      <c r="H26" s="9">
        <v>74</v>
      </c>
      <c r="I26" s="9">
        <v>126</v>
      </c>
      <c r="J26" s="9">
        <f t="shared" si="1"/>
        <v>52</v>
      </c>
      <c r="K26" s="16">
        <f t="shared" si="0"/>
        <v>0.70270270270270274</v>
      </c>
    </row>
    <row r="27" spans="1:11" x14ac:dyDescent="0.2">
      <c r="A27" s="70" t="s">
        <v>6</v>
      </c>
      <c r="B27" s="9">
        <v>110</v>
      </c>
      <c r="C27" s="9">
        <v>103</v>
      </c>
      <c r="D27" s="9">
        <v>106</v>
      </c>
      <c r="E27" s="9">
        <v>112</v>
      </c>
      <c r="F27" s="9">
        <v>74</v>
      </c>
      <c r="G27" s="9">
        <v>80</v>
      </c>
      <c r="H27" s="9">
        <v>83</v>
      </c>
      <c r="I27" s="9">
        <v>124</v>
      </c>
      <c r="J27" s="9">
        <f t="shared" si="1"/>
        <v>41</v>
      </c>
      <c r="K27" s="16">
        <f t="shared" si="0"/>
        <v>0.49397590361445781</v>
      </c>
    </row>
    <row r="28" spans="1:11" x14ac:dyDescent="0.2">
      <c r="A28" s="70" t="s">
        <v>1246</v>
      </c>
      <c r="B28" s="9"/>
      <c r="C28" s="9"/>
      <c r="D28" s="9"/>
      <c r="E28" s="9"/>
      <c r="F28" s="9"/>
      <c r="G28" s="9"/>
      <c r="H28" s="9"/>
      <c r="I28" s="9">
        <v>39</v>
      </c>
      <c r="J28" s="9">
        <f t="shared" si="1"/>
        <v>39</v>
      </c>
      <c r="K28" s="13"/>
    </row>
    <row r="29" spans="1:11" x14ac:dyDescent="0.2">
      <c r="A29" s="70" t="s">
        <v>61</v>
      </c>
      <c r="B29" s="9">
        <v>33</v>
      </c>
      <c r="C29" s="9">
        <v>29</v>
      </c>
      <c r="D29" s="9">
        <v>36</v>
      </c>
      <c r="E29" s="9">
        <v>50</v>
      </c>
      <c r="F29" s="9">
        <v>24</v>
      </c>
      <c r="G29" s="9">
        <v>24</v>
      </c>
      <c r="H29" s="9">
        <v>22</v>
      </c>
      <c r="I29" s="9">
        <v>26</v>
      </c>
      <c r="J29" s="9">
        <f t="shared" si="1"/>
        <v>4</v>
      </c>
      <c r="K29" s="13">
        <f>(I29-H29)/H29</f>
        <v>0.18181818181818182</v>
      </c>
    </row>
    <row r="30" spans="1:11" x14ac:dyDescent="0.2">
      <c r="A30" s="70" t="s">
        <v>201</v>
      </c>
      <c r="B30" s="9">
        <v>20</v>
      </c>
      <c r="C30" s="9">
        <v>28</v>
      </c>
      <c r="D30" s="9">
        <v>35</v>
      </c>
      <c r="E30" s="9">
        <v>30</v>
      </c>
      <c r="F30" s="9">
        <v>19</v>
      </c>
      <c r="G30" s="9">
        <v>18</v>
      </c>
      <c r="H30" s="9">
        <v>22</v>
      </c>
      <c r="I30" s="9">
        <v>25</v>
      </c>
      <c r="J30" s="9">
        <f t="shared" si="1"/>
        <v>3</v>
      </c>
      <c r="K30" s="13">
        <f>(I30-H30)/H30</f>
        <v>0.13636363636363635</v>
      </c>
    </row>
    <row r="31" spans="1:11" x14ac:dyDescent="0.2">
      <c r="A31" s="71" t="s">
        <v>11</v>
      </c>
      <c r="B31" s="72">
        <f t="shared" ref="B31:G31" si="2">SUM(B4:B30)</f>
        <v>102947</v>
      </c>
      <c r="C31" s="72">
        <f t="shared" si="2"/>
        <v>106616</v>
      </c>
      <c r="D31" s="72">
        <f t="shared" si="2"/>
        <v>109423</v>
      </c>
      <c r="E31" s="72">
        <f t="shared" si="2"/>
        <v>114018</v>
      </c>
      <c r="F31" s="72">
        <f t="shared" si="2"/>
        <v>110048</v>
      </c>
      <c r="G31" s="72">
        <f t="shared" si="2"/>
        <v>110717</v>
      </c>
      <c r="H31" s="72">
        <f>SUM(H4:H30)</f>
        <v>121175</v>
      </c>
      <c r="I31" s="72">
        <f>SUM(I4:I30)</f>
        <v>124817</v>
      </c>
      <c r="J31" s="15">
        <f>+I31-H31</f>
        <v>3642</v>
      </c>
      <c r="K31" s="14">
        <f>(I31-H31)/H31</f>
        <v>3.0055704559521352E-2</v>
      </c>
    </row>
    <row r="32" spans="1:11" ht="9.9499999999999993" customHeight="1" x14ac:dyDescent="0.2">
      <c r="A32" s="5" t="s">
        <v>1348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s="7"/>
      <c r="B33" s="6"/>
      <c r="D33" s="6"/>
      <c r="F33" s="6"/>
      <c r="H33" s="6"/>
    </row>
    <row r="34" spans="1:9" ht="35.25" customHeight="1" x14ac:dyDescent="0.2">
      <c r="A34" s="151" t="s">
        <v>1323</v>
      </c>
      <c r="B34" s="151"/>
      <c r="C34" s="151"/>
      <c r="D34" s="151"/>
      <c r="E34" s="151"/>
      <c r="F34" s="151"/>
      <c r="G34" s="151"/>
      <c r="H34" s="151"/>
      <c r="I34" s="151"/>
    </row>
    <row r="35" spans="1:9" x14ac:dyDescent="0.2">
      <c r="A35" s="2"/>
      <c r="B35" s="6"/>
      <c r="E35" s="6"/>
      <c r="F35" s="6"/>
      <c r="G35" s="6"/>
      <c r="H35" s="6"/>
      <c r="I35" s="6"/>
    </row>
    <row r="36" spans="1:9" x14ac:dyDescent="0.2">
      <c r="A36" s="2"/>
      <c r="B36" s="6"/>
      <c r="E36" s="6"/>
      <c r="F36" s="6"/>
      <c r="G36" s="6"/>
      <c r="H36" s="6"/>
      <c r="I36" s="6"/>
    </row>
    <row r="37" spans="1:9" x14ac:dyDescent="0.2">
      <c r="A37" s="2"/>
      <c r="B37" s="6"/>
      <c r="E37" s="6"/>
      <c r="F37" s="6"/>
      <c r="G37" s="6"/>
      <c r="H37" s="6"/>
      <c r="I37" s="6"/>
    </row>
    <row r="38" spans="1:9" x14ac:dyDescent="0.2">
      <c r="A38" s="2"/>
      <c r="B38" s="6"/>
      <c r="E38" s="6"/>
      <c r="F38" s="6"/>
      <c r="G38" s="6"/>
      <c r="H38" s="6"/>
      <c r="I38" s="6"/>
    </row>
    <row r="39" spans="1:9" x14ac:dyDescent="0.2">
      <c r="D39" s="6"/>
    </row>
    <row r="40" spans="1:9" x14ac:dyDescent="0.2">
      <c r="D40" s="6"/>
    </row>
    <row r="61" spans="1:2" ht="25.5" x14ac:dyDescent="0.2">
      <c r="A61" s="8" t="s">
        <v>1252</v>
      </c>
      <c r="B61" s="12" t="s">
        <v>1251</v>
      </c>
    </row>
    <row r="62" spans="1:2" x14ac:dyDescent="0.2">
      <c r="A62" s="6" t="str">
        <f>B3</f>
        <v>2015-2016</v>
      </c>
      <c r="B62" s="9">
        <f>B31</f>
        <v>102947</v>
      </c>
    </row>
    <row r="63" spans="1:2" x14ac:dyDescent="0.2">
      <c r="A63" s="6" t="str">
        <f>C3</f>
        <v>2016-2017</v>
      </c>
      <c r="B63" s="9">
        <f>C31</f>
        <v>106616</v>
      </c>
    </row>
    <row r="64" spans="1:2" x14ac:dyDescent="0.2">
      <c r="A64" s="6" t="str">
        <f>D3</f>
        <v>2017-2018</v>
      </c>
      <c r="B64" s="9">
        <f>D31</f>
        <v>109423</v>
      </c>
    </row>
    <row r="65" spans="1:2" x14ac:dyDescent="0.2">
      <c r="A65" s="6" t="str">
        <f>E3</f>
        <v>2018-2019</v>
      </c>
      <c r="B65" s="9">
        <f>E31</f>
        <v>114018</v>
      </c>
    </row>
    <row r="66" spans="1:2" x14ac:dyDescent="0.2">
      <c r="A66" s="6" t="str">
        <f>F3</f>
        <v>2019-2020</v>
      </c>
      <c r="B66" s="9">
        <f>F31</f>
        <v>110048</v>
      </c>
    </row>
    <row r="67" spans="1:2" x14ac:dyDescent="0.2">
      <c r="A67" s="6" t="str">
        <f>G3</f>
        <v>2020-2021</v>
      </c>
      <c r="B67" s="9">
        <f>G31</f>
        <v>110717</v>
      </c>
    </row>
    <row r="68" spans="1:2" x14ac:dyDescent="0.2">
      <c r="A68" s="6" t="str">
        <f>H3</f>
        <v>2021-2022</v>
      </c>
      <c r="B68" s="9">
        <f>H31</f>
        <v>121175</v>
      </c>
    </row>
    <row r="69" spans="1:2" x14ac:dyDescent="0.2">
      <c r="A69" s="6" t="str">
        <f>I3</f>
        <v>2022-2023</v>
      </c>
      <c r="B69" s="9">
        <f>I31</f>
        <v>124817</v>
      </c>
    </row>
  </sheetData>
  <mergeCells count="4">
    <mergeCell ref="A2:A3"/>
    <mergeCell ref="B2:H2"/>
    <mergeCell ref="A1:I1"/>
    <mergeCell ref="A34:I34"/>
  </mergeCells>
  <phoneticPr fontId="0" type="noConversion"/>
  <pageMargins left="0.76" right="0.12" top="0.94" bottom="0.47" header="0" footer="0.2"/>
  <pageSetup paperSize="9"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0"/>
  <dimension ref="A1:N1091"/>
  <sheetViews>
    <sheetView showGridLines="0" tabSelected="1" zoomScaleNormal="100" workbookViewId="0">
      <selection activeCell="O21" sqref="O21"/>
    </sheetView>
  </sheetViews>
  <sheetFormatPr baseColWidth="10" defaultColWidth="20.28515625" defaultRowHeight="12.75" x14ac:dyDescent="0.2"/>
  <cols>
    <col min="1" max="1" width="24.5703125" style="38" bestFit="1" customWidth="1"/>
    <col min="2" max="2" width="8.5703125" style="19" customWidth="1"/>
    <col min="3" max="14" width="5.85546875" style="19" customWidth="1"/>
    <col min="15" max="16384" width="20.28515625" style="21"/>
  </cols>
  <sheetData>
    <row r="1" spans="1:14" x14ac:dyDescent="0.2">
      <c r="F1" s="22"/>
    </row>
    <row r="2" spans="1:14" ht="12" customHeight="1" x14ac:dyDescent="0.2">
      <c r="A2" s="153" t="s">
        <v>1335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</row>
    <row r="3" spans="1:14" ht="12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ht="42" customHeight="1" x14ac:dyDescent="0.2">
      <c r="A4" s="139" t="s">
        <v>1329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</row>
    <row r="5" spans="1:14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154" t="s">
        <v>47</v>
      </c>
      <c r="B6" s="156" t="s">
        <v>11</v>
      </c>
      <c r="C6" s="156">
        <v>2022</v>
      </c>
      <c r="D6" s="156"/>
      <c r="E6" s="156"/>
      <c r="F6" s="156"/>
      <c r="G6" s="156"/>
      <c r="H6" s="156">
        <v>2023</v>
      </c>
      <c r="I6" s="156"/>
      <c r="J6" s="156"/>
      <c r="K6" s="156"/>
      <c r="L6" s="156"/>
      <c r="M6" s="156"/>
      <c r="N6" s="156"/>
    </row>
    <row r="7" spans="1:14" x14ac:dyDescent="0.2">
      <c r="A7" s="155"/>
      <c r="B7" s="157"/>
      <c r="C7" s="60" t="s">
        <v>12</v>
      </c>
      <c r="D7" s="60" t="s">
        <v>13</v>
      </c>
      <c r="E7" s="60" t="s">
        <v>14</v>
      </c>
      <c r="F7" s="60" t="s">
        <v>15</v>
      </c>
      <c r="G7" s="60" t="s">
        <v>16</v>
      </c>
      <c r="H7" s="60" t="s">
        <v>17</v>
      </c>
      <c r="I7" s="60" t="s">
        <v>18</v>
      </c>
      <c r="J7" s="60" t="s">
        <v>19</v>
      </c>
      <c r="K7" s="60" t="s">
        <v>20</v>
      </c>
      <c r="L7" s="60" t="s">
        <v>21</v>
      </c>
      <c r="M7" s="60" t="s">
        <v>22</v>
      </c>
      <c r="N7" s="60" t="s">
        <v>23</v>
      </c>
    </row>
    <row r="8" spans="1:14" x14ac:dyDescent="0.2">
      <c r="A8" s="61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1:14" ht="18" customHeight="1" x14ac:dyDescent="0.2">
      <c r="A9" s="61" t="s">
        <v>11</v>
      </c>
      <c r="B9" s="56">
        <f>SUM(B10:B20)</f>
        <v>25</v>
      </c>
      <c r="C9" s="56">
        <f t="shared" ref="C9:M9" si="0">SUM(C10:C20)</f>
        <v>0</v>
      </c>
      <c r="D9" s="56">
        <f t="shared" si="0"/>
        <v>4</v>
      </c>
      <c r="E9" s="56">
        <f t="shared" si="0"/>
        <v>3</v>
      </c>
      <c r="F9" s="56">
        <f t="shared" si="0"/>
        <v>9</v>
      </c>
      <c r="G9" s="56">
        <f t="shared" si="0"/>
        <v>4</v>
      </c>
      <c r="H9" s="56">
        <f t="shared" si="0"/>
        <v>0</v>
      </c>
      <c r="I9" s="56">
        <f t="shared" si="0"/>
        <v>1</v>
      </c>
      <c r="J9" s="56">
        <f t="shared" si="0"/>
        <v>0</v>
      </c>
      <c r="K9" s="56">
        <f t="shared" si="0"/>
        <v>2</v>
      </c>
      <c r="L9" s="56">
        <f t="shared" si="0"/>
        <v>2</v>
      </c>
      <c r="M9" s="56">
        <f t="shared" si="0"/>
        <v>0</v>
      </c>
      <c r="N9" s="56">
        <f>SUM(N10:N20)</f>
        <v>0</v>
      </c>
    </row>
    <row r="10" spans="1:14" ht="18" customHeight="1" x14ac:dyDescent="0.2">
      <c r="A10" s="62" t="s">
        <v>48</v>
      </c>
      <c r="B10" s="56">
        <v>17</v>
      </c>
      <c r="C10" s="57"/>
      <c r="D10" s="57">
        <v>4</v>
      </c>
      <c r="E10" s="57">
        <v>2</v>
      </c>
      <c r="F10" s="57">
        <v>2</v>
      </c>
      <c r="G10" s="57">
        <v>4</v>
      </c>
      <c r="H10" s="57"/>
      <c r="I10" s="57">
        <v>1</v>
      </c>
      <c r="J10" s="57"/>
      <c r="K10" s="57">
        <v>2</v>
      </c>
      <c r="L10" s="57">
        <v>2</v>
      </c>
      <c r="M10" s="57"/>
      <c r="N10" s="57"/>
    </row>
    <row r="11" spans="1:14" ht="18" customHeight="1" x14ac:dyDescent="0.2">
      <c r="A11" s="62" t="s">
        <v>52</v>
      </c>
      <c r="B11" s="56">
        <v>8</v>
      </c>
      <c r="C11" s="57"/>
      <c r="D11" s="57"/>
      <c r="E11" s="57">
        <v>1</v>
      </c>
      <c r="F11" s="57">
        <v>7</v>
      </c>
      <c r="G11" s="57"/>
      <c r="H11" s="57"/>
      <c r="I11" s="57"/>
      <c r="J11" s="57"/>
      <c r="K11" s="57"/>
      <c r="L11" s="57"/>
      <c r="M11" s="57"/>
      <c r="N11" s="57"/>
    </row>
    <row r="12" spans="1:14" ht="18" customHeight="1" x14ac:dyDescent="0.2">
      <c r="A12" s="62" t="s">
        <v>50</v>
      </c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 ht="18" customHeight="1" x14ac:dyDescent="0.2">
      <c r="A13" s="62" t="s">
        <v>57</v>
      </c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 ht="18" customHeight="1" x14ac:dyDescent="0.2">
      <c r="A14" s="62" t="s">
        <v>51</v>
      </c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 ht="18" customHeight="1" x14ac:dyDescent="0.2">
      <c r="A15" s="62" t="s">
        <v>53</v>
      </c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ht="18" customHeight="1" x14ac:dyDescent="0.2">
      <c r="A16" s="62" t="s">
        <v>56</v>
      </c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1:14" x14ac:dyDescent="0.2">
      <c r="A17" s="62" t="s">
        <v>58</v>
      </c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</row>
    <row r="18" spans="1:14" ht="18" customHeight="1" x14ac:dyDescent="0.2">
      <c r="A18" s="62" t="s">
        <v>54</v>
      </c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 ht="18" customHeight="1" x14ac:dyDescent="0.2">
      <c r="A19" s="62" t="s">
        <v>49</v>
      </c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4" ht="18" customHeight="1" x14ac:dyDescent="0.2">
      <c r="A20" s="63" t="s">
        <v>168</v>
      </c>
      <c r="B20" s="58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2" spans="1:14" ht="34.5" customHeight="1" x14ac:dyDescent="0.2">
      <c r="A22" s="139" t="s">
        <v>1330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</row>
    <row r="23" spans="1:14" x14ac:dyDescent="0.2">
      <c r="C23" s="22"/>
      <c r="G23" s="22"/>
    </row>
    <row r="24" spans="1:14" x14ac:dyDescent="0.2">
      <c r="C24" s="22"/>
    </row>
    <row r="42" spans="1:14" x14ac:dyDescent="0.2">
      <c r="F42" s="22"/>
    </row>
    <row r="43" spans="1:14" x14ac:dyDescent="0.2">
      <c r="A43" s="153" t="s">
        <v>1336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</row>
    <row r="44" spans="1:14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ht="27.75" customHeight="1" x14ac:dyDescent="0.2">
      <c r="A45" s="139" t="s">
        <v>1331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</row>
    <row r="47" spans="1:14" x14ac:dyDescent="0.2">
      <c r="A47" s="154" t="s">
        <v>47</v>
      </c>
      <c r="B47" s="156" t="s">
        <v>11</v>
      </c>
      <c r="C47" s="156">
        <f>+C6</f>
        <v>2022</v>
      </c>
      <c r="D47" s="156"/>
      <c r="E47" s="156"/>
      <c r="F47" s="156"/>
      <c r="G47" s="156"/>
      <c r="H47" s="156">
        <f>+H6</f>
        <v>2023</v>
      </c>
      <c r="I47" s="156"/>
      <c r="J47" s="156"/>
      <c r="K47" s="156"/>
      <c r="L47" s="156"/>
      <c r="M47" s="156"/>
      <c r="N47" s="156"/>
    </row>
    <row r="48" spans="1:14" x14ac:dyDescent="0.2">
      <c r="A48" s="155"/>
      <c r="B48" s="157"/>
      <c r="C48" s="60" t="s">
        <v>12</v>
      </c>
      <c r="D48" s="60" t="s">
        <v>13</v>
      </c>
      <c r="E48" s="60" t="s">
        <v>14</v>
      </c>
      <c r="F48" s="60" t="s">
        <v>15</v>
      </c>
      <c r="G48" s="60" t="s">
        <v>16</v>
      </c>
      <c r="H48" s="60" t="s">
        <v>17</v>
      </c>
      <c r="I48" s="60" t="s">
        <v>18</v>
      </c>
      <c r="J48" s="60" t="s">
        <v>19</v>
      </c>
      <c r="K48" s="60" t="s">
        <v>20</v>
      </c>
      <c r="L48" s="60" t="s">
        <v>21</v>
      </c>
      <c r="M48" s="60" t="s">
        <v>22</v>
      </c>
      <c r="N48" s="60" t="s">
        <v>23</v>
      </c>
    </row>
    <row r="49" spans="1:14" x14ac:dyDescent="0.2">
      <c r="A49" s="6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ht="18" customHeight="1" x14ac:dyDescent="0.2">
      <c r="A50" s="61" t="s">
        <v>11</v>
      </c>
      <c r="B50" s="56">
        <f t="shared" ref="B50:N50" si="1">SUM(B51:B61)</f>
        <v>583</v>
      </c>
      <c r="C50" s="56">
        <f t="shared" si="1"/>
        <v>46</v>
      </c>
      <c r="D50" s="56">
        <f t="shared" si="1"/>
        <v>170</v>
      </c>
      <c r="E50" s="56">
        <f t="shared" si="1"/>
        <v>168</v>
      </c>
      <c r="F50" s="56">
        <f t="shared" si="1"/>
        <v>99</v>
      </c>
      <c r="G50" s="56">
        <f t="shared" si="1"/>
        <v>44</v>
      </c>
      <c r="H50" s="56">
        <f t="shared" si="1"/>
        <v>6</v>
      </c>
      <c r="I50" s="56">
        <f t="shared" si="1"/>
        <v>2</v>
      </c>
      <c r="J50" s="56">
        <f t="shared" si="1"/>
        <v>2</v>
      </c>
      <c r="K50" s="56">
        <f t="shared" si="1"/>
        <v>4</v>
      </c>
      <c r="L50" s="56">
        <f t="shared" si="1"/>
        <v>14</v>
      </c>
      <c r="M50" s="56">
        <f t="shared" si="1"/>
        <v>16</v>
      </c>
      <c r="N50" s="56">
        <f t="shared" si="1"/>
        <v>12</v>
      </c>
    </row>
    <row r="51" spans="1:14" ht="18" customHeight="1" x14ac:dyDescent="0.2">
      <c r="A51" s="62" t="s">
        <v>53</v>
      </c>
      <c r="B51" s="56">
        <v>211</v>
      </c>
      <c r="C51" s="57">
        <v>2</v>
      </c>
      <c r="D51" s="57">
        <v>35</v>
      </c>
      <c r="E51" s="57">
        <v>54</v>
      </c>
      <c r="F51" s="57">
        <v>51</v>
      </c>
      <c r="G51" s="57">
        <v>25</v>
      </c>
      <c r="H51" s="57">
        <v>5</v>
      </c>
      <c r="I51" s="57"/>
      <c r="J51" s="57"/>
      <c r="K51" s="57">
        <v>2</v>
      </c>
      <c r="L51" s="57">
        <v>14</v>
      </c>
      <c r="M51" s="57">
        <v>16</v>
      </c>
      <c r="N51" s="57">
        <v>7</v>
      </c>
    </row>
    <row r="52" spans="1:14" ht="18" customHeight="1" x14ac:dyDescent="0.2">
      <c r="A52" s="62" t="s">
        <v>49</v>
      </c>
      <c r="B52" s="56">
        <v>208</v>
      </c>
      <c r="C52" s="57">
        <v>32</v>
      </c>
      <c r="D52" s="57">
        <v>73</v>
      </c>
      <c r="E52" s="57">
        <v>61</v>
      </c>
      <c r="F52" s="57">
        <v>31</v>
      </c>
      <c r="G52" s="57">
        <v>11</v>
      </c>
      <c r="H52" s="57"/>
      <c r="I52" s="57"/>
      <c r="J52" s="57"/>
      <c r="K52" s="57"/>
      <c r="L52" s="57"/>
      <c r="M52" s="57"/>
      <c r="N52" s="57"/>
    </row>
    <row r="53" spans="1:14" ht="18" customHeight="1" x14ac:dyDescent="0.2">
      <c r="A53" s="62" t="s">
        <v>50</v>
      </c>
      <c r="B53" s="56">
        <v>92</v>
      </c>
      <c r="C53" s="57">
        <v>5</v>
      </c>
      <c r="D53" s="57">
        <v>53</v>
      </c>
      <c r="E53" s="57">
        <v>32</v>
      </c>
      <c r="F53" s="57"/>
      <c r="G53" s="57"/>
      <c r="H53" s="57"/>
      <c r="I53" s="57"/>
      <c r="J53" s="57"/>
      <c r="K53" s="57"/>
      <c r="L53" s="57"/>
      <c r="M53" s="57"/>
      <c r="N53" s="57">
        <v>2</v>
      </c>
    </row>
    <row r="54" spans="1:14" ht="18" customHeight="1" x14ac:dyDescent="0.2">
      <c r="A54" s="62" t="s">
        <v>48</v>
      </c>
      <c r="B54" s="56">
        <v>37</v>
      </c>
      <c r="C54" s="57">
        <v>3</v>
      </c>
      <c r="D54" s="57">
        <v>3</v>
      </c>
      <c r="E54" s="57">
        <v>12</v>
      </c>
      <c r="F54" s="57">
        <v>15</v>
      </c>
      <c r="G54" s="57">
        <v>4</v>
      </c>
      <c r="H54" s="57"/>
      <c r="I54" s="57"/>
      <c r="J54" s="57"/>
      <c r="K54" s="57"/>
      <c r="L54" s="57"/>
      <c r="M54" s="57"/>
      <c r="N54" s="57"/>
    </row>
    <row r="55" spans="1:14" ht="18" customHeight="1" x14ac:dyDescent="0.2">
      <c r="A55" s="62" t="s">
        <v>52</v>
      </c>
      <c r="B55" s="56">
        <v>23</v>
      </c>
      <c r="C55" s="57">
        <v>4</v>
      </c>
      <c r="D55" s="57">
        <v>5</v>
      </c>
      <c r="E55" s="57">
        <v>7</v>
      </c>
      <c r="F55" s="57">
        <v>1</v>
      </c>
      <c r="G55" s="57">
        <v>3</v>
      </c>
      <c r="H55" s="57"/>
      <c r="I55" s="57"/>
      <c r="J55" s="57"/>
      <c r="K55" s="57"/>
      <c r="L55" s="57"/>
      <c r="M55" s="57"/>
      <c r="N55" s="57">
        <v>3</v>
      </c>
    </row>
    <row r="56" spans="1:14" ht="18" customHeight="1" x14ac:dyDescent="0.2">
      <c r="A56" s="62" t="s">
        <v>56</v>
      </c>
      <c r="B56" s="56">
        <v>6</v>
      </c>
      <c r="C56" s="57"/>
      <c r="D56" s="57"/>
      <c r="E56" s="57"/>
      <c r="F56" s="57"/>
      <c r="G56" s="57"/>
      <c r="H56" s="57"/>
      <c r="I56" s="57">
        <v>2</v>
      </c>
      <c r="J56" s="57">
        <v>2</v>
      </c>
      <c r="K56" s="57">
        <v>2</v>
      </c>
      <c r="L56" s="57"/>
      <c r="M56" s="57"/>
      <c r="N56" s="57"/>
    </row>
    <row r="57" spans="1:14" ht="18" customHeight="1" x14ac:dyDescent="0.2">
      <c r="A57" s="62" t="s">
        <v>51</v>
      </c>
      <c r="B57" s="56">
        <v>5</v>
      </c>
      <c r="C57" s="57"/>
      <c r="D57" s="57">
        <v>1</v>
      </c>
      <c r="E57" s="57">
        <v>1</v>
      </c>
      <c r="F57" s="57">
        <v>1</v>
      </c>
      <c r="G57" s="57">
        <v>1</v>
      </c>
      <c r="H57" s="57">
        <v>1</v>
      </c>
      <c r="I57" s="57"/>
      <c r="J57" s="57"/>
      <c r="K57" s="57"/>
      <c r="L57" s="57"/>
      <c r="M57" s="57"/>
      <c r="N57" s="57"/>
    </row>
    <row r="58" spans="1:14" ht="18" customHeight="1" x14ac:dyDescent="0.2">
      <c r="A58" s="62" t="s">
        <v>54</v>
      </c>
      <c r="B58" s="56">
        <v>1</v>
      </c>
      <c r="C58" s="57"/>
      <c r="D58" s="57"/>
      <c r="E58" s="57">
        <v>1</v>
      </c>
      <c r="F58" s="57"/>
      <c r="G58" s="57"/>
      <c r="H58" s="57"/>
      <c r="I58" s="57"/>
      <c r="J58" s="57"/>
      <c r="K58" s="57"/>
      <c r="L58" s="57"/>
      <c r="M58" s="57"/>
      <c r="N58" s="57"/>
    </row>
    <row r="59" spans="1:14" ht="18" customHeight="1" x14ac:dyDescent="0.2">
      <c r="A59" s="62" t="s">
        <v>57</v>
      </c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4" ht="18" customHeight="1" x14ac:dyDescent="0.2">
      <c r="A60" s="62" t="s">
        <v>58</v>
      </c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</row>
    <row r="61" spans="1:14" ht="18" customHeight="1" x14ac:dyDescent="0.2">
      <c r="A61" s="63" t="s">
        <v>168</v>
      </c>
      <c r="B61" s="58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</row>
    <row r="62" spans="1:14" ht="18" customHeight="1" x14ac:dyDescent="0.2">
      <c r="B62" s="22"/>
    </row>
    <row r="63" spans="1:14" ht="40.5" customHeight="1" x14ac:dyDescent="0.2">
      <c r="A63" s="139" t="s">
        <v>1333</v>
      </c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</row>
    <row r="64" spans="1:14" x14ac:dyDescent="0.2">
      <c r="C64" s="22"/>
      <c r="G64" s="22"/>
    </row>
    <row r="84" spans="1:14" x14ac:dyDescent="0.2">
      <c r="F84" s="22"/>
    </row>
    <row r="85" spans="1:14" x14ac:dyDescent="0.2">
      <c r="A85" s="153" t="s">
        <v>1337</v>
      </c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</row>
    <row r="86" spans="1:14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</row>
    <row r="87" spans="1:14" ht="30" customHeight="1" x14ac:dyDescent="0.2">
      <c r="A87" s="139" t="s">
        <v>1332</v>
      </c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</row>
    <row r="89" spans="1:14" x14ac:dyDescent="0.2">
      <c r="A89" s="154" t="s">
        <v>47</v>
      </c>
      <c r="B89" s="156" t="s">
        <v>11</v>
      </c>
      <c r="C89" s="156">
        <f>+C47</f>
        <v>2022</v>
      </c>
      <c r="D89" s="156"/>
      <c r="E89" s="156"/>
      <c r="F89" s="156"/>
      <c r="G89" s="156"/>
      <c r="H89" s="156">
        <f>+H47</f>
        <v>2023</v>
      </c>
      <c r="I89" s="156"/>
      <c r="J89" s="156"/>
      <c r="K89" s="156"/>
      <c r="L89" s="156"/>
      <c r="M89" s="156"/>
      <c r="N89" s="156"/>
    </row>
    <row r="90" spans="1:14" x14ac:dyDescent="0.2">
      <c r="A90" s="155"/>
      <c r="B90" s="157"/>
      <c r="C90" s="60" t="s">
        <v>12</v>
      </c>
      <c r="D90" s="60" t="s">
        <v>13</v>
      </c>
      <c r="E90" s="60" t="s">
        <v>14</v>
      </c>
      <c r="F90" s="60" t="s">
        <v>15</v>
      </c>
      <c r="G90" s="60" t="s">
        <v>16</v>
      </c>
      <c r="H90" s="60" t="s">
        <v>17</v>
      </c>
      <c r="I90" s="60" t="s">
        <v>18</v>
      </c>
      <c r="J90" s="60" t="s">
        <v>19</v>
      </c>
      <c r="K90" s="60" t="s">
        <v>20</v>
      </c>
      <c r="L90" s="60" t="s">
        <v>21</v>
      </c>
      <c r="M90" s="60" t="s">
        <v>22</v>
      </c>
      <c r="N90" s="60" t="s">
        <v>23</v>
      </c>
    </row>
    <row r="91" spans="1:14" x14ac:dyDescent="0.2">
      <c r="A91" s="6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1:14" ht="18" customHeight="1" x14ac:dyDescent="0.2">
      <c r="A92" s="61" t="s">
        <v>11</v>
      </c>
      <c r="B92" s="56">
        <f t="shared" ref="B92:N92" si="2">SUM(B93:B103)</f>
        <v>4743</v>
      </c>
      <c r="C92" s="56">
        <f t="shared" si="2"/>
        <v>14</v>
      </c>
      <c r="D92" s="56">
        <f t="shared" si="2"/>
        <v>278</v>
      </c>
      <c r="E92" s="56">
        <f t="shared" si="2"/>
        <v>1274</v>
      </c>
      <c r="F92" s="56">
        <f t="shared" si="2"/>
        <v>1738</v>
      </c>
      <c r="G92" s="56">
        <f t="shared" si="2"/>
        <v>1169</v>
      </c>
      <c r="H92" s="56">
        <f t="shared" si="2"/>
        <v>235</v>
      </c>
      <c r="I92" s="56">
        <f t="shared" si="2"/>
        <v>2</v>
      </c>
      <c r="J92" s="56">
        <f t="shared" si="2"/>
        <v>6</v>
      </c>
      <c r="K92" s="56">
        <f t="shared" si="2"/>
        <v>8</v>
      </c>
      <c r="L92" s="56">
        <f t="shared" si="2"/>
        <v>5</v>
      </c>
      <c r="M92" s="56">
        <f t="shared" si="2"/>
        <v>8</v>
      </c>
      <c r="N92" s="56">
        <f t="shared" si="2"/>
        <v>6</v>
      </c>
    </row>
    <row r="93" spans="1:14" ht="18" customHeight="1" x14ac:dyDescent="0.2">
      <c r="A93" s="62" t="s">
        <v>48</v>
      </c>
      <c r="B93" s="56">
        <v>2573</v>
      </c>
      <c r="C93" s="57"/>
      <c r="D93" s="57">
        <v>57</v>
      </c>
      <c r="E93" s="57">
        <v>605</v>
      </c>
      <c r="F93" s="57">
        <v>1030</v>
      </c>
      <c r="G93" s="57">
        <v>760</v>
      </c>
      <c r="H93" s="57">
        <v>98</v>
      </c>
      <c r="I93" s="57"/>
      <c r="J93" s="57">
        <v>6</v>
      </c>
      <c r="K93" s="57">
        <v>6</v>
      </c>
      <c r="L93" s="57">
        <v>1</v>
      </c>
      <c r="M93" s="57">
        <v>8</v>
      </c>
      <c r="N93" s="57">
        <v>2</v>
      </c>
    </row>
    <row r="94" spans="1:14" ht="18" customHeight="1" x14ac:dyDescent="0.2">
      <c r="A94" s="62" t="s">
        <v>51</v>
      </c>
      <c r="B94" s="56">
        <v>482</v>
      </c>
      <c r="C94" s="57"/>
      <c r="D94" s="57">
        <v>2</v>
      </c>
      <c r="E94" s="57">
        <v>66</v>
      </c>
      <c r="F94" s="57">
        <v>131</v>
      </c>
      <c r="G94" s="57">
        <v>173</v>
      </c>
      <c r="H94" s="57">
        <v>103</v>
      </c>
      <c r="I94" s="57">
        <v>2</v>
      </c>
      <c r="J94" s="57"/>
      <c r="K94" s="57">
        <v>2</v>
      </c>
      <c r="L94" s="57">
        <v>3</v>
      </c>
      <c r="M94" s="57"/>
      <c r="N94" s="57"/>
    </row>
    <row r="95" spans="1:14" ht="18" customHeight="1" x14ac:dyDescent="0.2">
      <c r="A95" s="62" t="s">
        <v>52</v>
      </c>
      <c r="B95" s="56">
        <v>453</v>
      </c>
      <c r="C95" s="57">
        <v>5</v>
      </c>
      <c r="D95" s="57">
        <v>17</v>
      </c>
      <c r="E95" s="57">
        <v>100</v>
      </c>
      <c r="F95" s="57">
        <v>185</v>
      </c>
      <c r="G95" s="57">
        <v>117</v>
      </c>
      <c r="H95" s="57">
        <v>28</v>
      </c>
      <c r="I95" s="57"/>
      <c r="J95" s="57"/>
      <c r="K95" s="57"/>
      <c r="L95" s="57">
        <v>1</v>
      </c>
      <c r="M95" s="57"/>
      <c r="N95" s="57"/>
    </row>
    <row r="96" spans="1:14" ht="18" customHeight="1" x14ac:dyDescent="0.2">
      <c r="A96" s="62" t="s">
        <v>49</v>
      </c>
      <c r="B96" s="56">
        <v>442</v>
      </c>
      <c r="C96" s="57"/>
      <c r="D96" s="57">
        <v>58</v>
      </c>
      <c r="E96" s="57">
        <v>169</v>
      </c>
      <c r="F96" s="57">
        <v>162</v>
      </c>
      <c r="G96" s="57">
        <v>47</v>
      </c>
      <c r="H96" s="57">
        <v>6</v>
      </c>
      <c r="I96" s="57"/>
      <c r="J96" s="57"/>
      <c r="K96" s="57"/>
      <c r="L96" s="57"/>
      <c r="M96" s="57"/>
      <c r="N96" s="57"/>
    </row>
    <row r="97" spans="1:14" ht="18" customHeight="1" x14ac:dyDescent="0.2">
      <c r="A97" s="62" t="s">
        <v>50</v>
      </c>
      <c r="B97" s="56">
        <v>327</v>
      </c>
      <c r="C97" s="57">
        <v>5</v>
      </c>
      <c r="D97" s="57">
        <v>84</v>
      </c>
      <c r="E97" s="57">
        <v>116</v>
      </c>
      <c r="F97" s="57">
        <v>92</v>
      </c>
      <c r="G97" s="57">
        <v>30</v>
      </c>
      <c r="H97" s="57"/>
      <c r="I97" s="57"/>
      <c r="J97" s="57"/>
      <c r="K97" s="57"/>
      <c r="L97" s="57"/>
      <c r="M97" s="57"/>
      <c r="N97" s="57"/>
    </row>
    <row r="98" spans="1:14" ht="18" customHeight="1" x14ac:dyDescent="0.2">
      <c r="A98" s="62" t="s">
        <v>168</v>
      </c>
      <c r="B98" s="56">
        <v>170</v>
      </c>
      <c r="C98" s="57"/>
      <c r="D98" s="57">
        <v>9</v>
      </c>
      <c r="E98" s="57">
        <v>57</v>
      </c>
      <c r="F98" s="57">
        <v>70</v>
      </c>
      <c r="G98" s="57">
        <v>30</v>
      </c>
      <c r="H98" s="57"/>
      <c r="I98" s="57"/>
      <c r="J98" s="57"/>
      <c r="K98" s="57"/>
      <c r="L98" s="57"/>
      <c r="M98" s="57"/>
      <c r="N98" s="57">
        <v>4</v>
      </c>
    </row>
    <row r="99" spans="1:14" ht="18" customHeight="1" x14ac:dyDescent="0.2">
      <c r="A99" s="62" t="s">
        <v>53</v>
      </c>
      <c r="B99" s="56">
        <v>153</v>
      </c>
      <c r="C99" s="57">
        <v>3</v>
      </c>
      <c r="D99" s="57">
        <v>33</v>
      </c>
      <c r="E99" s="57">
        <v>82</v>
      </c>
      <c r="F99" s="57">
        <v>25</v>
      </c>
      <c r="G99" s="57">
        <v>10</v>
      </c>
      <c r="H99" s="57"/>
      <c r="I99" s="57"/>
      <c r="J99" s="57"/>
      <c r="K99" s="57"/>
      <c r="L99" s="57"/>
      <c r="M99" s="57"/>
      <c r="N99" s="57"/>
    </row>
    <row r="100" spans="1:14" ht="18" customHeight="1" x14ac:dyDescent="0.2">
      <c r="A100" s="62" t="s">
        <v>1247</v>
      </c>
      <c r="B100" s="56">
        <v>53</v>
      </c>
      <c r="C100" s="57"/>
      <c r="D100" s="57">
        <v>4</v>
      </c>
      <c r="E100" s="57">
        <v>30</v>
      </c>
      <c r="F100" s="57">
        <v>19</v>
      </c>
      <c r="G100" s="57"/>
      <c r="H100" s="57"/>
      <c r="I100" s="57"/>
      <c r="J100" s="57"/>
      <c r="K100" s="57"/>
      <c r="L100" s="57"/>
      <c r="M100" s="57"/>
      <c r="N100" s="57"/>
    </row>
    <row r="101" spans="1:14" ht="18" customHeight="1" x14ac:dyDescent="0.2">
      <c r="A101" s="62" t="s">
        <v>58</v>
      </c>
      <c r="B101" s="56">
        <v>45</v>
      </c>
      <c r="C101" s="57"/>
      <c r="D101" s="57">
        <v>11</v>
      </c>
      <c r="E101" s="57">
        <v>31</v>
      </c>
      <c r="F101" s="57">
        <v>3</v>
      </c>
      <c r="G101" s="57"/>
      <c r="H101" s="57"/>
      <c r="I101" s="57"/>
      <c r="J101" s="57"/>
      <c r="K101" s="57"/>
      <c r="L101" s="57"/>
      <c r="M101" s="57"/>
      <c r="N101" s="57"/>
    </row>
    <row r="102" spans="1:14" ht="18" customHeight="1" x14ac:dyDescent="0.2">
      <c r="A102" s="62" t="s">
        <v>54</v>
      </c>
      <c r="B102" s="56">
        <v>45</v>
      </c>
      <c r="C102" s="57">
        <v>1</v>
      </c>
      <c r="D102" s="57">
        <v>3</v>
      </c>
      <c r="E102" s="57">
        <v>18</v>
      </c>
      <c r="F102" s="57">
        <v>21</v>
      </c>
      <c r="G102" s="57">
        <v>2</v>
      </c>
      <c r="H102" s="57"/>
      <c r="I102" s="57"/>
      <c r="J102" s="57"/>
      <c r="K102" s="57"/>
      <c r="L102" s="57"/>
      <c r="M102" s="57"/>
      <c r="N102" s="57"/>
    </row>
    <row r="103" spans="1:14" ht="18" customHeight="1" x14ac:dyDescent="0.2">
      <c r="A103" s="63" t="s">
        <v>56</v>
      </c>
      <c r="B103" s="58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</row>
    <row r="105" spans="1:14" ht="38.25" customHeight="1" x14ac:dyDescent="0.2">
      <c r="A105" s="139" t="s">
        <v>1334</v>
      </c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</row>
    <row r="106" spans="1:14" x14ac:dyDescent="0.2">
      <c r="C106" s="22"/>
      <c r="G106" s="22"/>
    </row>
    <row r="127" spans="1:14" x14ac:dyDescent="0.2">
      <c r="A127" s="153" t="s">
        <v>1338</v>
      </c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</row>
    <row r="128" spans="1:14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</row>
    <row r="129" spans="1:14" ht="30" customHeight="1" x14ac:dyDescent="0.2">
      <c r="A129" s="139" t="s">
        <v>1339</v>
      </c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</row>
    <row r="130" spans="1:14" x14ac:dyDescent="0.2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</row>
    <row r="132" spans="1:14" x14ac:dyDescent="0.2">
      <c r="A132" s="154" t="s">
        <v>47</v>
      </c>
      <c r="B132" s="156" t="s">
        <v>11</v>
      </c>
      <c r="C132" s="156">
        <f>+C89</f>
        <v>2022</v>
      </c>
      <c r="D132" s="156"/>
      <c r="E132" s="156"/>
      <c r="F132" s="156"/>
      <c r="G132" s="156"/>
      <c r="H132" s="156">
        <f>+H89</f>
        <v>2023</v>
      </c>
      <c r="I132" s="156"/>
      <c r="J132" s="156"/>
      <c r="K132" s="156"/>
      <c r="L132" s="156"/>
      <c r="M132" s="156"/>
      <c r="N132" s="156"/>
    </row>
    <row r="133" spans="1:14" x14ac:dyDescent="0.2">
      <c r="A133" s="155"/>
      <c r="B133" s="157"/>
      <c r="C133" s="60" t="s">
        <v>12</v>
      </c>
      <c r="D133" s="60" t="s">
        <v>13</v>
      </c>
      <c r="E133" s="60" t="s">
        <v>14</v>
      </c>
      <c r="F133" s="60" t="s">
        <v>15</v>
      </c>
      <c r="G133" s="60" t="s">
        <v>16</v>
      </c>
      <c r="H133" s="60" t="s">
        <v>17</v>
      </c>
      <c r="I133" s="60" t="s">
        <v>18</v>
      </c>
      <c r="J133" s="60" t="s">
        <v>19</v>
      </c>
      <c r="K133" s="60" t="s">
        <v>20</v>
      </c>
      <c r="L133" s="60" t="s">
        <v>21</v>
      </c>
      <c r="M133" s="60" t="s">
        <v>22</v>
      </c>
      <c r="N133" s="60" t="s">
        <v>23</v>
      </c>
    </row>
    <row r="134" spans="1:14" x14ac:dyDescent="0.2">
      <c r="A134" s="6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 spans="1:14" ht="18" customHeight="1" x14ac:dyDescent="0.2">
      <c r="A135" s="61" t="s">
        <v>11</v>
      </c>
      <c r="B135" s="56">
        <f t="shared" ref="B135:N135" si="3">SUM(B136:B146)</f>
        <v>2065</v>
      </c>
      <c r="C135" s="56">
        <f t="shared" si="3"/>
        <v>433</v>
      </c>
      <c r="D135" s="56">
        <f t="shared" si="3"/>
        <v>362</v>
      </c>
      <c r="E135" s="56">
        <f t="shared" si="3"/>
        <v>319</v>
      </c>
      <c r="F135" s="56">
        <f t="shared" si="3"/>
        <v>196</v>
      </c>
      <c r="G135" s="56">
        <f t="shared" si="3"/>
        <v>76</v>
      </c>
      <c r="H135" s="56">
        <f t="shared" si="3"/>
        <v>9</v>
      </c>
      <c r="I135" s="56">
        <f t="shared" si="3"/>
        <v>23</v>
      </c>
      <c r="J135" s="56">
        <f t="shared" si="3"/>
        <v>41</v>
      </c>
      <c r="K135" s="56">
        <f t="shared" si="3"/>
        <v>40</v>
      </c>
      <c r="L135" s="56">
        <f t="shared" si="3"/>
        <v>61</v>
      </c>
      <c r="M135" s="56">
        <f t="shared" si="3"/>
        <v>259</v>
      </c>
      <c r="N135" s="56">
        <f t="shared" si="3"/>
        <v>246</v>
      </c>
    </row>
    <row r="136" spans="1:14" ht="18" customHeight="1" x14ac:dyDescent="0.2">
      <c r="A136" s="62" t="s">
        <v>48</v>
      </c>
      <c r="B136" s="56">
        <v>1117</v>
      </c>
      <c r="C136" s="57">
        <v>310</v>
      </c>
      <c r="D136" s="57">
        <v>265</v>
      </c>
      <c r="E136" s="57">
        <v>157</v>
      </c>
      <c r="F136" s="57">
        <v>73</v>
      </c>
      <c r="G136" s="57">
        <v>21</v>
      </c>
      <c r="H136" s="57"/>
      <c r="I136" s="57">
        <v>17</v>
      </c>
      <c r="J136" s="57">
        <v>22</v>
      </c>
      <c r="K136" s="57">
        <v>14</v>
      </c>
      <c r="L136" s="57">
        <v>5</v>
      </c>
      <c r="M136" s="57">
        <v>102</v>
      </c>
      <c r="N136" s="57">
        <v>131</v>
      </c>
    </row>
    <row r="137" spans="1:14" ht="18" customHeight="1" x14ac:dyDescent="0.2">
      <c r="A137" s="62" t="s">
        <v>51</v>
      </c>
      <c r="B137" s="56">
        <v>283</v>
      </c>
      <c r="C137" s="57">
        <v>22</v>
      </c>
      <c r="D137" s="57">
        <v>17</v>
      </c>
      <c r="E137" s="57">
        <v>24</v>
      </c>
      <c r="F137" s="57">
        <v>18</v>
      </c>
      <c r="G137" s="57">
        <v>29</v>
      </c>
      <c r="H137" s="57">
        <v>3</v>
      </c>
      <c r="I137" s="57">
        <v>2</v>
      </c>
      <c r="J137" s="57">
        <v>11</v>
      </c>
      <c r="K137" s="57">
        <v>21</v>
      </c>
      <c r="L137" s="57">
        <v>33</v>
      </c>
      <c r="M137" s="57">
        <v>58</v>
      </c>
      <c r="N137" s="57">
        <v>45</v>
      </c>
    </row>
    <row r="138" spans="1:14" ht="18" customHeight="1" x14ac:dyDescent="0.2">
      <c r="A138" s="62" t="s">
        <v>52</v>
      </c>
      <c r="B138" s="56">
        <v>221</v>
      </c>
      <c r="C138" s="57">
        <v>37</v>
      </c>
      <c r="D138" s="57">
        <v>11</v>
      </c>
      <c r="E138" s="57">
        <v>16</v>
      </c>
      <c r="F138" s="57">
        <v>44</v>
      </c>
      <c r="G138" s="57">
        <v>17</v>
      </c>
      <c r="H138" s="57">
        <v>6</v>
      </c>
      <c r="I138" s="57"/>
      <c r="J138" s="57"/>
      <c r="K138" s="57">
        <v>5</v>
      </c>
      <c r="L138" s="57">
        <v>6</v>
      </c>
      <c r="M138" s="57">
        <v>43</v>
      </c>
      <c r="N138" s="57">
        <v>36</v>
      </c>
    </row>
    <row r="139" spans="1:14" ht="18" customHeight="1" x14ac:dyDescent="0.2">
      <c r="A139" s="62" t="s">
        <v>53</v>
      </c>
      <c r="B139" s="56">
        <v>148</v>
      </c>
      <c r="C139" s="57">
        <v>24</v>
      </c>
      <c r="D139" s="57">
        <v>11</v>
      </c>
      <c r="E139" s="57">
        <v>7</v>
      </c>
      <c r="F139" s="57"/>
      <c r="G139" s="57"/>
      <c r="H139" s="57"/>
      <c r="I139" s="57">
        <v>4</v>
      </c>
      <c r="J139" s="57">
        <v>8</v>
      </c>
      <c r="K139" s="57"/>
      <c r="L139" s="57">
        <v>17</v>
      </c>
      <c r="M139" s="57">
        <v>49</v>
      </c>
      <c r="N139" s="57">
        <v>28</v>
      </c>
    </row>
    <row r="140" spans="1:14" ht="18" customHeight="1" x14ac:dyDescent="0.2">
      <c r="A140" s="62" t="s">
        <v>49</v>
      </c>
      <c r="B140" s="56">
        <v>129</v>
      </c>
      <c r="C140" s="57">
        <v>3</v>
      </c>
      <c r="D140" s="57">
        <v>25</v>
      </c>
      <c r="E140" s="57">
        <v>58</v>
      </c>
      <c r="F140" s="57">
        <v>38</v>
      </c>
      <c r="G140" s="57">
        <v>5</v>
      </c>
      <c r="H140" s="57"/>
      <c r="I140" s="57"/>
      <c r="J140" s="57"/>
      <c r="K140" s="57"/>
      <c r="L140" s="57"/>
      <c r="M140" s="57"/>
      <c r="N140" s="57"/>
    </row>
    <row r="141" spans="1:14" ht="18" customHeight="1" x14ac:dyDescent="0.2">
      <c r="A141" s="62" t="s">
        <v>50</v>
      </c>
      <c r="B141" s="56">
        <v>86</v>
      </c>
      <c r="C141" s="57">
        <v>9</v>
      </c>
      <c r="D141" s="57">
        <v>19</v>
      </c>
      <c r="E141" s="57">
        <v>32</v>
      </c>
      <c r="F141" s="57">
        <v>21</v>
      </c>
      <c r="G141" s="57">
        <v>4</v>
      </c>
      <c r="H141" s="57"/>
      <c r="I141" s="57"/>
      <c r="J141" s="57"/>
      <c r="K141" s="57"/>
      <c r="L141" s="57"/>
      <c r="M141" s="57"/>
      <c r="N141" s="57">
        <v>1</v>
      </c>
    </row>
    <row r="142" spans="1:14" ht="18" customHeight="1" x14ac:dyDescent="0.2">
      <c r="A142" s="62" t="s">
        <v>58</v>
      </c>
      <c r="B142" s="56">
        <v>41</v>
      </c>
      <c r="C142" s="57"/>
      <c r="D142" s="57">
        <v>14</v>
      </c>
      <c r="E142" s="57">
        <v>25</v>
      </c>
      <c r="F142" s="57">
        <v>2</v>
      </c>
      <c r="G142" s="57"/>
      <c r="H142" s="57"/>
      <c r="I142" s="57"/>
      <c r="J142" s="57"/>
      <c r="K142" s="57"/>
      <c r="L142" s="57"/>
      <c r="M142" s="57"/>
      <c r="N142" s="57"/>
    </row>
    <row r="143" spans="1:14" ht="18" customHeight="1" x14ac:dyDescent="0.2">
      <c r="A143" s="62" t="s">
        <v>168</v>
      </c>
      <c r="B143" s="56">
        <v>40</v>
      </c>
      <c r="C143" s="57">
        <v>28</v>
      </c>
      <c r="D143" s="57"/>
      <c r="E143" s="57"/>
      <c r="F143" s="57"/>
      <c r="G143" s="57"/>
      <c r="H143" s="57"/>
      <c r="I143" s="57"/>
      <c r="J143" s="57"/>
      <c r="K143" s="57"/>
      <c r="L143" s="57"/>
      <c r="M143" s="57">
        <v>7</v>
      </c>
      <c r="N143" s="57">
        <v>5</v>
      </c>
    </row>
    <row r="144" spans="1:14" ht="18" customHeight="1" x14ac:dyDescent="0.2">
      <c r="A144" s="62" t="s">
        <v>57</v>
      </c>
      <c r="B144" s="56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</row>
    <row r="145" spans="1:14" ht="18" customHeight="1" x14ac:dyDescent="0.2">
      <c r="A145" s="62" t="s">
        <v>56</v>
      </c>
      <c r="B145" s="56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</row>
    <row r="146" spans="1:14" ht="18" customHeight="1" x14ac:dyDescent="0.2">
      <c r="A146" s="63" t="s">
        <v>54</v>
      </c>
      <c r="B146" s="58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</row>
    <row r="147" spans="1:14" x14ac:dyDescent="0.2">
      <c r="B147" s="22"/>
    </row>
    <row r="148" spans="1:14" ht="36" customHeight="1" x14ac:dyDescent="0.2">
      <c r="A148" s="139" t="s">
        <v>1340</v>
      </c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</row>
    <row r="149" spans="1:14" x14ac:dyDescent="0.2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</row>
    <row r="169" spans="1:14" x14ac:dyDescent="0.2">
      <c r="F169" s="22"/>
    </row>
    <row r="170" spans="1:14" x14ac:dyDescent="0.2">
      <c r="A170" s="153" t="s">
        <v>61</v>
      </c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</row>
    <row r="171" spans="1:14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</row>
    <row r="172" spans="1:14" ht="35.25" customHeight="1" x14ac:dyDescent="0.2">
      <c r="A172" s="139" t="s">
        <v>1341</v>
      </c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</row>
    <row r="174" spans="1:14" x14ac:dyDescent="0.2">
      <c r="A174" s="154" t="s">
        <v>47</v>
      </c>
      <c r="B174" s="156" t="s">
        <v>11</v>
      </c>
      <c r="C174" s="156">
        <f>+C132</f>
        <v>2022</v>
      </c>
      <c r="D174" s="156"/>
      <c r="E174" s="156"/>
      <c r="F174" s="156"/>
      <c r="G174" s="156"/>
      <c r="H174" s="156">
        <f>+H132</f>
        <v>2023</v>
      </c>
      <c r="I174" s="156"/>
      <c r="J174" s="156"/>
      <c r="K174" s="156"/>
      <c r="L174" s="156"/>
      <c r="M174" s="156"/>
      <c r="N174" s="156"/>
    </row>
    <row r="175" spans="1:14" x14ac:dyDescent="0.2">
      <c r="A175" s="155"/>
      <c r="B175" s="157"/>
      <c r="C175" s="60" t="s">
        <v>12</v>
      </c>
      <c r="D175" s="60" t="s">
        <v>13</v>
      </c>
      <c r="E175" s="60" t="s">
        <v>14</v>
      </c>
      <c r="F175" s="60" t="s">
        <v>15</v>
      </c>
      <c r="G175" s="60" t="s">
        <v>16</v>
      </c>
      <c r="H175" s="60" t="s">
        <v>17</v>
      </c>
      <c r="I175" s="60" t="s">
        <v>18</v>
      </c>
      <c r="J175" s="60" t="s">
        <v>19</v>
      </c>
      <c r="K175" s="60" t="s">
        <v>20</v>
      </c>
      <c r="L175" s="60" t="s">
        <v>21</v>
      </c>
      <c r="M175" s="60" t="s">
        <v>22</v>
      </c>
      <c r="N175" s="60" t="s">
        <v>23</v>
      </c>
    </row>
    <row r="176" spans="1:14" x14ac:dyDescent="0.2">
      <c r="A176" s="6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</row>
    <row r="177" spans="1:14" ht="18" customHeight="1" x14ac:dyDescent="0.2">
      <c r="A177" s="61" t="s">
        <v>11</v>
      </c>
      <c r="B177" s="56">
        <f t="shared" ref="B177:N177" si="4">SUM(B178:B188)</f>
        <v>26</v>
      </c>
      <c r="C177" s="56">
        <f t="shared" si="4"/>
        <v>2</v>
      </c>
      <c r="D177" s="56">
        <f t="shared" si="4"/>
        <v>7</v>
      </c>
      <c r="E177" s="56">
        <f t="shared" si="4"/>
        <v>3</v>
      </c>
      <c r="F177" s="56">
        <f t="shared" si="4"/>
        <v>0</v>
      </c>
      <c r="G177" s="56">
        <f t="shared" si="4"/>
        <v>2</v>
      </c>
      <c r="H177" s="56">
        <f t="shared" si="4"/>
        <v>5</v>
      </c>
      <c r="I177" s="56">
        <f t="shared" si="4"/>
        <v>0</v>
      </c>
      <c r="J177" s="56">
        <f t="shared" si="4"/>
        <v>0</v>
      </c>
      <c r="K177" s="56">
        <f t="shared" si="4"/>
        <v>0</v>
      </c>
      <c r="L177" s="56">
        <f t="shared" si="4"/>
        <v>7</v>
      </c>
      <c r="M177" s="56">
        <f t="shared" si="4"/>
        <v>0</v>
      </c>
      <c r="N177" s="56">
        <f t="shared" si="4"/>
        <v>0</v>
      </c>
    </row>
    <row r="178" spans="1:14" ht="18" customHeight="1" x14ac:dyDescent="0.2">
      <c r="A178" s="62" t="s">
        <v>48</v>
      </c>
      <c r="B178" s="56">
        <v>20</v>
      </c>
      <c r="C178" s="57"/>
      <c r="D178" s="57">
        <v>6</v>
      </c>
      <c r="E178" s="57"/>
      <c r="F178" s="57"/>
      <c r="G178" s="57">
        <v>2</v>
      </c>
      <c r="H178" s="57">
        <v>5</v>
      </c>
      <c r="I178" s="57"/>
      <c r="J178" s="57"/>
      <c r="K178" s="57"/>
      <c r="L178" s="57">
        <v>7</v>
      </c>
      <c r="M178" s="57"/>
      <c r="N178" s="57"/>
    </row>
    <row r="179" spans="1:14" ht="18" customHeight="1" x14ac:dyDescent="0.2">
      <c r="A179" s="62" t="s">
        <v>52</v>
      </c>
      <c r="B179" s="56">
        <v>6</v>
      </c>
      <c r="C179" s="57">
        <v>2</v>
      </c>
      <c r="D179" s="57">
        <v>1</v>
      </c>
      <c r="E179" s="57">
        <v>3</v>
      </c>
      <c r="F179" s="57"/>
      <c r="G179" s="57"/>
      <c r="H179" s="57"/>
      <c r="I179" s="57"/>
      <c r="J179" s="57"/>
      <c r="K179" s="57"/>
      <c r="L179" s="57"/>
      <c r="M179" s="57"/>
      <c r="N179" s="57"/>
    </row>
    <row r="180" spans="1:14" ht="18" customHeight="1" x14ac:dyDescent="0.2">
      <c r="A180" s="62" t="s">
        <v>50</v>
      </c>
      <c r="B180" s="56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</row>
    <row r="181" spans="1:14" ht="18" customHeight="1" x14ac:dyDescent="0.2">
      <c r="A181" s="62" t="s">
        <v>57</v>
      </c>
      <c r="B181" s="56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</row>
    <row r="182" spans="1:14" ht="18" customHeight="1" x14ac:dyDescent="0.2">
      <c r="A182" s="62" t="s">
        <v>51</v>
      </c>
      <c r="B182" s="56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</row>
    <row r="183" spans="1:14" ht="18" customHeight="1" x14ac:dyDescent="0.2">
      <c r="A183" s="62" t="s">
        <v>53</v>
      </c>
      <c r="B183" s="56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</row>
    <row r="184" spans="1:14" ht="18" customHeight="1" x14ac:dyDescent="0.2">
      <c r="A184" s="62" t="s">
        <v>56</v>
      </c>
      <c r="B184" s="56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</row>
    <row r="185" spans="1:14" ht="18" customHeight="1" x14ac:dyDescent="0.2">
      <c r="A185" s="62" t="s">
        <v>58</v>
      </c>
      <c r="B185" s="56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</row>
    <row r="186" spans="1:14" ht="18" customHeight="1" x14ac:dyDescent="0.2">
      <c r="A186" s="62" t="s">
        <v>54</v>
      </c>
      <c r="B186" s="56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</row>
    <row r="187" spans="1:14" ht="18" customHeight="1" x14ac:dyDescent="0.2">
      <c r="A187" s="62" t="s">
        <v>49</v>
      </c>
      <c r="B187" s="56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</row>
    <row r="188" spans="1:14" ht="18" customHeight="1" x14ac:dyDescent="0.2">
      <c r="A188" s="63" t="s">
        <v>168</v>
      </c>
      <c r="B188" s="58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</row>
    <row r="190" spans="1:14" ht="33.75" customHeight="1" x14ac:dyDescent="0.2">
      <c r="A190" s="139" t="s">
        <v>1342</v>
      </c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</row>
    <row r="211" spans="1:14" x14ac:dyDescent="0.2">
      <c r="F211" s="22"/>
    </row>
    <row r="212" spans="1:14" x14ac:dyDescent="0.2">
      <c r="A212" s="153" t="s">
        <v>1</v>
      </c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</row>
    <row r="213" spans="1:14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</row>
    <row r="214" spans="1:14" ht="33" customHeight="1" x14ac:dyDescent="0.2">
      <c r="A214" s="139" t="s">
        <v>1343</v>
      </c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</row>
    <row r="216" spans="1:14" x14ac:dyDescent="0.2">
      <c r="A216" s="154" t="s">
        <v>47</v>
      </c>
      <c r="B216" s="156" t="s">
        <v>11</v>
      </c>
      <c r="C216" s="156">
        <f>+C174</f>
        <v>2022</v>
      </c>
      <c r="D216" s="156"/>
      <c r="E216" s="156"/>
      <c r="F216" s="156"/>
      <c r="G216" s="156"/>
      <c r="H216" s="156">
        <f>+H174</f>
        <v>2023</v>
      </c>
      <c r="I216" s="156"/>
      <c r="J216" s="156"/>
      <c r="K216" s="156"/>
      <c r="L216" s="156"/>
      <c r="M216" s="156"/>
      <c r="N216" s="156"/>
    </row>
    <row r="217" spans="1:14" x14ac:dyDescent="0.2">
      <c r="A217" s="155"/>
      <c r="B217" s="157"/>
      <c r="C217" s="60" t="s">
        <v>12</v>
      </c>
      <c r="D217" s="60" t="s">
        <v>13</v>
      </c>
      <c r="E217" s="60" t="s">
        <v>14</v>
      </c>
      <c r="F217" s="60" t="s">
        <v>15</v>
      </c>
      <c r="G217" s="60" t="s">
        <v>16</v>
      </c>
      <c r="H217" s="60" t="s">
        <v>17</v>
      </c>
      <c r="I217" s="60" t="s">
        <v>18</v>
      </c>
      <c r="J217" s="60" t="s">
        <v>19</v>
      </c>
      <c r="K217" s="60" t="s">
        <v>20</v>
      </c>
      <c r="L217" s="60" t="s">
        <v>21</v>
      </c>
      <c r="M217" s="60" t="s">
        <v>22</v>
      </c>
      <c r="N217" s="60" t="s">
        <v>23</v>
      </c>
    </row>
    <row r="218" spans="1:14" x14ac:dyDescent="0.2">
      <c r="A218" s="6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1:14" ht="18" customHeight="1" x14ac:dyDescent="0.2">
      <c r="A219" s="61" t="s">
        <v>11</v>
      </c>
      <c r="B219" s="56">
        <f t="shared" ref="B219:N219" si="5">SUM(B220:B230)</f>
        <v>13806</v>
      </c>
      <c r="C219" s="56">
        <f t="shared" si="5"/>
        <v>10</v>
      </c>
      <c r="D219" s="56">
        <f t="shared" si="5"/>
        <v>143</v>
      </c>
      <c r="E219" s="56">
        <f t="shared" si="5"/>
        <v>921</v>
      </c>
      <c r="F219" s="56">
        <f t="shared" si="5"/>
        <v>3744</v>
      </c>
      <c r="G219" s="56">
        <f t="shared" si="5"/>
        <v>6063</v>
      </c>
      <c r="H219" s="56">
        <f t="shared" si="5"/>
        <v>2332</v>
      </c>
      <c r="I219" s="56">
        <f t="shared" si="5"/>
        <v>355</v>
      </c>
      <c r="J219" s="56">
        <f t="shared" si="5"/>
        <v>112</v>
      </c>
      <c r="K219" s="56">
        <f t="shared" si="5"/>
        <v>7</v>
      </c>
      <c r="L219" s="56">
        <f t="shared" si="5"/>
        <v>41</v>
      </c>
      <c r="M219" s="56">
        <f t="shared" si="5"/>
        <v>48</v>
      </c>
      <c r="N219" s="56">
        <f t="shared" si="5"/>
        <v>30</v>
      </c>
    </row>
    <row r="220" spans="1:14" ht="18" customHeight="1" x14ac:dyDescent="0.2">
      <c r="A220" s="62" t="s">
        <v>48</v>
      </c>
      <c r="B220" s="56">
        <v>5763</v>
      </c>
      <c r="C220" s="57"/>
      <c r="D220" s="57">
        <v>40</v>
      </c>
      <c r="E220" s="57">
        <v>415</v>
      </c>
      <c r="F220" s="57">
        <v>2144</v>
      </c>
      <c r="G220" s="57">
        <v>2550</v>
      </c>
      <c r="H220" s="57">
        <v>564</v>
      </c>
      <c r="I220" s="57">
        <v>30</v>
      </c>
      <c r="J220" s="57">
        <v>5</v>
      </c>
      <c r="K220" s="57">
        <v>5</v>
      </c>
      <c r="L220" s="57">
        <v>10</v>
      </c>
      <c r="M220" s="57"/>
      <c r="N220" s="57"/>
    </row>
    <row r="221" spans="1:14" ht="18" customHeight="1" x14ac:dyDescent="0.2">
      <c r="A221" s="62" t="s">
        <v>53</v>
      </c>
      <c r="B221" s="56">
        <v>1607</v>
      </c>
      <c r="C221" s="57"/>
      <c r="D221" s="57"/>
      <c r="E221" s="57"/>
      <c r="F221" s="57">
        <v>1</v>
      </c>
      <c r="G221" s="57">
        <v>584</v>
      </c>
      <c r="H221" s="57">
        <v>603</v>
      </c>
      <c r="I221" s="57">
        <v>294</v>
      </c>
      <c r="J221" s="57">
        <v>107</v>
      </c>
      <c r="K221" s="57"/>
      <c r="L221" s="57">
        <v>5</v>
      </c>
      <c r="M221" s="57">
        <v>2</v>
      </c>
      <c r="N221" s="57">
        <v>11</v>
      </c>
    </row>
    <row r="222" spans="1:14" ht="18" customHeight="1" x14ac:dyDescent="0.2">
      <c r="A222" s="62" t="s">
        <v>49</v>
      </c>
      <c r="B222" s="56">
        <v>1274</v>
      </c>
      <c r="C222" s="57"/>
      <c r="D222" s="57"/>
      <c r="E222" s="57">
        <v>12</v>
      </c>
      <c r="F222" s="57">
        <v>354</v>
      </c>
      <c r="G222" s="57">
        <v>703</v>
      </c>
      <c r="H222" s="57">
        <v>205</v>
      </c>
      <c r="I222" s="57"/>
      <c r="J222" s="57"/>
      <c r="K222" s="57"/>
      <c r="L222" s="57"/>
      <c r="M222" s="57"/>
      <c r="N222" s="57"/>
    </row>
    <row r="223" spans="1:14" ht="18" customHeight="1" x14ac:dyDescent="0.2">
      <c r="A223" s="62" t="s">
        <v>50</v>
      </c>
      <c r="B223" s="56">
        <v>1217</v>
      </c>
      <c r="C223" s="57">
        <v>10</v>
      </c>
      <c r="D223" s="57">
        <v>46</v>
      </c>
      <c r="E223" s="57">
        <v>227</v>
      </c>
      <c r="F223" s="57">
        <v>528</v>
      </c>
      <c r="G223" s="57">
        <v>391</v>
      </c>
      <c r="H223" s="57">
        <v>15</v>
      </c>
      <c r="I223" s="57"/>
      <c r="J223" s="57"/>
      <c r="K223" s="57"/>
      <c r="L223" s="57"/>
      <c r="M223" s="57"/>
      <c r="N223" s="57"/>
    </row>
    <row r="224" spans="1:14" ht="18" customHeight="1" x14ac:dyDescent="0.2">
      <c r="A224" s="62" t="s">
        <v>168</v>
      </c>
      <c r="B224" s="56">
        <v>1172</v>
      </c>
      <c r="C224" s="57"/>
      <c r="D224" s="57">
        <v>57</v>
      </c>
      <c r="E224" s="57">
        <v>244</v>
      </c>
      <c r="F224" s="57">
        <v>386</v>
      </c>
      <c r="G224" s="57">
        <v>395</v>
      </c>
      <c r="H224" s="57">
        <v>90</v>
      </c>
      <c r="I224" s="57"/>
      <c r="J224" s="57"/>
      <c r="K224" s="57"/>
      <c r="L224" s="57"/>
      <c r="M224" s="57"/>
      <c r="N224" s="57"/>
    </row>
    <row r="225" spans="1:14" ht="18" customHeight="1" x14ac:dyDescent="0.2">
      <c r="A225" s="62" t="s">
        <v>56</v>
      </c>
      <c r="B225" s="56">
        <v>753</v>
      </c>
      <c r="C225" s="57"/>
      <c r="D225" s="57"/>
      <c r="E225" s="57">
        <v>8</v>
      </c>
      <c r="F225" s="57">
        <v>68</v>
      </c>
      <c r="G225" s="57">
        <v>331</v>
      </c>
      <c r="H225" s="57">
        <v>239</v>
      </c>
      <c r="I225" s="57">
        <v>27</v>
      </c>
      <c r="J225" s="57"/>
      <c r="K225" s="57"/>
      <c r="L225" s="57">
        <v>26</v>
      </c>
      <c r="M225" s="57">
        <v>38</v>
      </c>
      <c r="N225" s="57">
        <v>16</v>
      </c>
    </row>
    <row r="226" spans="1:14" ht="18" customHeight="1" x14ac:dyDescent="0.2">
      <c r="A226" s="62" t="s">
        <v>51</v>
      </c>
      <c r="B226" s="56">
        <v>626</v>
      </c>
      <c r="C226" s="57"/>
      <c r="D226" s="57"/>
      <c r="E226" s="57">
        <v>5</v>
      </c>
      <c r="F226" s="57">
        <v>82</v>
      </c>
      <c r="G226" s="57">
        <v>345</v>
      </c>
      <c r="H226" s="57">
        <v>186</v>
      </c>
      <c r="I226" s="57">
        <v>4</v>
      </c>
      <c r="J226" s="57"/>
      <c r="K226" s="57">
        <v>2</v>
      </c>
      <c r="L226" s="57"/>
      <c r="M226" s="57">
        <v>2</v>
      </c>
      <c r="N226" s="57"/>
    </row>
    <row r="227" spans="1:14" ht="18" customHeight="1" x14ac:dyDescent="0.2">
      <c r="A227" s="62" t="s">
        <v>1247</v>
      </c>
      <c r="B227" s="56">
        <v>428</v>
      </c>
      <c r="C227" s="57"/>
      <c r="D227" s="57"/>
      <c r="E227" s="57">
        <v>5</v>
      </c>
      <c r="F227" s="57">
        <v>45</v>
      </c>
      <c r="G227" s="57">
        <v>278</v>
      </c>
      <c r="H227" s="57">
        <v>91</v>
      </c>
      <c r="I227" s="57"/>
      <c r="J227" s="57"/>
      <c r="K227" s="57"/>
      <c r="L227" s="57"/>
      <c r="M227" s="57">
        <v>6</v>
      </c>
      <c r="N227" s="57">
        <v>3</v>
      </c>
    </row>
    <row r="228" spans="1:14" ht="18" customHeight="1" x14ac:dyDescent="0.2">
      <c r="A228" s="62" t="s">
        <v>52</v>
      </c>
      <c r="B228" s="56">
        <v>422</v>
      </c>
      <c r="C228" s="57"/>
      <c r="D228" s="57"/>
      <c r="E228" s="57"/>
      <c r="F228" s="57">
        <v>63</v>
      </c>
      <c r="G228" s="57">
        <v>233</v>
      </c>
      <c r="H228" s="57">
        <v>126</v>
      </c>
      <c r="I228" s="57"/>
      <c r="J228" s="57"/>
      <c r="K228" s="57"/>
      <c r="L228" s="57"/>
      <c r="M228" s="57"/>
      <c r="N228" s="57"/>
    </row>
    <row r="229" spans="1:14" ht="18" customHeight="1" x14ac:dyDescent="0.2">
      <c r="A229" s="62" t="s">
        <v>58</v>
      </c>
      <c r="B229" s="56">
        <v>274</v>
      </c>
      <c r="C229" s="57"/>
      <c r="D229" s="57"/>
      <c r="E229" s="57"/>
      <c r="F229" s="57"/>
      <c r="G229" s="57">
        <v>109</v>
      </c>
      <c r="H229" s="57">
        <v>165</v>
      </c>
      <c r="I229" s="57"/>
      <c r="J229" s="57"/>
      <c r="K229" s="57"/>
      <c r="L229" s="57"/>
      <c r="M229" s="57"/>
      <c r="N229" s="57"/>
    </row>
    <row r="230" spans="1:14" ht="18" customHeight="1" x14ac:dyDescent="0.2">
      <c r="A230" s="63" t="s">
        <v>54</v>
      </c>
      <c r="B230" s="58">
        <v>270</v>
      </c>
      <c r="C230" s="64"/>
      <c r="D230" s="64"/>
      <c r="E230" s="64">
        <v>5</v>
      </c>
      <c r="F230" s="64">
        <v>73</v>
      </c>
      <c r="G230" s="64">
        <v>144</v>
      </c>
      <c r="H230" s="64">
        <v>48</v>
      </c>
      <c r="I230" s="64"/>
      <c r="J230" s="64"/>
      <c r="K230" s="64"/>
      <c r="L230" s="64"/>
      <c r="M230" s="64"/>
      <c r="N230" s="64"/>
    </row>
    <row r="232" spans="1:14" ht="40.5" customHeight="1" x14ac:dyDescent="0.2">
      <c r="A232" s="139" t="s">
        <v>1344</v>
      </c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</row>
    <row r="252" spans="1:14" x14ac:dyDescent="0.2">
      <c r="F252" s="22"/>
    </row>
    <row r="253" spans="1:14" x14ac:dyDescent="0.2">
      <c r="A253" s="153" t="s">
        <v>1246</v>
      </c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</row>
    <row r="254" spans="1:14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</row>
    <row r="255" spans="1:14" ht="31.5" customHeight="1" x14ac:dyDescent="0.2">
      <c r="A255" s="139" t="s">
        <v>1345</v>
      </c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</row>
    <row r="257" spans="1:14" x14ac:dyDescent="0.2">
      <c r="A257" s="154" t="s">
        <v>47</v>
      </c>
      <c r="B257" s="156" t="s">
        <v>11</v>
      </c>
      <c r="C257" s="156">
        <f>+C216</f>
        <v>2022</v>
      </c>
      <c r="D257" s="156"/>
      <c r="E257" s="156"/>
      <c r="F257" s="156"/>
      <c r="G257" s="156"/>
      <c r="H257" s="156">
        <f>+H216</f>
        <v>2023</v>
      </c>
      <c r="I257" s="156"/>
      <c r="J257" s="156"/>
      <c r="K257" s="156"/>
      <c r="L257" s="156"/>
      <c r="M257" s="156"/>
      <c r="N257" s="156"/>
    </row>
    <row r="258" spans="1:14" x14ac:dyDescent="0.2">
      <c r="A258" s="155"/>
      <c r="B258" s="157"/>
      <c r="C258" s="60" t="s">
        <v>12</v>
      </c>
      <c r="D258" s="60" t="s">
        <v>13</v>
      </c>
      <c r="E258" s="60" t="s">
        <v>14</v>
      </c>
      <c r="F258" s="60" t="s">
        <v>15</v>
      </c>
      <c r="G258" s="60" t="s">
        <v>16</v>
      </c>
      <c r="H258" s="60" t="s">
        <v>17</v>
      </c>
      <c r="I258" s="60" t="s">
        <v>18</v>
      </c>
      <c r="J258" s="60" t="s">
        <v>19</v>
      </c>
      <c r="K258" s="60" t="s">
        <v>20</v>
      </c>
      <c r="L258" s="60" t="s">
        <v>21</v>
      </c>
      <c r="M258" s="60" t="s">
        <v>22</v>
      </c>
      <c r="N258" s="60" t="s">
        <v>23</v>
      </c>
    </row>
    <row r="259" spans="1:14" x14ac:dyDescent="0.2">
      <c r="A259" s="6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1:14" ht="18" customHeight="1" x14ac:dyDescent="0.2">
      <c r="A260" s="61" t="s">
        <v>11</v>
      </c>
      <c r="B260" s="56">
        <f t="shared" ref="B260:N260" si="6">SUM(B261:B271)</f>
        <v>39</v>
      </c>
      <c r="C260" s="56">
        <f t="shared" si="6"/>
        <v>0</v>
      </c>
      <c r="D260" s="56">
        <f t="shared" si="6"/>
        <v>0</v>
      </c>
      <c r="E260" s="56">
        <f t="shared" si="6"/>
        <v>0</v>
      </c>
      <c r="F260" s="56">
        <f t="shared" si="6"/>
        <v>15</v>
      </c>
      <c r="G260" s="56">
        <f t="shared" si="6"/>
        <v>20</v>
      </c>
      <c r="H260" s="56">
        <f t="shared" si="6"/>
        <v>4</v>
      </c>
      <c r="I260" s="56">
        <f t="shared" si="6"/>
        <v>0</v>
      </c>
      <c r="J260" s="56">
        <f t="shared" si="6"/>
        <v>0</v>
      </c>
      <c r="K260" s="56">
        <f t="shared" si="6"/>
        <v>0</v>
      </c>
      <c r="L260" s="56">
        <f t="shared" si="6"/>
        <v>0</v>
      </c>
      <c r="M260" s="56">
        <f t="shared" si="6"/>
        <v>0</v>
      </c>
      <c r="N260" s="56">
        <f t="shared" si="6"/>
        <v>0</v>
      </c>
    </row>
    <row r="261" spans="1:14" ht="18" customHeight="1" x14ac:dyDescent="0.2">
      <c r="A261" s="62" t="s">
        <v>49</v>
      </c>
      <c r="B261" s="56">
        <v>39</v>
      </c>
      <c r="C261" s="57"/>
      <c r="D261" s="57"/>
      <c r="E261" s="57"/>
      <c r="F261" s="57">
        <v>15</v>
      </c>
      <c r="G261" s="57">
        <v>20</v>
      </c>
      <c r="H261" s="57">
        <v>4</v>
      </c>
      <c r="I261" s="57"/>
      <c r="J261" s="57"/>
      <c r="K261" s="57"/>
      <c r="L261" s="57"/>
      <c r="M261" s="57"/>
      <c r="N261" s="57"/>
    </row>
    <row r="262" spans="1:14" ht="18" customHeight="1" x14ac:dyDescent="0.2">
      <c r="A262" s="62" t="s">
        <v>48</v>
      </c>
      <c r="B262" s="56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</row>
    <row r="263" spans="1:14" ht="18" customHeight="1" x14ac:dyDescent="0.2">
      <c r="A263" s="62" t="s">
        <v>50</v>
      </c>
      <c r="B263" s="56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</row>
    <row r="264" spans="1:14" ht="18" customHeight="1" x14ac:dyDescent="0.2">
      <c r="A264" s="62" t="s">
        <v>1247</v>
      </c>
      <c r="B264" s="56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</row>
    <row r="265" spans="1:14" ht="18" customHeight="1" x14ac:dyDescent="0.2">
      <c r="A265" s="62" t="s">
        <v>51</v>
      </c>
      <c r="B265" s="56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</row>
    <row r="266" spans="1:14" ht="18" customHeight="1" x14ac:dyDescent="0.2">
      <c r="A266" s="62" t="s">
        <v>52</v>
      </c>
      <c r="B266" s="56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</row>
    <row r="267" spans="1:14" ht="18" customHeight="1" x14ac:dyDescent="0.2">
      <c r="A267" s="62" t="s">
        <v>53</v>
      </c>
      <c r="B267" s="56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</row>
    <row r="268" spans="1:14" ht="18" customHeight="1" x14ac:dyDescent="0.2">
      <c r="A268" s="62" t="s">
        <v>56</v>
      </c>
      <c r="B268" s="56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</row>
    <row r="269" spans="1:14" ht="18" customHeight="1" x14ac:dyDescent="0.2">
      <c r="A269" s="62" t="s">
        <v>58</v>
      </c>
      <c r="B269" s="56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</row>
    <row r="270" spans="1:14" ht="18" customHeight="1" x14ac:dyDescent="0.2">
      <c r="A270" s="62" t="s">
        <v>54</v>
      </c>
      <c r="B270" s="56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</row>
    <row r="271" spans="1:14" ht="18" customHeight="1" x14ac:dyDescent="0.2">
      <c r="A271" s="63" t="s">
        <v>168</v>
      </c>
      <c r="B271" s="58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</row>
    <row r="273" spans="1:14" ht="41.25" customHeight="1" x14ac:dyDescent="0.2">
      <c r="A273" s="139" t="s">
        <v>1346</v>
      </c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</row>
    <row r="293" spans="1:14" x14ac:dyDescent="0.2">
      <c r="A293" s="153" t="s">
        <v>200</v>
      </c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</row>
    <row r="294" spans="1:14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</row>
    <row r="295" spans="1:14" ht="36.75" customHeight="1" x14ac:dyDescent="0.2">
      <c r="A295" s="139" t="s">
        <v>1254</v>
      </c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</row>
    <row r="297" spans="1:14" x14ac:dyDescent="0.2">
      <c r="A297" s="154" t="s">
        <v>47</v>
      </c>
      <c r="B297" s="156" t="s">
        <v>11</v>
      </c>
      <c r="C297" s="156">
        <f>+C257</f>
        <v>2022</v>
      </c>
      <c r="D297" s="156"/>
      <c r="E297" s="156"/>
      <c r="F297" s="156"/>
      <c r="G297" s="156"/>
      <c r="H297" s="156">
        <f>+H257</f>
        <v>2023</v>
      </c>
      <c r="I297" s="156"/>
      <c r="J297" s="156"/>
      <c r="K297" s="156"/>
      <c r="L297" s="156"/>
      <c r="M297" s="156"/>
      <c r="N297" s="156"/>
    </row>
    <row r="298" spans="1:14" x14ac:dyDescent="0.2">
      <c r="A298" s="155"/>
      <c r="B298" s="157"/>
      <c r="C298" s="60" t="s">
        <v>12</v>
      </c>
      <c r="D298" s="60" t="s">
        <v>13</v>
      </c>
      <c r="E298" s="60" t="s">
        <v>14</v>
      </c>
      <c r="F298" s="60" t="s">
        <v>15</v>
      </c>
      <c r="G298" s="60" t="s">
        <v>16</v>
      </c>
      <c r="H298" s="60" t="s">
        <v>17</v>
      </c>
      <c r="I298" s="60" t="s">
        <v>18</v>
      </c>
      <c r="J298" s="60" t="s">
        <v>19</v>
      </c>
      <c r="K298" s="60" t="s">
        <v>20</v>
      </c>
      <c r="L298" s="60" t="s">
        <v>21</v>
      </c>
      <c r="M298" s="60" t="s">
        <v>22</v>
      </c>
      <c r="N298" s="60" t="s">
        <v>23</v>
      </c>
    </row>
    <row r="299" spans="1:14" x14ac:dyDescent="0.2">
      <c r="A299" s="6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1:14" ht="18" customHeight="1" x14ac:dyDescent="0.2">
      <c r="A300" s="61" t="s">
        <v>11</v>
      </c>
      <c r="B300" s="56">
        <f t="shared" ref="B300:N300" si="7">SUM(B301:B311)</f>
        <v>253</v>
      </c>
      <c r="C300" s="56">
        <f t="shared" si="7"/>
        <v>23</v>
      </c>
      <c r="D300" s="56">
        <f t="shared" si="7"/>
        <v>30</v>
      </c>
      <c r="E300" s="56">
        <f t="shared" si="7"/>
        <v>38</v>
      </c>
      <c r="F300" s="56">
        <f t="shared" si="7"/>
        <v>52</v>
      </c>
      <c r="G300" s="56">
        <f t="shared" si="7"/>
        <v>47</v>
      </c>
      <c r="H300" s="56">
        <f t="shared" si="7"/>
        <v>12</v>
      </c>
      <c r="I300" s="56">
        <f t="shared" si="7"/>
        <v>12</v>
      </c>
      <c r="J300" s="56">
        <f t="shared" si="7"/>
        <v>4</v>
      </c>
      <c r="K300" s="56">
        <f t="shared" si="7"/>
        <v>2</v>
      </c>
      <c r="L300" s="56">
        <f t="shared" si="7"/>
        <v>3</v>
      </c>
      <c r="M300" s="56">
        <f t="shared" si="7"/>
        <v>8</v>
      </c>
      <c r="N300" s="56">
        <f t="shared" si="7"/>
        <v>22</v>
      </c>
    </row>
    <row r="301" spans="1:14" ht="18" customHeight="1" x14ac:dyDescent="0.2">
      <c r="A301" s="62" t="s">
        <v>52</v>
      </c>
      <c r="B301" s="56">
        <v>84</v>
      </c>
      <c r="C301" s="57">
        <v>9</v>
      </c>
      <c r="D301" s="57">
        <v>7</v>
      </c>
      <c r="E301" s="57">
        <v>17</v>
      </c>
      <c r="F301" s="57">
        <v>15</v>
      </c>
      <c r="G301" s="57">
        <v>19</v>
      </c>
      <c r="H301" s="57">
        <v>2</v>
      </c>
      <c r="I301" s="57">
        <v>1</v>
      </c>
      <c r="J301" s="57">
        <v>1</v>
      </c>
      <c r="K301" s="57"/>
      <c r="L301" s="57"/>
      <c r="M301" s="57">
        <v>3</v>
      </c>
      <c r="N301" s="57">
        <v>10</v>
      </c>
    </row>
    <row r="302" spans="1:14" ht="18" customHeight="1" x14ac:dyDescent="0.2">
      <c r="A302" s="62" t="s">
        <v>48</v>
      </c>
      <c r="B302" s="56">
        <v>77</v>
      </c>
      <c r="C302" s="57">
        <v>13</v>
      </c>
      <c r="D302" s="57">
        <v>16</v>
      </c>
      <c r="E302" s="57">
        <v>7</v>
      </c>
      <c r="F302" s="57">
        <v>6</v>
      </c>
      <c r="G302" s="57">
        <v>2</v>
      </c>
      <c r="H302" s="57">
        <v>10</v>
      </c>
      <c r="I302" s="57">
        <v>11</v>
      </c>
      <c r="J302" s="57">
        <v>3</v>
      </c>
      <c r="K302" s="57">
        <v>2</v>
      </c>
      <c r="L302" s="57">
        <v>1</v>
      </c>
      <c r="M302" s="57">
        <v>1</v>
      </c>
      <c r="N302" s="57">
        <v>5</v>
      </c>
    </row>
    <row r="303" spans="1:14" ht="18" customHeight="1" x14ac:dyDescent="0.2">
      <c r="A303" s="62" t="s">
        <v>168</v>
      </c>
      <c r="B303" s="56">
        <v>45</v>
      </c>
      <c r="C303" s="57"/>
      <c r="D303" s="57"/>
      <c r="E303" s="57">
        <v>10</v>
      </c>
      <c r="F303" s="57">
        <v>25</v>
      </c>
      <c r="G303" s="57">
        <v>10</v>
      </c>
      <c r="H303" s="57"/>
      <c r="I303" s="57"/>
      <c r="J303" s="57"/>
      <c r="K303" s="57"/>
      <c r="L303" s="57"/>
      <c r="M303" s="57"/>
      <c r="N303" s="57"/>
    </row>
    <row r="304" spans="1:14" ht="18" customHeight="1" x14ac:dyDescent="0.2">
      <c r="A304" s="62" t="s">
        <v>51</v>
      </c>
      <c r="B304" s="56">
        <v>20</v>
      </c>
      <c r="C304" s="57">
        <v>1</v>
      </c>
      <c r="D304" s="57">
        <v>3</v>
      </c>
      <c r="E304" s="57">
        <v>2</v>
      </c>
      <c r="F304" s="57">
        <v>1</v>
      </c>
      <c r="G304" s="57"/>
      <c r="H304" s="57"/>
      <c r="I304" s="57"/>
      <c r="J304" s="57"/>
      <c r="K304" s="57"/>
      <c r="L304" s="57">
        <v>2</v>
      </c>
      <c r="M304" s="57">
        <v>4</v>
      </c>
      <c r="N304" s="57">
        <v>7</v>
      </c>
    </row>
    <row r="305" spans="1:14" ht="18" customHeight="1" x14ac:dyDescent="0.2">
      <c r="A305" s="62" t="s">
        <v>49</v>
      </c>
      <c r="B305" s="56">
        <v>16</v>
      </c>
      <c r="C305" s="57"/>
      <c r="D305" s="57"/>
      <c r="E305" s="57"/>
      <c r="F305" s="57">
        <v>3</v>
      </c>
      <c r="G305" s="57">
        <v>13</v>
      </c>
      <c r="H305" s="57"/>
      <c r="I305" s="57"/>
      <c r="J305" s="57"/>
      <c r="K305" s="57"/>
      <c r="L305" s="57"/>
      <c r="M305" s="57"/>
      <c r="N305" s="57"/>
    </row>
    <row r="306" spans="1:14" ht="18" customHeight="1" x14ac:dyDescent="0.2">
      <c r="A306" s="62" t="s">
        <v>58</v>
      </c>
      <c r="B306" s="56">
        <v>6</v>
      </c>
      <c r="C306" s="57"/>
      <c r="D306" s="57"/>
      <c r="E306" s="57">
        <v>1</v>
      </c>
      <c r="F306" s="57">
        <v>2</v>
      </c>
      <c r="G306" s="57">
        <v>3</v>
      </c>
      <c r="H306" s="57"/>
      <c r="I306" s="57"/>
      <c r="J306" s="57"/>
      <c r="K306" s="57"/>
      <c r="L306" s="57"/>
      <c r="M306" s="57"/>
      <c r="N306" s="57"/>
    </row>
    <row r="307" spans="1:14" ht="18" customHeight="1" x14ac:dyDescent="0.2">
      <c r="A307" s="62" t="s">
        <v>53</v>
      </c>
      <c r="B307" s="56">
        <v>5</v>
      </c>
      <c r="C307" s="57"/>
      <c r="D307" s="57">
        <v>4</v>
      </c>
      <c r="E307" s="57">
        <v>1</v>
      </c>
      <c r="F307" s="57"/>
      <c r="G307" s="57"/>
      <c r="H307" s="57"/>
      <c r="I307" s="57"/>
      <c r="J307" s="57"/>
      <c r="K307" s="57"/>
      <c r="L307" s="57"/>
      <c r="M307" s="57"/>
      <c r="N307" s="57"/>
    </row>
    <row r="308" spans="1:14" ht="18" customHeight="1" x14ac:dyDescent="0.2">
      <c r="A308" s="62" t="s">
        <v>50</v>
      </c>
      <c r="B308" s="56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</row>
    <row r="309" spans="1:14" ht="18" customHeight="1" x14ac:dyDescent="0.2">
      <c r="A309" s="62" t="s">
        <v>1247</v>
      </c>
      <c r="B309" s="56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</row>
    <row r="310" spans="1:14" ht="18" customHeight="1" x14ac:dyDescent="0.2">
      <c r="A310" s="62" t="s">
        <v>56</v>
      </c>
      <c r="B310" s="56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</row>
    <row r="311" spans="1:14" ht="18" customHeight="1" x14ac:dyDescent="0.2">
      <c r="A311" s="63" t="s">
        <v>54</v>
      </c>
      <c r="B311" s="58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</row>
    <row r="313" spans="1:14" ht="43.5" customHeight="1" x14ac:dyDescent="0.2">
      <c r="A313" s="152" t="s">
        <v>1274</v>
      </c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</row>
    <row r="332" spans="1:14" x14ac:dyDescent="0.2">
      <c r="F332" s="22"/>
    </row>
    <row r="333" spans="1:14" x14ac:dyDescent="0.2">
      <c r="A333" s="153" t="s">
        <v>2</v>
      </c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</row>
    <row r="334" spans="1:14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</row>
    <row r="335" spans="1:14" ht="30" customHeight="1" x14ac:dyDescent="0.2">
      <c r="A335" s="139" t="s">
        <v>1255</v>
      </c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</row>
    <row r="337" spans="1:14" x14ac:dyDescent="0.2">
      <c r="A337" s="154" t="s">
        <v>47</v>
      </c>
      <c r="B337" s="156" t="s">
        <v>11</v>
      </c>
      <c r="C337" s="156">
        <f>+C297</f>
        <v>2022</v>
      </c>
      <c r="D337" s="156"/>
      <c r="E337" s="156"/>
      <c r="F337" s="156"/>
      <c r="G337" s="156"/>
      <c r="H337" s="156">
        <f>+H297</f>
        <v>2023</v>
      </c>
      <c r="I337" s="156"/>
      <c r="J337" s="156"/>
      <c r="K337" s="156"/>
      <c r="L337" s="156"/>
      <c r="M337" s="156"/>
      <c r="N337" s="156"/>
    </row>
    <row r="338" spans="1:14" x14ac:dyDescent="0.2">
      <c r="A338" s="155"/>
      <c r="B338" s="157"/>
      <c r="C338" s="60" t="s">
        <v>12</v>
      </c>
      <c r="D338" s="60" t="s">
        <v>13</v>
      </c>
      <c r="E338" s="60" t="s">
        <v>14</v>
      </c>
      <c r="F338" s="60" t="s">
        <v>15</v>
      </c>
      <c r="G338" s="60" t="s">
        <v>16</v>
      </c>
      <c r="H338" s="60" t="s">
        <v>17</v>
      </c>
      <c r="I338" s="60" t="s">
        <v>18</v>
      </c>
      <c r="J338" s="60" t="s">
        <v>19</v>
      </c>
      <c r="K338" s="60" t="s">
        <v>20</v>
      </c>
      <c r="L338" s="60" t="s">
        <v>21</v>
      </c>
      <c r="M338" s="60" t="s">
        <v>22</v>
      </c>
      <c r="N338" s="60" t="s">
        <v>23</v>
      </c>
    </row>
    <row r="339" spans="1:14" x14ac:dyDescent="0.2">
      <c r="A339" s="6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</row>
    <row r="340" spans="1:14" ht="18" customHeight="1" x14ac:dyDescent="0.2">
      <c r="A340" s="61" t="s">
        <v>11</v>
      </c>
      <c r="B340" s="56">
        <f t="shared" ref="B340:N340" si="8">SUM(B341:B351)</f>
        <v>1565</v>
      </c>
      <c r="C340" s="56">
        <f t="shared" si="8"/>
        <v>1</v>
      </c>
      <c r="D340" s="56">
        <f t="shared" si="8"/>
        <v>58</v>
      </c>
      <c r="E340" s="56">
        <f t="shared" si="8"/>
        <v>290</v>
      </c>
      <c r="F340" s="56">
        <f t="shared" si="8"/>
        <v>562</v>
      </c>
      <c r="G340" s="56">
        <f t="shared" si="8"/>
        <v>423</v>
      </c>
      <c r="H340" s="56">
        <f t="shared" si="8"/>
        <v>176</v>
      </c>
      <c r="I340" s="56">
        <f t="shared" si="8"/>
        <v>32</v>
      </c>
      <c r="J340" s="56">
        <f t="shared" si="8"/>
        <v>12</v>
      </c>
      <c r="K340" s="56">
        <f t="shared" si="8"/>
        <v>6</v>
      </c>
      <c r="L340" s="56">
        <f t="shared" si="8"/>
        <v>5</v>
      </c>
      <c r="M340" s="56">
        <f t="shared" si="8"/>
        <v>0</v>
      </c>
      <c r="N340" s="56">
        <f t="shared" si="8"/>
        <v>0</v>
      </c>
    </row>
    <row r="341" spans="1:14" ht="18" customHeight="1" x14ac:dyDescent="0.2">
      <c r="A341" s="62" t="s">
        <v>52</v>
      </c>
      <c r="B341" s="56">
        <v>667</v>
      </c>
      <c r="C341" s="57"/>
      <c r="D341" s="57">
        <v>7</v>
      </c>
      <c r="E341" s="57">
        <v>89</v>
      </c>
      <c r="F341" s="57">
        <v>190</v>
      </c>
      <c r="G341" s="57">
        <v>238</v>
      </c>
      <c r="H341" s="57">
        <v>141</v>
      </c>
      <c r="I341" s="57"/>
      <c r="J341" s="57"/>
      <c r="K341" s="57"/>
      <c r="L341" s="57">
        <v>2</v>
      </c>
      <c r="M341" s="57"/>
      <c r="N341" s="57"/>
    </row>
    <row r="342" spans="1:14" ht="18" customHeight="1" x14ac:dyDescent="0.2">
      <c r="A342" s="62" t="s">
        <v>51</v>
      </c>
      <c r="B342" s="56">
        <v>281</v>
      </c>
      <c r="C342" s="57"/>
      <c r="D342" s="57">
        <v>18</v>
      </c>
      <c r="E342" s="57">
        <v>89</v>
      </c>
      <c r="F342" s="57">
        <v>128</v>
      </c>
      <c r="G342" s="57">
        <v>45</v>
      </c>
      <c r="H342" s="57">
        <v>1</v>
      </c>
      <c r="I342" s="57"/>
      <c r="J342" s="57"/>
      <c r="K342" s="57"/>
      <c r="L342" s="57"/>
      <c r="M342" s="57"/>
      <c r="N342" s="57"/>
    </row>
    <row r="343" spans="1:14" ht="18" customHeight="1" x14ac:dyDescent="0.2">
      <c r="A343" s="62" t="s">
        <v>48</v>
      </c>
      <c r="B343" s="56">
        <v>224</v>
      </c>
      <c r="C343" s="57"/>
      <c r="D343" s="57"/>
      <c r="E343" s="57">
        <v>42</v>
      </c>
      <c r="F343" s="57">
        <v>121</v>
      </c>
      <c r="G343" s="57">
        <v>51</v>
      </c>
      <c r="H343" s="57"/>
      <c r="I343" s="57"/>
      <c r="J343" s="57">
        <v>1</v>
      </c>
      <c r="K343" s="57">
        <v>6</v>
      </c>
      <c r="L343" s="57">
        <v>3</v>
      </c>
      <c r="M343" s="57"/>
      <c r="N343" s="57"/>
    </row>
    <row r="344" spans="1:14" ht="18" customHeight="1" x14ac:dyDescent="0.2">
      <c r="A344" s="62" t="s">
        <v>49</v>
      </c>
      <c r="B344" s="56">
        <v>131</v>
      </c>
      <c r="C344" s="57"/>
      <c r="D344" s="57">
        <v>13</v>
      </c>
      <c r="E344" s="57">
        <v>32</v>
      </c>
      <c r="F344" s="57">
        <v>42</v>
      </c>
      <c r="G344" s="57">
        <v>39</v>
      </c>
      <c r="H344" s="57">
        <v>5</v>
      </c>
      <c r="I344" s="57"/>
      <c r="J344" s="57"/>
      <c r="K344" s="57"/>
      <c r="L344" s="57"/>
      <c r="M344" s="57"/>
      <c r="N344" s="57"/>
    </row>
    <row r="345" spans="1:14" ht="18" customHeight="1" x14ac:dyDescent="0.2">
      <c r="A345" s="62" t="s">
        <v>168</v>
      </c>
      <c r="B345" s="56">
        <v>89</v>
      </c>
      <c r="C345" s="57"/>
      <c r="D345" s="57">
        <v>2</v>
      </c>
      <c r="E345" s="57">
        <v>7</v>
      </c>
      <c r="F345" s="57">
        <v>38</v>
      </c>
      <c r="G345" s="57">
        <v>34</v>
      </c>
      <c r="H345" s="57">
        <v>8</v>
      </c>
      <c r="I345" s="57"/>
      <c r="J345" s="57"/>
      <c r="K345" s="57"/>
      <c r="L345" s="57"/>
      <c r="M345" s="57"/>
      <c r="N345" s="57"/>
    </row>
    <row r="346" spans="1:14" ht="18" customHeight="1" x14ac:dyDescent="0.2">
      <c r="A346" s="62" t="s">
        <v>53</v>
      </c>
      <c r="B346" s="56">
        <v>82</v>
      </c>
      <c r="C346" s="57"/>
      <c r="D346" s="57">
        <v>1</v>
      </c>
      <c r="E346" s="57">
        <v>2</v>
      </c>
      <c r="F346" s="57">
        <v>11</v>
      </c>
      <c r="G346" s="57">
        <v>4</v>
      </c>
      <c r="H346" s="57">
        <v>21</v>
      </c>
      <c r="I346" s="57">
        <v>32</v>
      </c>
      <c r="J346" s="57">
        <v>11</v>
      </c>
      <c r="K346" s="57"/>
      <c r="L346" s="57"/>
      <c r="M346" s="57"/>
      <c r="N346" s="57"/>
    </row>
    <row r="347" spans="1:14" ht="18" customHeight="1" x14ac:dyDescent="0.2">
      <c r="A347" s="62" t="s">
        <v>58</v>
      </c>
      <c r="B347" s="56">
        <v>36</v>
      </c>
      <c r="C347" s="57">
        <v>1</v>
      </c>
      <c r="D347" s="57">
        <v>17</v>
      </c>
      <c r="E347" s="57">
        <v>18</v>
      </c>
      <c r="F347" s="57"/>
      <c r="G347" s="57"/>
      <c r="H347" s="57"/>
      <c r="I347" s="57"/>
      <c r="J347" s="57"/>
      <c r="K347" s="57"/>
      <c r="L347" s="57"/>
      <c r="M347" s="57"/>
      <c r="N347" s="57"/>
    </row>
    <row r="348" spans="1:14" ht="18" customHeight="1" x14ac:dyDescent="0.2">
      <c r="A348" s="62" t="s">
        <v>54</v>
      </c>
      <c r="B348" s="56">
        <v>28</v>
      </c>
      <c r="C348" s="57"/>
      <c r="D348" s="57"/>
      <c r="E348" s="57">
        <v>1</v>
      </c>
      <c r="F348" s="57">
        <v>22</v>
      </c>
      <c r="G348" s="57">
        <v>5</v>
      </c>
      <c r="H348" s="57"/>
      <c r="I348" s="57"/>
      <c r="J348" s="57"/>
      <c r="K348" s="57"/>
      <c r="L348" s="57"/>
      <c r="M348" s="57"/>
      <c r="N348" s="57"/>
    </row>
    <row r="349" spans="1:14" ht="18" customHeight="1" x14ac:dyDescent="0.2">
      <c r="A349" s="62" t="s">
        <v>56</v>
      </c>
      <c r="B349" s="56">
        <v>14</v>
      </c>
      <c r="C349" s="57"/>
      <c r="D349" s="57"/>
      <c r="E349" s="57">
        <v>9</v>
      </c>
      <c r="F349" s="57">
        <v>3</v>
      </c>
      <c r="G349" s="57">
        <v>2</v>
      </c>
      <c r="H349" s="57"/>
      <c r="I349" s="57"/>
      <c r="J349" s="57"/>
      <c r="K349" s="57"/>
      <c r="L349" s="57"/>
      <c r="M349" s="57"/>
      <c r="N349" s="57"/>
    </row>
    <row r="350" spans="1:14" ht="18" customHeight="1" x14ac:dyDescent="0.2">
      <c r="A350" s="62" t="s">
        <v>50</v>
      </c>
      <c r="B350" s="56">
        <v>13</v>
      </c>
      <c r="C350" s="57"/>
      <c r="D350" s="57"/>
      <c r="E350" s="57">
        <v>1</v>
      </c>
      <c r="F350" s="57">
        <v>7</v>
      </c>
      <c r="G350" s="57">
        <v>5</v>
      </c>
      <c r="H350" s="57"/>
      <c r="I350" s="57"/>
      <c r="J350" s="57"/>
      <c r="K350" s="57"/>
      <c r="L350" s="57"/>
      <c r="M350" s="57"/>
      <c r="N350" s="57"/>
    </row>
    <row r="351" spans="1:14" ht="18" customHeight="1" x14ac:dyDescent="0.2">
      <c r="A351" s="63" t="s">
        <v>1247</v>
      </c>
      <c r="B351" s="58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</row>
    <row r="353" spans="1:14" ht="42.75" customHeight="1" x14ac:dyDescent="0.2">
      <c r="A353" s="152" t="s">
        <v>1275</v>
      </c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</row>
    <row r="373" spans="1:14" x14ac:dyDescent="0.2">
      <c r="F373" s="22"/>
    </row>
    <row r="374" spans="1:14" x14ac:dyDescent="0.2">
      <c r="A374" s="153" t="s">
        <v>3</v>
      </c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</row>
    <row r="375" spans="1:14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</row>
    <row r="376" spans="1:14" ht="39" customHeight="1" x14ac:dyDescent="0.2">
      <c r="A376" s="139" t="s">
        <v>1256</v>
      </c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</row>
    <row r="378" spans="1:14" x14ac:dyDescent="0.2">
      <c r="A378" s="154" t="s">
        <v>47</v>
      </c>
      <c r="B378" s="156" t="s">
        <v>11</v>
      </c>
      <c r="C378" s="156">
        <f>+C337</f>
        <v>2022</v>
      </c>
      <c r="D378" s="156"/>
      <c r="E378" s="156"/>
      <c r="F378" s="156"/>
      <c r="G378" s="156"/>
      <c r="H378" s="156">
        <f>+H337</f>
        <v>2023</v>
      </c>
      <c r="I378" s="156"/>
      <c r="J378" s="156"/>
      <c r="K378" s="156"/>
      <c r="L378" s="156"/>
      <c r="M378" s="156"/>
      <c r="N378" s="156"/>
    </row>
    <row r="379" spans="1:14" x14ac:dyDescent="0.2">
      <c r="A379" s="155"/>
      <c r="B379" s="157"/>
      <c r="C379" s="60" t="s">
        <v>12</v>
      </c>
      <c r="D379" s="60" t="s">
        <v>13</v>
      </c>
      <c r="E379" s="60" t="s">
        <v>14</v>
      </c>
      <c r="F379" s="60" t="s">
        <v>15</v>
      </c>
      <c r="G379" s="60" t="s">
        <v>16</v>
      </c>
      <c r="H379" s="60" t="s">
        <v>17</v>
      </c>
      <c r="I379" s="60" t="s">
        <v>18</v>
      </c>
      <c r="J379" s="60" t="s">
        <v>19</v>
      </c>
      <c r="K379" s="60" t="s">
        <v>20</v>
      </c>
      <c r="L379" s="60" t="s">
        <v>21</v>
      </c>
      <c r="M379" s="60" t="s">
        <v>22</v>
      </c>
      <c r="N379" s="60" t="s">
        <v>23</v>
      </c>
    </row>
    <row r="380" spans="1:14" x14ac:dyDescent="0.2">
      <c r="A380" s="6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</row>
    <row r="381" spans="1:14" ht="18" customHeight="1" x14ac:dyDescent="0.2">
      <c r="A381" s="61" t="s">
        <v>11</v>
      </c>
      <c r="B381" s="56">
        <f t="shared" ref="B381:N381" si="9">SUM(B382:B392)</f>
        <v>7602</v>
      </c>
      <c r="C381" s="56">
        <f t="shared" si="9"/>
        <v>112</v>
      </c>
      <c r="D381" s="56">
        <f t="shared" si="9"/>
        <v>1129</v>
      </c>
      <c r="E381" s="56">
        <f t="shared" si="9"/>
        <v>3316</v>
      </c>
      <c r="F381" s="56">
        <f t="shared" si="9"/>
        <v>2436</v>
      </c>
      <c r="G381" s="56">
        <f t="shared" si="9"/>
        <v>500</v>
      </c>
      <c r="H381" s="56">
        <f t="shared" si="9"/>
        <v>38</v>
      </c>
      <c r="I381" s="56">
        <f t="shared" si="9"/>
        <v>4</v>
      </c>
      <c r="J381" s="56">
        <f t="shared" si="9"/>
        <v>0</v>
      </c>
      <c r="K381" s="56">
        <f t="shared" si="9"/>
        <v>1</v>
      </c>
      <c r="L381" s="56">
        <f t="shared" si="9"/>
        <v>13</v>
      </c>
      <c r="M381" s="56">
        <f t="shared" si="9"/>
        <v>34</v>
      </c>
      <c r="N381" s="56">
        <f t="shared" si="9"/>
        <v>19</v>
      </c>
    </row>
    <row r="382" spans="1:14" ht="18" customHeight="1" x14ac:dyDescent="0.2">
      <c r="A382" s="62" t="s">
        <v>48</v>
      </c>
      <c r="B382" s="56">
        <v>2625</v>
      </c>
      <c r="C382" s="57"/>
      <c r="D382" s="57">
        <v>194</v>
      </c>
      <c r="E382" s="57">
        <v>1071</v>
      </c>
      <c r="F382" s="57">
        <v>1086</v>
      </c>
      <c r="G382" s="57">
        <v>249</v>
      </c>
      <c r="H382" s="57">
        <v>15</v>
      </c>
      <c r="I382" s="57"/>
      <c r="J382" s="57"/>
      <c r="K382" s="57"/>
      <c r="L382" s="57">
        <v>4</v>
      </c>
      <c r="M382" s="57">
        <v>6</v>
      </c>
      <c r="N382" s="57"/>
    </row>
    <row r="383" spans="1:14" ht="18" customHeight="1" x14ac:dyDescent="0.2">
      <c r="A383" s="62" t="s">
        <v>49</v>
      </c>
      <c r="B383" s="56">
        <v>911</v>
      </c>
      <c r="C383" s="57">
        <v>16</v>
      </c>
      <c r="D383" s="57">
        <v>172</v>
      </c>
      <c r="E383" s="57">
        <v>361</v>
      </c>
      <c r="F383" s="57">
        <v>323</v>
      </c>
      <c r="G383" s="57">
        <v>39</v>
      </c>
      <c r="H383" s="57"/>
      <c r="I383" s="57"/>
      <c r="J383" s="57"/>
      <c r="K383" s="57"/>
      <c r="L383" s="57"/>
      <c r="M383" s="57"/>
      <c r="N383" s="57"/>
    </row>
    <row r="384" spans="1:14" ht="18" customHeight="1" x14ac:dyDescent="0.2">
      <c r="A384" s="62" t="s">
        <v>53</v>
      </c>
      <c r="B384" s="56">
        <v>743</v>
      </c>
      <c r="C384" s="57">
        <v>18</v>
      </c>
      <c r="D384" s="57">
        <v>165</v>
      </c>
      <c r="E384" s="57">
        <v>387</v>
      </c>
      <c r="F384" s="57">
        <v>150</v>
      </c>
      <c r="G384" s="57">
        <v>12</v>
      </c>
      <c r="H384" s="57">
        <v>2</v>
      </c>
      <c r="I384" s="57">
        <v>4</v>
      </c>
      <c r="J384" s="57"/>
      <c r="K384" s="57"/>
      <c r="L384" s="57"/>
      <c r="M384" s="57">
        <v>2</v>
      </c>
      <c r="N384" s="57">
        <v>3</v>
      </c>
    </row>
    <row r="385" spans="1:14" ht="18" customHeight="1" x14ac:dyDescent="0.2">
      <c r="A385" s="62" t="s">
        <v>51</v>
      </c>
      <c r="B385" s="56">
        <v>732</v>
      </c>
      <c r="C385" s="57">
        <v>13</v>
      </c>
      <c r="D385" s="57">
        <v>125</v>
      </c>
      <c r="E385" s="57">
        <v>406</v>
      </c>
      <c r="F385" s="57">
        <v>177</v>
      </c>
      <c r="G385" s="57">
        <v>11</v>
      </c>
      <c r="H385" s="57"/>
      <c r="I385" s="57"/>
      <c r="J385" s="57"/>
      <c r="K385" s="57"/>
      <c r="L385" s="57"/>
      <c r="M385" s="57"/>
      <c r="N385" s="57"/>
    </row>
    <row r="386" spans="1:14" ht="18" customHeight="1" x14ac:dyDescent="0.2">
      <c r="A386" s="62" t="s">
        <v>52</v>
      </c>
      <c r="B386" s="56">
        <v>625</v>
      </c>
      <c r="C386" s="57">
        <v>26</v>
      </c>
      <c r="D386" s="57">
        <v>125</v>
      </c>
      <c r="E386" s="57">
        <v>189</v>
      </c>
      <c r="F386" s="57">
        <v>176</v>
      </c>
      <c r="G386" s="57">
        <v>81</v>
      </c>
      <c r="H386" s="57">
        <v>21</v>
      </c>
      <c r="I386" s="57"/>
      <c r="J386" s="57"/>
      <c r="K386" s="57"/>
      <c r="L386" s="57"/>
      <c r="M386" s="57">
        <v>7</v>
      </c>
      <c r="N386" s="57"/>
    </row>
    <row r="387" spans="1:14" ht="18" customHeight="1" x14ac:dyDescent="0.2">
      <c r="A387" s="62" t="s">
        <v>50</v>
      </c>
      <c r="B387" s="56">
        <v>621</v>
      </c>
      <c r="C387" s="57">
        <v>16</v>
      </c>
      <c r="D387" s="57">
        <v>171</v>
      </c>
      <c r="E387" s="57">
        <v>311</v>
      </c>
      <c r="F387" s="57">
        <v>114</v>
      </c>
      <c r="G387" s="57">
        <v>9</v>
      </c>
      <c r="H387" s="57"/>
      <c r="I387" s="57"/>
      <c r="J387" s="57"/>
      <c r="K387" s="57"/>
      <c r="L387" s="57"/>
      <c r="M387" s="57"/>
      <c r="N387" s="57"/>
    </row>
    <row r="388" spans="1:14" ht="18" customHeight="1" x14ac:dyDescent="0.2">
      <c r="A388" s="62" t="s">
        <v>168</v>
      </c>
      <c r="B388" s="56">
        <v>431</v>
      </c>
      <c r="C388" s="57"/>
      <c r="D388" s="57">
        <v>31</v>
      </c>
      <c r="E388" s="57">
        <v>177</v>
      </c>
      <c r="F388" s="57">
        <v>181</v>
      </c>
      <c r="G388" s="57">
        <v>42</v>
      </c>
      <c r="H388" s="57"/>
      <c r="I388" s="57"/>
      <c r="J388" s="57"/>
      <c r="K388" s="57"/>
      <c r="L388" s="57"/>
      <c r="M388" s="57"/>
      <c r="N388" s="57"/>
    </row>
    <row r="389" spans="1:14" ht="18" customHeight="1" x14ac:dyDescent="0.2">
      <c r="A389" s="62" t="s">
        <v>56</v>
      </c>
      <c r="B389" s="56">
        <v>281</v>
      </c>
      <c r="C389" s="57">
        <v>22</v>
      </c>
      <c r="D389" s="57">
        <v>66</v>
      </c>
      <c r="E389" s="57">
        <v>109</v>
      </c>
      <c r="F389" s="57">
        <v>42</v>
      </c>
      <c r="G389" s="57">
        <v>3</v>
      </c>
      <c r="H389" s="57"/>
      <c r="I389" s="57"/>
      <c r="J389" s="57"/>
      <c r="K389" s="57">
        <v>1</v>
      </c>
      <c r="L389" s="57">
        <v>9</v>
      </c>
      <c r="M389" s="57">
        <v>13</v>
      </c>
      <c r="N389" s="57">
        <v>16</v>
      </c>
    </row>
    <row r="390" spans="1:14" ht="18" customHeight="1" x14ac:dyDescent="0.2">
      <c r="A390" s="62" t="s">
        <v>54</v>
      </c>
      <c r="B390" s="56">
        <v>249</v>
      </c>
      <c r="C390" s="57"/>
      <c r="D390" s="57">
        <v>9</v>
      </c>
      <c r="E390" s="57">
        <v>122</v>
      </c>
      <c r="F390" s="57">
        <v>102</v>
      </c>
      <c r="G390" s="57">
        <v>16</v>
      </c>
      <c r="H390" s="57"/>
      <c r="I390" s="57"/>
      <c r="J390" s="57"/>
      <c r="K390" s="57"/>
      <c r="L390" s="57"/>
      <c r="M390" s="57"/>
      <c r="N390" s="57"/>
    </row>
    <row r="391" spans="1:14" ht="18" customHeight="1" x14ac:dyDescent="0.2">
      <c r="A391" s="62" t="s">
        <v>1247</v>
      </c>
      <c r="B391" s="56">
        <v>219</v>
      </c>
      <c r="C391" s="57"/>
      <c r="D391" s="57">
        <v>8</v>
      </c>
      <c r="E391" s="57">
        <v>98</v>
      </c>
      <c r="F391" s="57">
        <v>69</v>
      </c>
      <c r="G391" s="57">
        <v>38</v>
      </c>
      <c r="H391" s="57"/>
      <c r="I391" s="57"/>
      <c r="J391" s="57"/>
      <c r="K391" s="57"/>
      <c r="L391" s="57"/>
      <c r="M391" s="57">
        <v>6</v>
      </c>
      <c r="N391" s="57"/>
    </row>
    <row r="392" spans="1:14" ht="18" customHeight="1" x14ac:dyDescent="0.2">
      <c r="A392" s="63" t="s">
        <v>58</v>
      </c>
      <c r="B392" s="58">
        <v>165</v>
      </c>
      <c r="C392" s="64">
        <v>1</v>
      </c>
      <c r="D392" s="64">
        <v>63</v>
      </c>
      <c r="E392" s="64">
        <v>85</v>
      </c>
      <c r="F392" s="64">
        <v>16</v>
      </c>
      <c r="G392" s="64"/>
      <c r="H392" s="64"/>
      <c r="I392" s="64"/>
      <c r="J392" s="64"/>
      <c r="K392" s="64"/>
      <c r="L392" s="64"/>
      <c r="M392" s="64"/>
      <c r="N392" s="64"/>
    </row>
    <row r="394" spans="1:14" ht="40.5" customHeight="1" x14ac:dyDescent="0.2">
      <c r="A394" s="152" t="s">
        <v>1276</v>
      </c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</row>
    <row r="413" spans="1:14" x14ac:dyDescent="0.2">
      <c r="F413" s="22"/>
    </row>
    <row r="414" spans="1:14" x14ac:dyDescent="0.2">
      <c r="A414" s="153" t="s">
        <v>196</v>
      </c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</row>
    <row r="415" spans="1:14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</row>
    <row r="416" spans="1:14" ht="36.75" customHeight="1" x14ac:dyDescent="0.2">
      <c r="A416" s="139" t="s">
        <v>1257</v>
      </c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</row>
    <row r="418" spans="1:14" x14ac:dyDescent="0.2">
      <c r="A418" s="154" t="s">
        <v>47</v>
      </c>
      <c r="B418" s="156" t="s">
        <v>11</v>
      </c>
      <c r="C418" s="156">
        <f>+C378</f>
        <v>2022</v>
      </c>
      <c r="D418" s="156"/>
      <c r="E418" s="156"/>
      <c r="F418" s="156"/>
      <c r="G418" s="156"/>
      <c r="H418" s="156">
        <f>+H378</f>
        <v>2023</v>
      </c>
      <c r="I418" s="156"/>
      <c r="J418" s="156"/>
      <c r="K418" s="156"/>
      <c r="L418" s="156"/>
      <c r="M418" s="156"/>
      <c r="N418" s="156"/>
    </row>
    <row r="419" spans="1:14" x14ac:dyDescent="0.2">
      <c r="A419" s="155"/>
      <c r="B419" s="157"/>
      <c r="C419" s="60" t="s">
        <v>12</v>
      </c>
      <c r="D419" s="60" t="s">
        <v>13</v>
      </c>
      <c r="E419" s="60" t="s">
        <v>14</v>
      </c>
      <c r="F419" s="60" t="s">
        <v>15</v>
      </c>
      <c r="G419" s="60" t="s">
        <v>16</v>
      </c>
      <c r="H419" s="60" t="s">
        <v>17</v>
      </c>
      <c r="I419" s="60" t="s">
        <v>18</v>
      </c>
      <c r="J419" s="60" t="s">
        <v>19</v>
      </c>
      <c r="K419" s="60" t="s">
        <v>20</v>
      </c>
      <c r="L419" s="60" t="s">
        <v>21</v>
      </c>
      <c r="M419" s="60" t="s">
        <v>22</v>
      </c>
      <c r="N419" s="60" t="s">
        <v>23</v>
      </c>
    </row>
    <row r="420" spans="1:14" x14ac:dyDescent="0.2">
      <c r="A420" s="6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</row>
    <row r="421" spans="1:14" ht="18" customHeight="1" x14ac:dyDescent="0.2">
      <c r="A421" s="61" t="s">
        <v>11</v>
      </c>
      <c r="B421" s="56">
        <f t="shared" ref="B421:N421" si="10">SUM(B422:B432)</f>
        <v>1968</v>
      </c>
      <c r="C421" s="56">
        <f t="shared" si="10"/>
        <v>389</v>
      </c>
      <c r="D421" s="56">
        <f t="shared" si="10"/>
        <v>417</v>
      </c>
      <c r="E421" s="56">
        <f t="shared" si="10"/>
        <v>337</v>
      </c>
      <c r="F421" s="56">
        <f t="shared" si="10"/>
        <v>112</v>
      </c>
      <c r="G421" s="56">
        <f t="shared" si="10"/>
        <v>63</v>
      </c>
      <c r="H421" s="56">
        <f t="shared" si="10"/>
        <v>77</v>
      </c>
      <c r="I421" s="56">
        <f t="shared" si="10"/>
        <v>43</v>
      </c>
      <c r="J421" s="56">
        <f t="shared" si="10"/>
        <v>29</v>
      </c>
      <c r="K421" s="56">
        <f t="shared" si="10"/>
        <v>2</v>
      </c>
      <c r="L421" s="56">
        <f t="shared" si="10"/>
        <v>59</v>
      </c>
      <c r="M421" s="56">
        <f t="shared" si="10"/>
        <v>208</v>
      </c>
      <c r="N421" s="56">
        <f t="shared" si="10"/>
        <v>232</v>
      </c>
    </row>
    <row r="422" spans="1:14" ht="18" customHeight="1" x14ac:dyDescent="0.2">
      <c r="A422" s="62" t="s">
        <v>48</v>
      </c>
      <c r="B422" s="56">
        <v>788</v>
      </c>
      <c r="C422" s="57">
        <v>262</v>
      </c>
      <c r="D422" s="57">
        <v>211</v>
      </c>
      <c r="E422" s="57">
        <v>57</v>
      </c>
      <c r="F422" s="57">
        <v>20</v>
      </c>
      <c r="G422" s="57">
        <v>13</v>
      </c>
      <c r="H422" s="57"/>
      <c r="I422" s="57"/>
      <c r="J422" s="57">
        <v>1</v>
      </c>
      <c r="K422" s="57">
        <v>2</v>
      </c>
      <c r="L422" s="57">
        <v>6</v>
      </c>
      <c r="M422" s="57">
        <v>92</v>
      </c>
      <c r="N422" s="57">
        <v>124</v>
      </c>
    </row>
    <row r="423" spans="1:14" ht="18" customHeight="1" x14ac:dyDescent="0.2">
      <c r="A423" s="62" t="s">
        <v>53</v>
      </c>
      <c r="B423" s="56">
        <v>428</v>
      </c>
      <c r="C423" s="57">
        <v>24</v>
      </c>
      <c r="D423" s="57">
        <v>21</v>
      </c>
      <c r="E423" s="57">
        <v>5</v>
      </c>
      <c r="F423" s="57">
        <v>2</v>
      </c>
      <c r="G423" s="57">
        <v>29</v>
      </c>
      <c r="H423" s="57">
        <v>71</v>
      </c>
      <c r="I423" s="57">
        <v>43</v>
      </c>
      <c r="J423" s="57">
        <v>28</v>
      </c>
      <c r="K423" s="57"/>
      <c r="L423" s="57">
        <v>46</v>
      </c>
      <c r="M423" s="57">
        <v>95</v>
      </c>
      <c r="N423" s="57">
        <v>64</v>
      </c>
    </row>
    <row r="424" spans="1:14" ht="18" customHeight="1" x14ac:dyDescent="0.2">
      <c r="A424" s="62" t="s">
        <v>49</v>
      </c>
      <c r="B424" s="56">
        <v>152</v>
      </c>
      <c r="C424" s="57">
        <v>3</v>
      </c>
      <c r="D424" s="57">
        <v>39</v>
      </c>
      <c r="E424" s="57">
        <v>79</v>
      </c>
      <c r="F424" s="57">
        <v>28</v>
      </c>
      <c r="G424" s="57">
        <v>3</v>
      </c>
      <c r="H424" s="57"/>
      <c r="I424" s="57"/>
      <c r="J424" s="57"/>
      <c r="K424" s="57"/>
      <c r="L424" s="57"/>
      <c r="M424" s="57"/>
      <c r="N424" s="57"/>
    </row>
    <row r="425" spans="1:14" ht="18" customHeight="1" x14ac:dyDescent="0.2">
      <c r="A425" s="62" t="s">
        <v>51</v>
      </c>
      <c r="B425" s="56">
        <v>145</v>
      </c>
      <c r="C425" s="57">
        <v>16</v>
      </c>
      <c r="D425" s="57">
        <v>46</v>
      </c>
      <c r="E425" s="57">
        <v>46</v>
      </c>
      <c r="F425" s="57">
        <v>4</v>
      </c>
      <c r="G425" s="57">
        <v>3</v>
      </c>
      <c r="H425" s="57">
        <v>2</v>
      </c>
      <c r="I425" s="57"/>
      <c r="J425" s="57"/>
      <c r="K425" s="57"/>
      <c r="L425" s="57">
        <v>2</v>
      </c>
      <c r="M425" s="57">
        <v>7</v>
      </c>
      <c r="N425" s="57">
        <v>19</v>
      </c>
    </row>
    <row r="426" spans="1:14" ht="18" customHeight="1" x14ac:dyDescent="0.2">
      <c r="A426" s="62" t="s">
        <v>52</v>
      </c>
      <c r="B426" s="56">
        <v>134</v>
      </c>
      <c r="C426" s="57">
        <v>24</v>
      </c>
      <c r="D426" s="57">
        <v>13</v>
      </c>
      <c r="E426" s="57">
        <v>37</v>
      </c>
      <c r="F426" s="57">
        <v>21</v>
      </c>
      <c r="G426" s="57">
        <v>13</v>
      </c>
      <c r="H426" s="57">
        <v>4</v>
      </c>
      <c r="I426" s="57"/>
      <c r="J426" s="57"/>
      <c r="K426" s="57"/>
      <c r="L426" s="57"/>
      <c r="M426" s="57">
        <v>7</v>
      </c>
      <c r="N426" s="57">
        <v>15</v>
      </c>
    </row>
    <row r="427" spans="1:14" ht="18" customHeight="1" x14ac:dyDescent="0.2">
      <c r="A427" s="62" t="s">
        <v>50</v>
      </c>
      <c r="B427" s="56">
        <v>125</v>
      </c>
      <c r="C427" s="57">
        <v>19</v>
      </c>
      <c r="D427" s="57">
        <v>19</v>
      </c>
      <c r="E427" s="57">
        <v>57</v>
      </c>
      <c r="F427" s="57">
        <v>28</v>
      </c>
      <c r="G427" s="57">
        <v>2</v>
      </c>
      <c r="H427" s="57"/>
      <c r="I427" s="57"/>
      <c r="J427" s="57"/>
      <c r="K427" s="57"/>
      <c r="L427" s="57"/>
      <c r="M427" s="57"/>
      <c r="N427" s="57"/>
    </row>
    <row r="428" spans="1:14" ht="18" customHeight="1" x14ac:dyDescent="0.2">
      <c r="A428" s="62" t="s">
        <v>58</v>
      </c>
      <c r="B428" s="56">
        <v>118</v>
      </c>
      <c r="C428" s="57">
        <v>5</v>
      </c>
      <c r="D428" s="57">
        <v>53</v>
      </c>
      <c r="E428" s="57">
        <v>51</v>
      </c>
      <c r="F428" s="57">
        <v>9</v>
      </c>
      <c r="G428" s="57"/>
      <c r="H428" s="57"/>
      <c r="I428" s="57"/>
      <c r="J428" s="57"/>
      <c r="K428" s="57"/>
      <c r="L428" s="57"/>
      <c r="M428" s="57"/>
      <c r="N428" s="57"/>
    </row>
    <row r="429" spans="1:14" ht="18" customHeight="1" x14ac:dyDescent="0.2">
      <c r="A429" s="62" t="s">
        <v>56</v>
      </c>
      <c r="B429" s="56">
        <v>40</v>
      </c>
      <c r="C429" s="57">
        <v>7</v>
      </c>
      <c r="D429" s="57">
        <v>13</v>
      </c>
      <c r="E429" s="57">
        <v>5</v>
      </c>
      <c r="F429" s="57"/>
      <c r="G429" s="57"/>
      <c r="H429" s="57"/>
      <c r="I429" s="57"/>
      <c r="J429" s="57"/>
      <c r="K429" s="57"/>
      <c r="L429" s="57">
        <v>5</v>
      </c>
      <c r="M429" s="57">
        <v>5</v>
      </c>
      <c r="N429" s="57">
        <v>5</v>
      </c>
    </row>
    <row r="430" spans="1:14" ht="18" customHeight="1" x14ac:dyDescent="0.2">
      <c r="A430" s="62" t="s">
        <v>168</v>
      </c>
      <c r="B430" s="56">
        <v>36</v>
      </c>
      <c r="C430" s="57">
        <v>27</v>
      </c>
      <c r="D430" s="57">
        <v>2</v>
      </c>
      <c r="E430" s="57"/>
      <c r="F430" s="57"/>
      <c r="G430" s="57"/>
      <c r="H430" s="57"/>
      <c r="I430" s="57"/>
      <c r="J430" s="57"/>
      <c r="K430" s="57"/>
      <c r="L430" s="57"/>
      <c r="M430" s="57">
        <v>2</v>
      </c>
      <c r="N430" s="57">
        <v>5</v>
      </c>
    </row>
    <row r="431" spans="1:14" ht="18" customHeight="1" x14ac:dyDescent="0.2">
      <c r="A431" s="62" t="s">
        <v>54</v>
      </c>
      <c r="B431" s="56">
        <v>2</v>
      </c>
      <c r="C431" s="57">
        <v>2</v>
      </c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</row>
    <row r="432" spans="1:14" ht="18" customHeight="1" x14ac:dyDescent="0.2">
      <c r="A432" s="63" t="s">
        <v>1247</v>
      </c>
      <c r="B432" s="58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</row>
    <row r="434" spans="1:14" ht="48" customHeight="1" x14ac:dyDescent="0.2">
      <c r="A434" s="152" t="s">
        <v>1277</v>
      </c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</row>
    <row r="453" spans="1:14" x14ac:dyDescent="0.2">
      <c r="F453" s="22"/>
    </row>
    <row r="454" spans="1:14" x14ac:dyDescent="0.2">
      <c r="A454" s="153" t="s">
        <v>197</v>
      </c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</row>
    <row r="455" spans="1:14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</row>
    <row r="456" spans="1:14" ht="37.5" customHeight="1" x14ac:dyDescent="0.2">
      <c r="A456" s="139" t="s">
        <v>1258</v>
      </c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</row>
    <row r="458" spans="1:14" x14ac:dyDescent="0.2">
      <c r="A458" s="154" t="s">
        <v>47</v>
      </c>
      <c r="B458" s="156" t="s">
        <v>11</v>
      </c>
      <c r="C458" s="156">
        <f>+C418</f>
        <v>2022</v>
      </c>
      <c r="D458" s="156"/>
      <c r="E458" s="156"/>
      <c r="F458" s="156"/>
      <c r="G458" s="156"/>
      <c r="H458" s="156">
        <f>+H418</f>
        <v>2023</v>
      </c>
      <c r="I458" s="156"/>
      <c r="J458" s="156"/>
      <c r="K458" s="156"/>
      <c r="L458" s="156"/>
      <c r="M458" s="156"/>
      <c r="N458" s="156"/>
    </row>
    <row r="459" spans="1:14" x14ac:dyDescent="0.2">
      <c r="A459" s="155"/>
      <c r="B459" s="157"/>
      <c r="C459" s="60" t="s">
        <v>12</v>
      </c>
      <c r="D459" s="60" t="s">
        <v>13</v>
      </c>
      <c r="E459" s="60" t="s">
        <v>14</v>
      </c>
      <c r="F459" s="60" t="s">
        <v>15</v>
      </c>
      <c r="G459" s="60" t="s">
        <v>16</v>
      </c>
      <c r="H459" s="60" t="s">
        <v>17</v>
      </c>
      <c r="I459" s="60" t="s">
        <v>18</v>
      </c>
      <c r="J459" s="60" t="s">
        <v>19</v>
      </c>
      <c r="K459" s="60" t="s">
        <v>20</v>
      </c>
      <c r="L459" s="60" t="s">
        <v>21</v>
      </c>
      <c r="M459" s="60" t="s">
        <v>22</v>
      </c>
      <c r="N459" s="60" t="s">
        <v>23</v>
      </c>
    </row>
    <row r="460" spans="1:14" x14ac:dyDescent="0.2">
      <c r="A460" s="6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</row>
    <row r="461" spans="1:14" ht="18" customHeight="1" x14ac:dyDescent="0.2">
      <c r="A461" s="61" t="s">
        <v>11</v>
      </c>
      <c r="B461" s="56">
        <f t="shared" ref="B461:N461" si="11">SUM(B462:B472)</f>
        <v>1111</v>
      </c>
      <c r="C461" s="56">
        <f t="shared" si="11"/>
        <v>342</v>
      </c>
      <c r="D461" s="56">
        <f t="shared" si="11"/>
        <v>296</v>
      </c>
      <c r="E461" s="56">
        <f t="shared" si="11"/>
        <v>238</v>
      </c>
      <c r="F461" s="56">
        <f t="shared" si="11"/>
        <v>84</v>
      </c>
      <c r="G461" s="56">
        <f t="shared" si="11"/>
        <v>82</v>
      </c>
      <c r="H461" s="56">
        <f t="shared" si="11"/>
        <v>20</v>
      </c>
      <c r="I461" s="56">
        <f t="shared" si="11"/>
        <v>6</v>
      </c>
      <c r="J461" s="56">
        <f t="shared" si="11"/>
        <v>0</v>
      </c>
      <c r="K461" s="56">
        <f t="shared" si="11"/>
        <v>1</v>
      </c>
      <c r="L461" s="56">
        <f t="shared" si="11"/>
        <v>16</v>
      </c>
      <c r="M461" s="56">
        <f t="shared" si="11"/>
        <v>16</v>
      </c>
      <c r="N461" s="56">
        <f t="shared" si="11"/>
        <v>10</v>
      </c>
    </row>
    <row r="462" spans="1:14" ht="18" customHeight="1" x14ac:dyDescent="0.2">
      <c r="A462" s="62" t="s">
        <v>52</v>
      </c>
      <c r="B462" s="56">
        <v>564</v>
      </c>
      <c r="C462" s="57">
        <v>228</v>
      </c>
      <c r="D462" s="57">
        <v>178</v>
      </c>
      <c r="E462" s="57">
        <v>105</v>
      </c>
      <c r="F462" s="57">
        <v>5</v>
      </c>
      <c r="G462" s="57">
        <v>43</v>
      </c>
      <c r="H462" s="57">
        <v>5</v>
      </c>
      <c r="I462" s="57"/>
      <c r="J462" s="57"/>
      <c r="K462" s="57"/>
      <c r="L462" s="57"/>
      <c r="M462" s="57"/>
      <c r="N462" s="57"/>
    </row>
    <row r="463" spans="1:14" ht="18" customHeight="1" x14ac:dyDescent="0.2">
      <c r="A463" s="62" t="s">
        <v>51</v>
      </c>
      <c r="B463" s="56">
        <v>343</v>
      </c>
      <c r="C463" s="57">
        <v>105</v>
      </c>
      <c r="D463" s="57">
        <v>104</v>
      </c>
      <c r="E463" s="57">
        <v>69</v>
      </c>
      <c r="F463" s="57">
        <v>42</v>
      </c>
      <c r="G463" s="57">
        <v>17</v>
      </c>
      <c r="H463" s="57">
        <v>6</v>
      </c>
      <c r="I463" s="57"/>
      <c r="J463" s="57"/>
      <c r="K463" s="57"/>
      <c r="L463" s="57"/>
      <c r="M463" s="57"/>
      <c r="N463" s="57"/>
    </row>
    <row r="464" spans="1:14" ht="18" customHeight="1" x14ac:dyDescent="0.2">
      <c r="A464" s="62" t="s">
        <v>53</v>
      </c>
      <c r="B464" s="56">
        <v>80</v>
      </c>
      <c r="C464" s="57">
        <v>3</v>
      </c>
      <c r="D464" s="57"/>
      <c r="E464" s="57">
        <v>45</v>
      </c>
      <c r="F464" s="57">
        <v>14</v>
      </c>
      <c r="G464" s="57">
        <v>4</v>
      </c>
      <c r="H464" s="57">
        <v>8</v>
      </c>
      <c r="I464" s="57">
        <v>6</v>
      </c>
      <c r="J464" s="57"/>
      <c r="K464" s="57"/>
      <c r="L464" s="57"/>
      <c r="M464" s="57"/>
      <c r="N464" s="57"/>
    </row>
    <row r="465" spans="1:14" ht="18" customHeight="1" x14ac:dyDescent="0.2">
      <c r="A465" s="62" t="s">
        <v>56</v>
      </c>
      <c r="B465" s="56">
        <v>58</v>
      </c>
      <c r="C465" s="57"/>
      <c r="D465" s="57">
        <v>4</v>
      </c>
      <c r="E465" s="57">
        <v>9</v>
      </c>
      <c r="F465" s="57">
        <v>7</v>
      </c>
      <c r="G465" s="57"/>
      <c r="H465" s="57"/>
      <c r="I465" s="57"/>
      <c r="J465" s="57"/>
      <c r="K465" s="57"/>
      <c r="L465" s="57">
        <v>13</v>
      </c>
      <c r="M465" s="57">
        <v>15</v>
      </c>
      <c r="N465" s="57">
        <v>10</v>
      </c>
    </row>
    <row r="466" spans="1:14" ht="18" customHeight="1" x14ac:dyDescent="0.2">
      <c r="A466" s="62" t="s">
        <v>48</v>
      </c>
      <c r="B466" s="56">
        <v>53</v>
      </c>
      <c r="C466" s="57">
        <v>6</v>
      </c>
      <c r="D466" s="57">
        <v>10</v>
      </c>
      <c r="E466" s="57">
        <v>10</v>
      </c>
      <c r="F466" s="57">
        <v>11</v>
      </c>
      <c r="G466" s="57">
        <v>11</v>
      </c>
      <c r="H466" s="57"/>
      <c r="I466" s="57"/>
      <c r="J466" s="57"/>
      <c r="K466" s="57">
        <v>1</v>
      </c>
      <c r="L466" s="57">
        <v>3</v>
      </c>
      <c r="M466" s="57">
        <v>1</v>
      </c>
      <c r="N466" s="57"/>
    </row>
    <row r="467" spans="1:14" ht="18" customHeight="1" x14ac:dyDescent="0.2">
      <c r="A467" s="62" t="s">
        <v>168</v>
      </c>
      <c r="B467" s="56">
        <v>13</v>
      </c>
      <c r="C467" s="57"/>
      <c r="D467" s="57"/>
      <c r="E467" s="57"/>
      <c r="F467" s="57">
        <v>5</v>
      </c>
      <c r="G467" s="57">
        <v>7</v>
      </c>
      <c r="H467" s="57">
        <v>1</v>
      </c>
      <c r="I467" s="57"/>
      <c r="J467" s="57"/>
      <c r="K467" s="57"/>
      <c r="L467" s="57"/>
      <c r="M467" s="57"/>
      <c r="N467" s="57"/>
    </row>
    <row r="468" spans="1:14" ht="18" customHeight="1" x14ac:dyDescent="0.2">
      <c r="A468" s="62" t="s">
        <v>50</v>
      </c>
      <c r="B468" s="56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</row>
    <row r="469" spans="1:14" ht="18" customHeight="1" x14ac:dyDescent="0.2">
      <c r="A469" s="62" t="s">
        <v>1247</v>
      </c>
      <c r="B469" s="56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</row>
    <row r="470" spans="1:14" ht="18" customHeight="1" x14ac:dyDescent="0.2">
      <c r="A470" s="62" t="s">
        <v>58</v>
      </c>
      <c r="B470" s="56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</row>
    <row r="471" spans="1:14" ht="18" customHeight="1" x14ac:dyDescent="0.2">
      <c r="A471" s="62" t="s">
        <v>54</v>
      </c>
      <c r="B471" s="56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</row>
    <row r="472" spans="1:14" ht="18" customHeight="1" x14ac:dyDescent="0.2">
      <c r="A472" s="63" t="s">
        <v>49</v>
      </c>
      <c r="B472" s="58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</row>
    <row r="474" spans="1:14" ht="46.5" customHeight="1" x14ac:dyDescent="0.2">
      <c r="A474" s="152" t="s">
        <v>1278</v>
      </c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</row>
    <row r="494" spans="1:14" x14ac:dyDescent="0.2">
      <c r="F494" s="22"/>
    </row>
    <row r="495" spans="1:14" x14ac:dyDescent="0.2">
      <c r="A495" s="153" t="s">
        <v>189</v>
      </c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</row>
    <row r="496" spans="1:14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</row>
    <row r="497" spans="1:14" ht="30" customHeight="1" x14ac:dyDescent="0.2">
      <c r="A497" s="139" t="s">
        <v>1259</v>
      </c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</row>
    <row r="499" spans="1:14" x14ac:dyDescent="0.2">
      <c r="A499" s="154" t="s">
        <v>47</v>
      </c>
      <c r="B499" s="156" t="s">
        <v>11</v>
      </c>
      <c r="C499" s="156">
        <f>+C458</f>
        <v>2022</v>
      </c>
      <c r="D499" s="156"/>
      <c r="E499" s="156"/>
      <c r="F499" s="156"/>
      <c r="G499" s="156"/>
      <c r="H499" s="156">
        <f>+H458</f>
        <v>2023</v>
      </c>
      <c r="I499" s="156"/>
      <c r="J499" s="156"/>
      <c r="K499" s="156"/>
      <c r="L499" s="156"/>
      <c r="M499" s="156"/>
      <c r="N499" s="156"/>
    </row>
    <row r="500" spans="1:14" x14ac:dyDescent="0.2">
      <c r="A500" s="155"/>
      <c r="B500" s="157"/>
      <c r="C500" s="60" t="s">
        <v>12</v>
      </c>
      <c r="D500" s="60" t="s">
        <v>13</v>
      </c>
      <c r="E500" s="60" t="s">
        <v>14</v>
      </c>
      <c r="F500" s="60" t="s">
        <v>15</v>
      </c>
      <c r="G500" s="60" t="s">
        <v>16</v>
      </c>
      <c r="H500" s="60" t="s">
        <v>17</v>
      </c>
      <c r="I500" s="60" t="s">
        <v>18</v>
      </c>
      <c r="J500" s="60" t="s">
        <v>19</v>
      </c>
      <c r="K500" s="60" t="s">
        <v>20</v>
      </c>
      <c r="L500" s="60" t="s">
        <v>21</v>
      </c>
      <c r="M500" s="60" t="s">
        <v>22</v>
      </c>
      <c r="N500" s="60" t="s">
        <v>23</v>
      </c>
    </row>
    <row r="501" spans="1:14" x14ac:dyDescent="0.2">
      <c r="A501" s="6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</row>
    <row r="502" spans="1:14" ht="18" customHeight="1" x14ac:dyDescent="0.2">
      <c r="A502" s="61" t="s">
        <v>11</v>
      </c>
      <c r="B502" s="56">
        <f t="shared" ref="B502:N502" si="12">SUM(B503:B513)</f>
        <v>19811</v>
      </c>
      <c r="C502" s="56">
        <f t="shared" si="12"/>
        <v>297</v>
      </c>
      <c r="D502" s="56">
        <f t="shared" si="12"/>
        <v>2895</v>
      </c>
      <c r="E502" s="56">
        <f t="shared" si="12"/>
        <v>7858</v>
      </c>
      <c r="F502" s="56">
        <f t="shared" si="12"/>
        <v>6679</v>
      </c>
      <c r="G502" s="56">
        <f t="shared" si="12"/>
        <v>1810</v>
      </c>
      <c r="H502" s="56">
        <f t="shared" si="12"/>
        <v>178</v>
      </c>
      <c r="I502" s="56">
        <f t="shared" si="12"/>
        <v>15</v>
      </c>
      <c r="J502" s="56">
        <f t="shared" si="12"/>
        <v>5</v>
      </c>
      <c r="K502" s="56">
        <f t="shared" si="12"/>
        <v>0</v>
      </c>
      <c r="L502" s="56">
        <f t="shared" si="12"/>
        <v>0</v>
      </c>
      <c r="M502" s="56">
        <f t="shared" si="12"/>
        <v>8</v>
      </c>
      <c r="N502" s="56">
        <f t="shared" si="12"/>
        <v>66</v>
      </c>
    </row>
    <row r="503" spans="1:14" ht="18" customHeight="1" x14ac:dyDescent="0.2">
      <c r="A503" s="62" t="s">
        <v>48</v>
      </c>
      <c r="B503" s="56">
        <v>4873</v>
      </c>
      <c r="C503" s="57"/>
      <c r="D503" s="57">
        <v>286</v>
      </c>
      <c r="E503" s="57">
        <v>1806</v>
      </c>
      <c r="F503" s="57">
        <v>2103</v>
      </c>
      <c r="G503" s="57">
        <v>623</v>
      </c>
      <c r="H503" s="57">
        <v>50</v>
      </c>
      <c r="I503" s="57"/>
      <c r="J503" s="57"/>
      <c r="K503" s="57"/>
      <c r="L503" s="57"/>
      <c r="M503" s="57"/>
      <c r="N503" s="57">
        <v>5</v>
      </c>
    </row>
    <row r="504" spans="1:14" ht="18" customHeight="1" x14ac:dyDescent="0.2">
      <c r="A504" s="62" t="s">
        <v>49</v>
      </c>
      <c r="B504" s="56">
        <v>2690</v>
      </c>
      <c r="C504" s="57">
        <v>55</v>
      </c>
      <c r="D504" s="57">
        <v>492</v>
      </c>
      <c r="E504" s="57">
        <v>1062</v>
      </c>
      <c r="F504" s="57">
        <v>855</v>
      </c>
      <c r="G504" s="57">
        <v>193</v>
      </c>
      <c r="H504" s="57">
        <v>30</v>
      </c>
      <c r="I504" s="57">
        <v>3</v>
      </c>
      <c r="J504" s="57"/>
      <c r="K504" s="57"/>
      <c r="L504" s="57"/>
      <c r="M504" s="57"/>
      <c r="N504" s="57"/>
    </row>
    <row r="505" spans="1:14" ht="18" customHeight="1" x14ac:dyDescent="0.2">
      <c r="A505" s="62" t="s">
        <v>51</v>
      </c>
      <c r="B505" s="56">
        <v>2324</v>
      </c>
      <c r="C505" s="57">
        <v>21</v>
      </c>
      <c r="D505" s="57">
        <v>162</v>
      </c>
      <c r="E505" s="57">
        <v>1137</v>
      </c>
      <c r="F505" s="57">
        <v>857</v>
      </c>
      <c r="G505" s="57">
        <v>147</v>
      </c>
      <c r="H505" s="57"/>
      <c r="I505" s="57"/>
      <c r="J505" s="57"/>
      <c r="K505" s="57"/>
      <c r="L505" s="57"/>
      <c r="M505" s="57"/>
      <c r="N505" s="57"/>
    </row>
    <row r="506" spans="1:14" ht="18" customHeight="1" x14ac:dyDescent="0.2">
      <c r="A506" s="62" t="s">
        <v>52</v>
      </c>
      <c r="B506" s="56">
        <v>2084</v>
      </c>
      <c r="C506" s="57">
        <v>100</v>
      </c>
      <c r="D506" s="57">
        <v>323</v>
      </c>
      <c r="E506" s="57">
        <v>428</v>
      </c>
      <c r="F506" s="57">
        <v>695</v>
      </c>
      <c r="G506" s="57">
        <v>466</v>
      </c>
      <c r="H506" s="57">
        <v>72</v>
      </c>
      <c r="I506" s="57"/>
      <c r="J506" s="57"/>
      <c r="K506" s="57"/>
      <c r="L506" s="57"/>
      <c r="M506" s="57"/>
      <c r="N506" s="57"/>
    </row>
    <row r="507" spans="1:14" ht="18" customHeight="1" x14ac:dyDescent="0.2">
      <c r="A507" s="62" t="s">
        <v>168</v>
      </c>
      <c r="B507" s="56">
        <v>2027</v>
      </c>
      <c r="C507" s="57">
        <v>20</v>
      </c>
      <c r="D507" s="57">
        <v>361</v>
      </c>
      <c r="E507" s="57">
        <v>742</v>
      </c>
      <c r="F507" s="57">
        <v>666</v>
      </c>
      <c r="G507" s="57">
        <v>198</v>
      </c>
      <c r="H507" s="57"/>
      <c r="I507" s="57"/>
      <c r="J507" s="57"/>
      <c r="K507" s="57"/>
      <c r="L507" s="57"/>
      <c r="M507" s="57"/>
      <c r="N507" s="57">
        <v>40</v>
      </c>
    </row>
    <row r="508" spans="1:14" ht="18" customHeight="1" x14ac:dyDescent="0.2">
      <c r="A508" s="62" t="s">
        <v>53</v>
      </c>
      <c r="B508" s="56">
        <v>1925</v>
      </c>
      <c r="C508" s="57">
        <v>33</v>
      </c>
      <c r="D508" s="57">
        <v>483</v>
      </c>
      <c r="E508" s="57">
        <v>875</v>
      </c>
      <c r="F508" s="57">
        <v>424</v>
      </c>
      <c r="G508" s="57">
        <v>58</v>
      </c>
      <c r="H508" s="57">
        <v>20</v>
      </c>
      <c r="I508" s="57">
        <v>12</v>
      </c>
      <c r="J508" s="57">
        <v>5</v>
      </c>
      <c r="K508" s="57"/>
      <c r="L508" s="57"/>
      <c r="M508" s="57"/>
      <c r="N508" s="57">
        <v>15</v>
      </c>
    </row>
    <row r="509" spans="1:14" ht="18" customHeight="1" x14ac:dyDescent="0.2">
      <c r="A509" s="62" t="s">
        <v>50</v>
      </c>
      <c r="B509" s="56">
        <v>1369</v>
      </c>
      <c r="C509" s="57">
        <v>11</v>
      </c>
      <c r="D509" s="57">
        <v>360</v>
      </c>
      <c r="E509" s="57">
        <v>634</v>
      </c>
      <c r="F509" s="57">
        <v>324</v>
      </c>
      <c r="G509" s="57">
        <v>40</v>
      </c>
      <c r="H509" s="57"/>
      <c r="I509" s="57"/>
      <c r="J509" s="57"/>
      <c r="K509" s="57"/>
      <c r="L509" s="57"/>
      <c r="M509" s="57"/>
      <c r="N509" s="57"/>
    </row>
    <row r="510" spans="1:14" ht="18" customHeight="1" x14ac:dyDescent="0.2">
      <c r="A510" s="62" t="s">
        <v>54</v>
      </c>
      <c r="B510" s="56">
        <v>1266</v>
      </c>
      <c r="C510" s="57">
        <v>6</v>
      </c>
      <c r="D510" s="57">
        <v>43</v>
      </c>
      <c r="E510" s="57">
        <v>583</v>
      </c>
      <c r="F510" s="57">
        <v>544</v>
      </c>
      <c r="G510" s="57">
        <v>84</v>
      </c>
      <c r="H510" s="57">
        <v>6</v>
      </c>
      <c r="I510" s="57"/>
      <c r="J510" s="57"/>
      <c r="K510" s="57"/>
      <c r="L510" s="57"/>
      <c r="M510" s="57"/>
      <c r="N510" s="57"/>
    </row>
    <row r="511" spans="1:14" ht="18" customHeight="1" x14ac:dyDescent="0.2">
      <c r="A511" s="62" t="s">
        <v>56</v>
      </c>
      <c r="B511" s="56">
        <v>582</v>
      </c>
      <c r="C511" s="57">
        <v>23</v>
      </c>
      <c r="D511" s="57">
        <v>163</v>
      </c>
      <c r="E511" s="57">
        <v>242</v>
      </c>
      <c r="F511" s="57">
        <v>139</v>
      </c>
      <c r="G511" s="57">
        <v>1</v>
      </c>
      <c r="H511" s="57"/>
      <c r="I511" s="57"/>
      <c r="J511" s="57"/>
      <c r="K511" s="57"/>
      <c r="L511" s="57"/>
      <c r="M511" s="57">
        <v>8</v>
      </c>
      <c r="N511" s="57">
        <v>6</v>
      </c>
    </row>
    <row r="512" spans="1:14" ht="18" customHeight="1" x14ac:dyDescent="0.2">
      <c r="A512" s="62" t="s">
        <v>1247</v>
      </c>
      <c r="B512" s="56">
        <v>339</v>
      </c>
      <c r="C512" s="57"/>
      <c r="D512" s="57">
        <v>32</v>
      </c>
      <c r="E512" s="57">
        <v>246</v>
      </c>
      <c r="F512" s="57">
        <v>61</v>
      </c>
      <c r="G512" s="57"/>
      <c r="H512" s="57"/>
      <c r="I512" s="57"/>
      <c r="J512" s="57"/>
      <c r="K512" s="57"/>
      <c r="L512" s="57"/>
      <c r="M512" s="57"/>
      <c r="N512" s="57"/>
    </row>
    <row r="513" spans="1:14" ht="18" customHeight="1" x14ac:dyDescent="0.2">
      <c r="A513" s="63" t="s">
        <v>58</v>
      </c>
      <c r="B513" s="58">
        <v>332</v>
      </c>
      <c r="C513" s="64">
        <v>28</v>
      </c>
      <c r="D513" s="64">
        <v>190</v>
      </c>
      <c r="E513" s="64">
        <v>103</v>
      </c>
      <c r="F513" s="64">
        <v>11</v>
      </c>
      <c r="G513" s="64"/>
      <c r="H513" s="64"/>
      <c r="I513" s="64"/>
      <c r="J513" s="64"/>
      <c r="K513" s="64"/>
      <c r="L513" s="64"/>
      <c r="M513" s="64"/>
      <c r="N513" s="64"/>
    </row>
    <row r="514" spans="1:14" ht="14.25" customHeight="1" x14ac:dyDescent="0.2"/>
    <row r="515" spans="1:14" ht="40.5" customHeight="1" x14ac:dyDescent="0.2">
      <c r="A515" s="152" t="s">
        <v>1293</v>
      </c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</row>
    <row r="535" spans="1:14" x14ac:dyDescent="0.2">
      <c r="F535" s="22"/>
    </row>
    <row r="536" spans="1:14" x14ac:dyDescent="0.2">
      <c r="A536" s="153" t="s">
        <v>195</v>
      </c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</row>
    <row r="537" spans="1:14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</row>
    <row r="538" spans="1:14" ht="31.5" customHeight="1" x14ac:dyDescent="0.2">
      <c r="A538" s="139" t="s">
        <v>1260</v>
      </c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</row>
    <row r="540" spans="1:14" x14ac:dyDescent="0.2">
      <c r="A540" s="154" t="s">
        <v>47</v>
      </c>
      <c r="B540" s="156" t="s">
        <v>11</v>
      </c>
      <c r="C540" s="156">
        <f>+C499</f>
        <v>2022</v>
      </c>
      <c r="D540" s="156"/>
      <c r="E540" s="156"/>
      <c r="F540" s="156"/>
      <c r="G540" s="156"/>
      <c r="H540" s="156">
        <f>+H499</f>
        <v>2023</v>
      </c>
      <c r="I540" s="156"/>
      <c r="J540" s="156"/>
      <c r="K540" s="156"/>
      <c r="L540" s="156"/>
      <c r="M540" s="156"/>
      <c r="N540" s="156"/>
    </row>
    <row r="541" spans="1:14" x14ac:dyDescent="0.2">
      <c r="A541" s="155"/>
      <c r="B541" s="157"/>
      <c r="C541" s="60" t="s">
        <v>12</v>
      </c>
      <c r="D541" s="60" t="s">
        <v>13</v>
      </c>
      <c r="E541" s="60" t="s">
        <v>14</v>
      </c>
      <c r="F541" s="60" t="s">
        <v>15</v>
      </c>
      <c r="G541" s="60" t="s">
        <v>16</v>
      </c>
      <c r="H541" s="60" t="s">
        <v>17</v>
      </c>
      <c r="I541" s="60" t="s">
        <v>18</v>
      </c>
      <c r="J541" s="60" t="s">
        <v>19</v>
      </c>
      <c r="K541" s="60" t="s">
        <v>20</v>
      </c>
      <c r="L541" s="60" t="s">
        <v>21</v>
      </c>
      <c r="M541" s="60" t="s">
        <v>22</v>
      </c>
      <c r="N541" s="60" t="s">
        <v>23</v>
      </c>
    </row>
    <row r="542" spans="1:14" x14ac:dyDescent="0.2">
      <c r="A542" s="6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</row>
    <row r="543" spans="1:14" ht="18" customHeight="1" x14ac:dyDescent="0.2">
      <c r="A543" s="61" t="s">
        <v>11</v>
      </c>
      <c r="B543" s="56">
        <f t="shared" ref="B543:N543" si="13">SUM(B544:B554)</f>
        <v>2349</v>
      </c>
      <c r="C543" s="56">
        <f t="shared" si="13"/>
        <v>687</v>
      </c>
      <c r="D543" s="56">
        <f t="shared" si="13"/>
        <v>535</v>
      </c>
      <c r="E543" s="56">
        <f t="shared" si="13"/>
        <v>401</v>
      </c>
      <c r="F543" s="56">
        <f t="shared" si="13"/>
        <v>165</v>
      </c>
      <c r="G543" s="56">
        <f t="shared" si="13"/>
        <v>47</v>
      </c>
      <c r="H543" s="56">
        <f t="shared" si="13"/>
        <v>10</v>
      </c>
      <c r="I543" s="56">
        <f t="shared" si="13"/>
        <v>8</v>
      </c>
      <c r="J543" s="56">
        <f t="shared" si="13"/>
        <v>9</v>
      </c>
      <c r="K543" s="56">
        <f t="shared" si="13"/>
        <v>2</v>
      </c>
      <c r="L543" s="56">
        <f t="shared" si="13"/>
        <v>12</v>
      </c>
      <c r="M543" s="56">
        <f t="shared" si="13"/>
        <v>171</v>
      </c>
      <c r="N543" s="56">
        <f t="shared" si="13"/>
        <v>302</v>
      </c>
    </row>
    <row r="544" spans="1:14" ht="18" customHeight="1" x14ac:dyDescent="0.2">
      <c r="A544" s="62" t="s">
        <v>48</v>
      </c>
      <c r="B544" s="56">
        <v>1007</v>
      </c>
      <c r="C544" s="57">
        <v>279</v>
      </c>
      <c r="D544" s="57">
        <v>238</v>
      </c>
      <c r="E544" s="57">
        <v>117</v>
      </c>
      <c r="F544" s="57">
        <v>37</v>
      </c>
      <c r="G544" s="57">
        <v>16</v>
      </c>
      <c r="H544" s="57"/>
      <c r="I544" s="57"/>
      <c r="J544" s="57"/>
      <c r="K544" s="57"/>
      <c r="L544" s="57"/>
      <c r="M544" s="57">
        <v>120</v>
      </c>
      <c r="N544" s="57">
        <v>200</v>
      </c>
    </row>
    <row r="545" spans="1:14" ht="18" customHeight="1" x14ac:dyDescent="0.2">
      <c r="A545" s="62" t="s">
        <v>53</v>
      </c>
      <c r="B545" s="56">
        <v>339</v>
      </c>
      <c r="C545" s="57">
        <v>208</v>
      </c>
      <c r="D545" s="57">
        <v>24</v>
      </c>
      <c r="E545" s="57">
        <v>7</v>
      </c>
      <c r="F545" s="57"/>
      <c r="G545" s="57"/>
      <c r="H545" s="57">
        <v>2</v>
      </c>
      <c r="I545" s="57">
        <v>8</v>
      </c>
      <c r="J545" s="57">
        <v>9</v>
      </c>
      <c r="K545" s="57">
        <v>2</v>
      </c>
      <c r="L545" s="57">
        <v>7</v>
      </c>
      <c r="M545" s="57">
        <v>26</v>
      </c>
      <c r="N545" s="57">
        <v>46</v>
      </c>
    </row>
    <row r="546" spans="1:14" ht="18" customHeight="1" x14ac:dyDescent="0.2">
      <c r="A546" s="62" t="s">
        <v>51</v>
      </c>
      <c r="B546" s="56">
        <v>331</v>
      </c>
      <c r="C546" s="57">
        <v>49</v>
      </c>
      <c r="D546" s="57">
        <v>141</v>
      </c>
      <c r="E546" s="57">
        <v>92</v>
      </c>
      <c r="F546" s="57">
        <v>25</v>
      </c>
      <c r="G546" s="57">
        <v>4</v>
      </c>
      <c r="H546" s="57"/>
      <c r="I546" s="57"/>
      <c r="J546" s="57"/>
      <c r="K546" s="57"/>
      <c r="L546" s="57"/>
      <c r="M546" s="57">
        <v>5</v>
      </c>
      <c r="N546" s="57">
        <v>15</v>
      </c>
    </row>
    <row r="547" spans="1:14" ht="18" customHeight="1" x14ac:dyDescent="0.2">
      <c r="A547" s="62" t="s">
        <v>49</v>
      </c>
      <c r="B547" s="56">
        <v>209</v>
      </c>
      <c r="C547" s="57">
        <v>12</v>
      </c>
      <c r="D547" s="57">
        <v>75</v>
      </c>
      <c r="E547" s="57">
        <v>93</v>
      </c>
      <c r="F547" s="57">
        <v>29</v>
      </c>
      <c r="G547" s="57"/>
      <c r="H547" s="57"/>
      <c r="I547" s="57"/>
      <c r="J547" s="57"/>
      <c r="K547" s="57"/>
      <c r="L547" s="57"/>
      <c r="M547" s="57"/>
      <c r="N547" s="57"/>
    </row>
    <row r="548" spans="1:14" ht="18" customHeight="1" x14ac:dyDescent="0.2">
      <c r="A548" s="62" t="s">
        <v>52</v>
      </c>
      <c r="B548" s="56">
        <v>206</v>
      </c>
      <c r="C548" s="57">
        <v>35</v>
      </c>
      <c r="D548" s="57">
        <v>16</v>
      </c>
      <c r="E548" s="57">
        <v>33</v>
      </c>
      <c r="F548" s="57">
        <v>33</v>
      </c>
      <c r="G548" s="57">
        <v>17</v>
      </c>
      <c r="H548" s="57">
        <v>8</v>
      </c>
      <c r="I548" s="57"/>
      <c r="J548" s="57"/>
      <c r="K548" s="57"/>
      <c r="L548" s="57">
        <v>5</v>
      </c>
      <c r="M548" s="57">
        <v>19</v>
      </c>
      <c r="N548" s="57">
        <v>40</v>
      </c>
    </row>
    <row r="549" spans="1:14" ht="18" customHeight="1" x14ac:dyDescent="0.2">
      <c r="A549" s="62" t="s">
        <v>50</v>
      </c>
      <c r="B549" s="56">
        <v>153</v>
      </c>
      <c r="C549" s="57">
        <v>4</v>
      </c>
      <c r="D549" s="57">
        <v>39</v>
      </c>
      <c r="E549" s="57">
        <v>59</v>
      </c>
      <c r="F549" s="57">
        <v>41</v>
      </c>
      <c r="G549" s="57">
        <v>10</v>
      </c>
      <c r="H549" s="57"/>
      <c r="I549" s="57"/>
      <c r="J549" s="57"/>
      <c r="K549" s="57"/>
      <c r="L549" s="57"/>
      <c r="M549" s="57"/>
      <c r="N549" s="57"/>
    </row>
    <row r="550" spans="1:14" ht="18" customHeight="1" x14ac:dyDescent="0.2">
      <c r="A550" s="62" t="s">
        <v>58</v>
      </c>
      <c r="B550" s="56">
        <v>94</v>
      </c>
      <c r="C550" s="57">
        <v>92</v>
      </c>
      <c r="D550" s="57">
        <v>2</v>
      </c>
      <c r="E550" s="57"/>
      <c r="F550" s="57"/>
      <c r="G550" s="57"/>
      <c r="H550" s="57"/>
      <c r="I550" s="57"/>
      <c r="J550" s="57"/>
      <c r="K550" s="57"/>
      <c r="L550" s="57"/>
      <c r="M550" s="57"/>
      <c r="N550" s="57"/>
    </row>
    <row r="551" spans="1:14" ht="18" customHeight="1" x14ac:dyDescent="0.2">
      <c r="A551" s="62" t="s">
        <v>168</v>
      </c>
      <c r="B551" s="56">
        <v>10</v>
      </c>
      <c r="C551" s="57">
        <v>8</v>
      </c>
      <c r="D551" s="57"/>
      <c r="E551" s="57"/>
      <c r="F551" s="57"/>
      <c r="G551" s="57"/>
      <c r="H551" s="57"/>
      <c r="I551" s="57"/>
      <c r="J551" s="57"/>
      <c r="K551" s="57"/>
      <c r="L551" s="57"/>
      <c r="M551" s="57">
        <v>1</v>
      </c>
      <c r="N551" s="57">
        <v>1</v>
      </c>
    </row>
    <row r="552" spans="1:14" ht="18" customHeight="1" x14ac:dyDescent="0.2">
      <c r="A552" s="62" t="s">
        <v>1247</v>
      </c>
      <c r="B552" s="56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</row>
    <row r="553" spans="1:14" ht="18" customHeight="1" x14ac:dyDescent="0.2">
      <c r="A553" s="62" t="s">
        <v>56</v>
      </c>
      <c r="B553" s="56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</row>
    <row r="554" spans="1:14" ht="18" customHeight="1" x14ac:dyDescent="0.2">
      <c r="A554" s="63" t="s">
        <v>54</v>
      </c>
      <c r="B554" s="58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</row>
    <row r="556" spans="1:14" ht="32.25" customHeight="1" x14ac:dyDescent="0.2">
      <c r="A556" s="152" t="s">
        <v>1279</v>
      </c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</row>
    <row r="576" spans="6:6" x14ac:dyDescent="0.2">
      <c r="F576" s="22"/>
    </row>
    <row r="577" spans="1:14" x14ac:dyDescent="0.2">
      <c r="A577" s="153" t="s">
        <v>175</v>
      </c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</row>
    <row r="578" spans="1:14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</row>
    <row r="579" spans="1:14" ht="32.25" customHeight="1" x14ac:dyDescent="0.2">
      <c r="A579" s="139" t="s">
        <v>1261</v>
      </c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</row>
    <row r="581" spans="1:14" x14ac:dyDescent="0.2">
      <c r="A581" s="154" t="s">
        <v>47</v>
      </c>
      <c r="B581" s="156" t="s">
        <v>11</v>
      </c>
      <c r="C581" s="156">
        <f>+C540</f>
        <v>2022</v>
      </c>
      <c r="D581" s="156"/>
      <c r="E581" s="156"/>
      <c r="F581" s="156"/>
      <c r="G581" s="156"/>
      <c r="H581" s="156">
        <f>+H540</f>
        <v>2023</v>
      </c>
      <c r="I581" s="156"/>
      <c r="J581" s="156"/>
      <c r="K581" s="156"/>
      <c r="L581" s="156"/>
      <c r="M581" s="156"/>
      <c r="N581" s="156"/>
    </row>
    <row r="582" spans="1:14" x14ac:dyDescent="0.2">
      <c r="A582" s="155"/>
      <c r="B582" s="157"/>
      <c r="C582" s="60" t="s">
        <v>12</v>
      </c>
      <c r="D582" s="60" t="s">
        <v>13</v>
      </c>
      <c r="E582" s="60" t="s">
        <v>14</v>
      </c>
      <c r="F582" s="60" t="s">
        <v>15</v>
      </c>
      <c r="G582" s="60" t="s">
        <v>16</v>
      </c>
      <c r="H582" s="60" t="s">
        <v>17</v>
      </c>
      <c r="I582" s="60" t="s">
        <v>18</v>
      </c>
      <c r="J582" s="60" t="s">
        <v>19</v>
      </c>
      <c r="K582" s="60" t="s">
        <v>20</v>
      </c>
      <c r="L582" s="60" t="s">
        <v>21</v>
      </c>
      <c r="M582" s="60" t="s">
        <v>22</v>
      </c>
      <c r="N582" s="60" t="s">
        <v>23</v>
      </c>
    </row>
    <row r="583" spans="1:14" x14ac:dyDescent="0.2">
      <c r="A583" s="6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</row>
    <row r="584" spans="1:14" ht="18" customHeight="1" x14ac:dyDescent="0.2">
      <c r="A584" s="61" t="s">
        <v>11</v>
      </c>
      <c r="B584" s="56">
        <f t="shared" ref="B584:N584" si="14">SUM(B585:B595)</f>
        <v>1168</v>
      </c>
      <c r="C584" s="56">
        <f t="shared" si="14"/>
        <v>29</v>
      </c>
      <c r="D584" s="56">
        <f t="shared" si="14"/>
        <v>61</v>
      </c>
      <c r="E584" s="56">
        <f t="shared" si="14"/>
        <v>126</v>
      </c>
      <c r="F584" s="56">
        <f t="shared" si="14"/>
        <v>570</v>
      </c>
      <c r="G584" s="56">
        <f t="shared" si="14"/>
        <v>176</v>
      </c>
      <c r="H584" s="56">
        <f t="shared" si="14"/>
        <v>13</v>
      </c>
      <c r="I584" s="56">
        <f t="shared" si="14"/>
        <v>38</v>
      </c>
      <c r="J584" s="56">
        <f t="shared" si="14"/>
        <v>25</v>
      </c>
      <c r="K584" s="56">
        <f t="shared" si="14"/>
        <v>15</v>
      </c>
      <c r="L584" s="56">
        <f t="shared" si="14"/>
        <v>36</v>
      </c>
      <c r="M584" s="56">
        <f t="shared" si="14"/>
        <v>46</v>
      </c>
      <c r="N584" s="56">
        <f t="shared" si="14"/>
        <v>33</v>
      </c>
    </row>
    <row r="585" spans="1:14" ht="18" customHeight="1" x14ac:dyDescent="0.2">
      <c r="A585" s="62" t="s">
        <v>51</v>
      </c>
      <c r="B585" s="56">
        <v>614</v>
      </c>
      <c r="C585" s="57"/>
      <c r="D585" s="57"/>
      <c r="E585" s="57">
        <v>3</v>
      </c>
      <c r="F585" s="57">
        <v>471</v>
      </c>
      <c r="G585" s="57">
        <v>133</v>
      </c>
      <c r="H585" s="57"/>
      <c r="I585" s="57"/>
      <c r="J585" s="57"/>
      <c r="K585" s="57">
        <v>3</v>
      </c>
      <c r="L585" s="57">
        <v>2</v>
      </c>
      <c r="M585" s="57">
        <v>2</v>
      </c>
      <c r="N585" s="57"/>
    </row>
    <row r="586" spans="1:14" ht="18" customHeight="1" x14ac:dyDescent="0.2">
      <c r="A586" s="62" t="s">
        <v>53</v>
      </c>
      <c r="B586" s="56">
        <v>218</v>
      </c>
      <c r="C586" s="57">
        <v>13</v>
      </c>
      <c r="D586" s="57">
        <v>30</v>
      </c>
      <c r="E586" s="57">
        <v>42</v>
      </c>
      <c r="F586" s="57">
        <v>38</v>
      </c>
      <c r="G586" s="57">
        <v>8</v>
      </c>
      <c r="H586" s="57">
        <v>4</v>
      </c>
      <c r="I586" s="57">
        <v>38</v>
      </c>
      <c r="J586" s="57">
        <v>25</v>
      </c>
      <c r="K586" s="57">
        <v>12</v>
      </c>
      <c r="L586" s="57">
        <v>4</v>
      </c>
      <c r="M586" s="57">
        <v>4</v>
      </c>
      <c r="N586" s="57"/>
    </row>
    <row r="587" spans="1:14" ht="18" customHeight="1" x14ac:dyDescent="0.2">
      <c r="A587" s="62" t="s">
        <v>56</v>
      </c>
      <c r="B587" s="56">
        <v>103</v>
      </c>
      <c r="C587" s="57"/>
      <c r="D587" s="57">
        <v>2</v>
      </c>
      <c r="E587" s="57">
        <v>1</v>
      </c>
      <c r="F587" s="57"/>
      <c r="G587" s="57"/>
      <c r="H587" s="57"/>
      <c r="I587" s="57"/>
      <c r="J587" s="57"/>
      <c r="K587" s="57"/>
      <c r="L587" s="57">
        <v>30</v>
      </c>
      <c r="M587" s="57">
        <v>40</v>
      </c>
      <c r="N587" s="57">
        <v>30</v>
      </c>
    </row>
    <row r="588" spans="1:14" ht="18" customHeight="1" x14ac:dyDescent="0.2">
      <c r="A588" s="62" t="s">
        <v>48</v>
      </c>
      <c r="B588" s="56">
        <v>83</v>
      </c>
      <c r="C588" s="57">
        <v>10</v>
      </c>
      <c r="D588" s="57">
        <v>15</v>
      </c>
      <c r="E588" s="57">
        <v>14</v>
      </c>
      <c r="F588" s="57">
        <v>20</v>
      </c>
      <c r="G588" s="57">
        <v>15</v>
      </c>
      <c r="H588" s="57">
        <v>6</v>
      </c>
      <c r="I588" s="57"/>
      <c r="J588" s="57"/>
      <c r="K588" s="57"/>
      <c r="L588" s="57"/>
      <c r="M588" s="57"/>
      <c r="N588" s="57">
        <v>3</v>
      </c>
    </row>
    <row r="589" spans="1:14" ht="18" customHeight="1" x14ac:dyDescent="0.2">
      <c r="A589" s="62" t="s">
        <v>168</v>
      </c>
      <c r="B589" s="56">
        <v>58</v>
      </c>
      <c r="C589" s="57"/>
      <c r="D589" s="57">
        <v>3</v>
      </c>
      <c r="E589" s="57">
        <v>21</v>
      </c>
      <c r="F589" s="57">
        <v>20</v>
      </c>
      <c r="G589" s="57">
        <v>12</v>
      </c>
      <c r="H589" s="57">
        <v>2</v>
      </c>
      <c r="I589" s="57"/>
      <c r="J589" s="57"/>
      <c r="K589" s="57"/>
      <c r="L589" s="57"/>
      <c r="M589" s="57"/>
      <c r="N589" s="57"/>
    </row>
    <row r="590" spans="1:14" ht="18" customHeight="1" x14ac:dyDescent="0.2">
      <c r="A590" s="62" t="s">
        <v>52</v>
      </c>
      <c r="B590" s="56">
        <v>56</v>
      </c>
      <c r="C590" s="57">
        <v>5</v>
      </c>
      <c r="D590" s="57">
        <v>6</v>
      </c>
      <c r="E590" s="57">
        <v>17</v>
      </c>
      <c r="F590" s="57">
        <v>20</v>
      </c>
      <c r="G590" s="57">
        <v>7</v>
      </c>
      <c r="H590" s="57">
        <v>1</v>
      </c>
      <c r="I590" s="57"/>
      <c r="J590" s="57"/>
      <c r="K590" s="57"/>
      <c r="L590" s="57"/>
      <c r="M590" s="57"/>
      <c r="N590" s="57"/>
    </row>
    <row r="591" spans="1:14" ht="18" customHeight="1" x14ac:dyDescent="0.2">
      <c r="A591" s="62" t="s">
        <v>49</v>
      </c>
      <c r="B591" s="56">
        <v>32</v>
      </c>
      <c r="C591" s="57">
        <v>1</v>
      </c>
      <c r="D591" s="57">
        <v>5</v>
      </c>
      <c r="E591" s="57">
        <v>25</v>
      </c>
      <c r="F591" s="57"/>
      <c r="G591" s="57">
        <v>1</v>
      </c>
      <c r="H591" s="57"/>
      <c r="I591" s="57"/>
      <c r="J591" s="57"/>
      <c r="K591" s="57"/>
      <c r="L591" s="57"/>
      <c r="M591" s="57"/>
      <c r="N591" s="57"/>
    </row>
    <row r="592" spans="1:14" ht="18" customHeight="1" x14ac:dyDescent="0.2">
      <c r="A592" s="62" t="s">
        <v>54</v>
      </c>
      <c r="B592" s="56">
        <v>3</v>
      </c>
      <c r="C592" s="57"/>
      <c r="D592" s="57"/>
      <c r="E592" s="57">
        <v>2</v>
      </c>
      <c r="F592" s="57">
        <v>1</v>
      </c>
      <c r="G592" s="57"/>
      <c r="H592" s="57"/>
      <c r="I592" s="57"/>
      <c r="J592" s="57"/>
      <c r="K592" s="57"/>
      <c r="L592" s="57"/>
      <c r="M592" s="57"/>
      <c r="N592" s="57"/>
    </row>
    <row r="593" spans="1:14" ht="18" customHeight="1" x14ac:dyDescent="0.2">
      <c r="A593" s="62" t="s">
        <v>58</v>
      </c>
      <c r="B593" s="56">
        <v>1</v>
      </c>
      <c r="C593" s="57"/>
      <c r="D593" s="57"/>
      <c r="E593" s="57">
        <v>1</v>
      </c>
      <c r="F593" s="57"/>
      <c r="G593" s="57"/>
      <c r="H593" s="57"/>
      <c r="I593" s="57"/>
      <c r="J593" s="57"/>
      <c r="K593" s="57"/>
      <c r="L593" s="57"/>
      <c r="M593" s="57"/>
      <c r="N593" s="57"/>
    </row>
    <row r="594" spans="1:14" ht="18" customHeight="1" x14ac:dyDescent="0.2">
      <c r="A594" s="62" t="s">
        <v>50</v>
      </c>
      <c r="B594" s="56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</row>
    <row r="595" spans="1:14" ht="18" customHeight="1" x14ac:dyDescent="0.2">
      <c r="A595" s="63" t="s">
        <v>1247</v>
      </c>
      <c r="B595" s="58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</row>
    <row r="597" spans="1:14" ht="36.75" customHeight="1" x14ac:dyDescent="0.2">
      <c r="A597" s="152" t="s">
        <v>1280</v>
      </c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</row>
    <row r="616" spans="1:14" x14ac:dyDescent="0.2">
      <c r="F616" s="22"/>
    </row>
    <row r="617" spans="1:14" x14ac:dyDescent="0.2">
      <c r="A617" s="153" t="s">
        <v>174</v>
      </c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</row>
    <row r="618" spans="1:14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</row>
    <row r="619" spans="1:14" ht="33" customHeight="1" x14ac:dyDescent="0.2">
      <c r="A619" s="139" t="s">
        <v>1262</v>
      </c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</row>
    <row r="621" spans="1:14" x14ac:dyDescent="0.2">
      <c r="A621" s="154" t="s">
        <v>47</v>
      </c>
      <c r="B621" s="156" t="s">
        <v>11</v>
      </c>
      <c r="C621" s="156">
        <f>+C581</f>
        <v>2022</v>
      </c>
      <c r="D621" s="156"/>
      <c r="E621" s="156"/>
      <c r="F621" s="156"/>
      <c r="G621" s="156"/>
      <c r="H621" s="156">
        <f>+H581</f>
        <v>2023</v>
      </c>
      <c r="I621" s="156"/>
      <c r="J621" s="156"/>
      <c r="K621" s="156"/>
      <c r="L621" s="156"/>
      <c r="M621" s="156"/>
      <c r="N621" s="156"/>
    </row>
    <row r="622" spans="1:14" x14ac:dyDescent="0.2">
      <c r="A622" s="155"/>
      <c r="B622" s="157"/>
      <c r="C622" s="60" t="s">
        <v>12</v>
      </c>
      <c r="D622" s="60" t="s">
        <v>13</v>
      </c>
      <c r="E622" s="60" t="s">
        <v>14</v>
      </c>
      <c r="F622" s="60" t="s">
        <v>15</v>
      </c>
      <c r="G622" s="60" t="s">
        <v>16</v>
      </c>
      <c r="H622" s="60" t="s">
        <v>17</v>
      </c>
      <c r="I622" s="60" t="s">
        <v>18</v>
      </c>
      <c r="J622" s="60" t="s">
        <v>19</v>
      </c>
      <c r="K622" s="60" t="s">
        <v>20</v>
      </c>
      <c r="L622" s="60" t="s">
        <v>21</v>
      </c>
      <c r="M622" s="60" t="s">
        <v>22</v>
      </c>
      <c r="N622" s="60" t="s">
        <v>23</v>
      </c>
    </row>
    <row r="623" spans="1:14" x14ac:dyDescent="0.2">
      <c r="A623" s="6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</row>
    <row r="624" spans="1:14" ht="18" customHeight="1" x14ac:dyDescent="0.2">
      <c r="A624" s="61" t="s">
        <v>11</v>
      </c>
      <c r="B624" s="56">
        <f t="shared" ref="B624:N624" si="15">SUM(B625:B635)</f>
        <v>1937</v>
      </c>
      <c r="C624" s="56">
        <f t="shared" si="15"/>
        <v>82</v>
      </c>
      <c r="D624" s="56">
        <f t="shared" si="15"/>
        <v>362</v>
      </c>
      <c r="E624" s="56">
        <f t="shared" si="15"/>
        <v>812</v>
      </c>
      <c r="F624" s="56">
        <f t="shared" si="15"/>
        <v>582</v>
      </c>
      <c r="G624" s="56">
        <f t="shared" si="15"/>
        <v>85</v>
      </c>
      <c r="H624" s="56">
        <f t="shared" si="15"/>
        <v>0</v>
      </c>
      <c r="I624" s="56">
        <f t="shared" si="15"/>
        <v>0</v>
      </c>
      <c r="J624" s="56">
        <f t="shared" si="15"/>
        <v>0</v>
      </c>
      <c r="K624" s="56">
        <f t="shared" si="15"/>
        <v>0</v>
      </c>
      <c r="L624" s="56">
        <f t="shared" si="15"/>
        <v>0</v>
      </c>
      <c r="M624" s="56">
        <f t="shared" si="15"/>
        <v>4</v>
      </c>
      <c r="N624" s="56">
        <f t="shared" si="15"/>
        <v>10</v>
      </c>
    </row>
    <row r="625" spans="1:14" ht="18" customHeight="1" x14ac:dyDescent="0.2">
      <c r="A625" s="62" t="s">
        <v>48</v>
      </c>
      <c r="B625" s="56">
        <v>692</v>
      </c>
      <c r="C625" s="57"/>
      <c r="D625" s="57">
        <v>67</v>
      </c>
      <c r="E625" s="57">
        <v>264</v>
      </c>
      <c r="F625" s="57">
        <v>294</v>
      </c>
      <c r="G625" s="57">
        <v>67</v>
      </c>
      <c r="H625" s="57"/>
      <c r="I625" s="57"/>
      <c r="J625" s="57"/>
      <c r="K625" s="57"/>
      <c r="L625" s="57"/>
      <c r="M625" s="57"/>
      <c r="N625" s="57"/>
    </row>
    <row r="626" spans="1:14" ht="18" customHeight="1" x14ac:dyDescent="0.2">
      <c r="A626" s="62" t="s">
        <v>53</v>
      </c>
      <c r="B626" s="56">
        <v>240</v>
      </c>
      <c r="C626" s="57">
        <v>10</v>
      </c>
      <c r="D626" s="57">
        <v>74</v>
      </c>
      <c r="E626" s="57">
        <v>107</v>
      </c>
      <c r="F626" s="57">
        <v>49</v>
      </c>
      <c r="G626" s="57"/>
      <c r="H626" s="57"/>
      <c r="I626" s="57"/>
      <c r="J626" s="57"/>
      <c r="K626" s="57"/>
      <c r="L626" s="57"/>
      <c r="M626" s="57"/>
      <c r="N626" s="57"/>
    </row>
    <row r="627" spans="1:14" ht="18" customHeight="1" x14ac:dyDescent="0.2">
      <c r="A627" s="62" t="s">
        <v>49</v>
      </c>
      <c r="B627" s="56">
        <v>186</v>
      </c>
      <c r="C627" s="57"/>
      <c r="D627" s="57">
        <v>42</v>
      </c>
      <c r="E627" s="57">
        <v>75</v>
      </c>
      <c r="F627" s="57">
        <v>63</v>
      </c>
      <c r="G627" s="57">
        <v>6</v>
      </c>
      <c r="H627" s="57"/>
      <c r="I627" s="57"/>
      <c r="J627" s="57"/>
      <c r="K627" s="57"/>
      <c r="L627" s="57"/>
      <c r="M627" s="57"/>
      <c r="N627" s="57"/>
    </row>
    <row r="628" spans="1:14" ht="18" customHeight="1" x14ac:dyDescent="0.2">
      <c r="A628" s="62" t="s">
        <v>50</v>
      </c>
      <c r="B628" s="56">
        <v>185</v>
      </c>
      <c r="C628" s="57">
        <v>2</v>
      </c>
      <c r="D628" s="57">
        <v>13</v>
      </c>
      <c r="E628" s="57">
        <v>128</v>
      </c>
      <c r="F628" s="57">
        <v>42</v>
      </c>
      <c r="G628" s="57"/>
      <c r="H628" s="57"/>
      <c r="I628" s="57"/>
      <c r="J628" s="57"/>
      <c r="K628" s="57"/>
      <c r="L628" s="57"/>
      <c r="M628" s="57"/>
      <c r="N628" s="57"/>
    </row>
    <row r="629" spans="1:14" ht="18" customHeight="1" x14ac:dyDescent="0.2">
      <c r="A629" s="62" t="s">
        <v>51</v>
      </c>
      <c r="B629" s="56">
        <v>150</v>
      </c>
      <c r="C629" s="57">
        <v>45</v>
      </c>
      <c r="D629" s="57">
        <v>59</v>
      </c>
      <c r="E629" s="57">
        <v>39</v>
      </c>
      <c r="F629" s="57">
        <v>5</v>
      </c>
      <c r="G629" s="57"/>
      <c r="H629" s="57"/>
      <c r="I629" s="57"/>
      <c r="J629" s="57"/>
      <c r="K629" s="57"/>
      <c r="L629" s="57"/>
      <c r="M629" s="57"/>
      <c r="N629" s="57">
        <v>2</v>
      </c>
    </row>
    <row r="630" spans="1:14" ht="18" customHeight="1" x14ac:dyDescent="0.2">
      <c r="A630" s="62" t="s">
        <v>52</v>
      </c>
      <c r="B630" s="56">
        <v>145</v>
      </c>
      <c r="C630" s="57">
        <v>20</v>
      </c>
      <c r="D630" s="57">
        <v>66</v>
      </c>
      <c r="E630" s="57">
        <v>34</v>
      </c>
      <c r="F630" s="57">
        <v>11</v>
      </c>
      <c r="G630" s="57">
        <v>2</v>
      </c>
      <c r="H630" s="57"/>
      <c r="I630" s="57"/>
      <c r="J630" s="57"/>
      <c r="K630" s="57"/>
      <c r="L630" s="57"/>
      <c r="M630" s="57">
        <v>4</v>
      </c>
      <c r="N630" s="57">
        <v>8</v>
      </c>
    </row>
    <row r="631" spans="1:14" ht="18" customHeight="1" x14ac:dyDescent="0.2">
      <c r="A631" s="62" t="s">
        <v>168</v>
      </c>
      <c r="B631" s="56">
        <v>138</v>
      </c>
      <c r="C631" s="57"/>
      <c r="D631" s="57">
        <v>8</v>
      </c>
      <c r="E631" s="57">
        <v>72</v>
      </c>
      <c r="F631" s="57">
        <v>51</v>
      </c>
      <c r="G631" s="57">
        <v>7</v>
      </c>
      <c r="H631" s="57"/>
      <c r="I631" s="57"/>
      <c r="J631" s="57"/>
      <c r="K631" s="57"/>
      <c r="L631" s="57"/>
      <c r="M631" s="57"/>
      <c r="N631" s="57"/>
    </row>
    <row r="632" spans="1:14" ht="18" customHeight="1" x14ac:dyDescent="0.2">
      <c r="A632" s="62" t="s">
        <v>56</v>
      </c>
      <c r="B632" s="56">
        <v>71</v>
      </c>
      <c r="C632" s="57">
        <v>5</v>
      </c>
      <c r="D632" s="57">
        <v>21</v>
      </c>
      <c r="E632" s="57">
        <v>33</v>
      </c>
      <c r="F632" s="57">
        <v>12</v>
      </c>
      <c r="G632" s="57"/>
      <c r="H632" s="57"/>
      <c r="I632" s="57"/>
      <c r="J632" s="57"/>
      <c r="K632" s="57"/>
      <c r="L632" s="57"/>
      <c r="M632" s="57"/>
      <c r="N632" s="57"/>
    </row>
    <row r="633" spans="1:14" ht="18" customHeight="1" x14ac:dyDescent="0.2">
      <c r="A633" s="62" t="s">
        <v>1247</v>
      </c>
      <c r="B633" s="56">
        <v>67</v>
      </c>
      <c r="C633" s="57"/>
      <c r="D633" s="57"/>
      <c r="E633" s="57">
        <v>18</v>
      </c>
      <c r="F633" s="57">
        <v>46</v>
      </c>
      <c r="G633" s="57">
        <v>3</v>
      </c>
      <c r="H633" s="57"/>
      <c r="I633" s="57"/>
      <c r="J633" s="57"/>
      <c r="K633" s="57"/>
      <c r="L633" s="57"/>
      <c r="M633" s="57"/>
      <c r="N633" s="57"/>
    </row>
    <row r="634" spans="1:14" ht="18" customHeight="1" x14ac:dyDescent="0.2">
      <c r="A634" s="62" t="s">
        <v>54</v>
      </c>
      <c r="B634" s="56">
        <v>50</v>
      </c>
      <c r="C634" s="57"/>
      <c r="D634" s="57">
        <v>12</v>
      </c>
      <c r="E634" s="57">
        <v>30</v>
      </c>
      <c r="F634" s="57">
        <v>8</v>
      </c>
      <c r="G634" s="57"/>
      <c r="H634" s="57"/>
      <c r="I634" s="57"/>
      <c r="J634" s="57"/>
      <c r="K634" s="57"/>
      <c r="L634" s="57"/>
      <c r="M634" s="57"/>
      <c r="N634" s="57"/>
    </row>
    <row r="635" spans="1:14" ht="18" customHeight="1" x14ac:dyDescent="0.2">
      <c r="A635" s="63" t="s">
        <v>58</v>
      </c>
      <c r="B635" s="58">
        <v>13</v>
      </c>
      <c r="C635" s="64"/>
      <c r="D635" s="64"/>
      <c r="E635" s="64">
        <v>12</v>
      </c>
      <c r="F635" s="64">
        <v>1</v>
      </c>
      <c r="G635" s="64"/>
      <c r="H635" s="64"/>
      <c r="I635" s="64"/>
      <c r="J635" s="64"/>
      <c r="K635" s="64"/>
      <c r="L635" s="64"/>
      <c r="M635" s="64"/>
      <c r="N635" s="64"/>
    </row>
    <row r="636" spans="1:14" ht="16.5" customHeight="1" x14ac:dyDescent="0.2"/>
    <row r="637" spans="1:14" ht="45.75" customHeight="1" x14ac:dyDescent="0.2">
      <c r="A637" s="152" t="s">
        <v>1281</v>
      </c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</row>
    <row r="656" spans="6:6" x14ac:dyDescent="0.2">
      <c r="F656" s="22"/>
    </row>
    <row r="657" spans="1:14" x14ac:dyDescent="0.2">
      <c r="A657" s="153" t="s">
        <v>173</v>
      </c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</row>
    <row r="658" spans="1:14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</row>
    <row r="659" spans="1:14" ht="30.75" customHeight="1" x14ac:dyDescent="0.2">
      <c r="A659" s="139" t="s">
        <v>1263</v>
      </c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</row>
    <row r="661" spans="1:14" x14ac:dyDescent="0.2">
      <c r="A661" s="154" t="s">
        <v>47</v>
      </c>
      <c r="B661" s="156" t="s">
        <v>11</v>
      </c>
      <c r="C661" s="156">
        <f>+C621</f>
        <v>2022</v>
      </c>
      <c r="D661" s="156"/>
      <c r="E661" s="156"/>
      <c r="F661" s="156"/>
      <c r="G661" s="156"/>
      <c r="H661" s="156">
        <f>+H621</f>
        <v>2023</v>
      </c>
      <c r="I661" s="156"/>
      <c r="J661" s="156"/>
      <c r="K661" s="156"/>
      <c r="L661" s="156"/>
      <c r="M661" s="156"/>
      <c r="N661" s="156"/>
    </row>
    <row r="662" spans="1:14" x14ac:dyDescent="0.2">
      <c r="A662" s="155"/>
      <c r="B662" s="157"/>
      <c r="C662" s="60" t="s">
        <v>12</v>
      </c>
      <c r="D662" s="60" t="s">
        <v>13</v>
      </c>
      <c r="E662" s="60" t="s">
        <v>14</v>
      </c>
      <c r="F662" s="60" t="s">
        <v>15</v>
      </c>
      <c r="G662" s="60" t="s">
        <v>16</v>
      </c>
      <c r="H662" s="60" t="s">
        <v>17</v>
      </c>
      <c r="I662" s="60" t="s">
        <v>18</v>
      </c>
      <c r="J662" s="60" t="s">
        <v>19</v>
      </c>
      <c r="K662" s="60" t="s">
        <v>20</v>
      </c>
      <c r="L662" s="60" t="s">
        <v>21</v>
      </c>
      <c r="M662" s="60" t="s">
        <v>22</v>
      </c>
      <c r="N662" s="60" t="s">
        <v>23</v>
      </c>
    </row>
    <row r="663" spans="1:14" x14ac:dyDescent="0.2">
      <c r="A663" s="6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</row>
    <row r="664" spans="1:14" ht="18" customHeight="1" x14ac:dyDescent="0.2">
      <c r="A664" s="61" t="s">
        <v>11</v>
      </c>
      <c r="B664" s="56">
        <f t="shared" ref="B664:N664" si="16">SUM(B665:B675)</f>
        <v>2254</v>
      </c>
      <c r="C664" s="56">
        <f t="shared" si="16"/>
        <v>162</v>
      </c>
      <c r="D664" s="56">
        <f t="shared" si="16"/>
        <v>447</v>
      </c>
      <c r="E664" s="56">
        <f t="shared" si="16"/>
        <v>933</v>
      </c>
      <c r="F664" s="56">
        <f t="shared" si="16"/>
        <v>594</v>
      </c>
      <c r="G664" s="56">
        <f t="shared" si="16"/>
        <v>85</v>
      </c>
      <c r="H664" s="56">
        <f t="shared" si="16"/>
        <v>0</v>
      </c>
      <c r="I664" s="56">
        <f t="shared" si="16"/>
        <v>0</v>
      </c>
      <c r="J664" s="56">
        <f t="shared" si="16"/>
        <v>0</v>
      </c>
      <c r="K664" s="56">
        <f t="shared" si="16"/>
        <v>0</v>
      </c>
      <c r="L664" s="56">
        <f t="shared" si="16"/>
        <v>0</v>
      </c>
      <c r="M664" s="56">
        <f t="shared" si="16"/>
        <v>13</v>
      </c>
      <c r="N664" s="56">
        <f t="shared" si="16"/>
        <v>20</v>
      </c>
    </row>
    <row r="665" spans="1:14" ht="18" customHeight="1" x14ac:dyDescent="0.2">
      <c r="A665" s="62" t="s">
        <v>48</v>
      </c>
      <c r="B665" s="56">
        <v>658</v>
      </c>
      <c r="C665" s="57">
        <v>2</v>
      </c>
      <c r="D665" s="57">
        <v>54</v>
      </c>
      <c r="E665" s="57">
        <v>264</v>
      </c>
      <c r="F665" s="57">
        <v>275</v>
      </c>
      <c r="G665" s="57">
        <v>63</v>
      </c>
      <c r="H665" s="57"/>
      <c r="I665" s="57"/>
      <c r="J665" s="57"/>
      <c r="K665" s="57"/>
      <c r="L665" s="57"/>
      <c r="M665" s="57"/>
      <c r="N665" s="57"/>
    </row>
    <row r="666" spans="1:14" ht="18" customHeight="1" x14ac:dyDescent="0.2">
      <c r="A666" s="62" t="s">
        <v>53</v>
      </c>
      <c r="B666" s="56">
        <v>361</v>
      </c>
      <c r="C666" s="57">
        <v>2</v>
      </c>
      <c r="D666" s="57">
        <v>154</v>
      </c>
      <c r="E666" s="57">
        <v>148</v>
      </c>
      <c r="F666" s="57">
        <v>53</v>
      </c>
      <c r="G666" s="57">
        <v>4</v>
      </c>
      <c r="H666" s="57"/>
      <c r="I666" s="57"/>
      <c r="J666" s="57"/>
      <c r="K666" s="57"/>
      <c r="L666" s="57"/>
      <c r="M666" s="57"/>
      <c r="N666" s="57"/>
    </row>
    <row r="667" spans="1:14" ht="18" customHeight="1" x14ac:dyDescent="0.2">
      <c r="A667" s="62" t="s">
        <v>51</v>
      </c>
      <c r="B667" s="56">
        <v>246</v>
      </c>
      <c r="C667" s="57">
        <v>70</v>
      </c>
      <c r="D667" s="57">
        <v>87</v>
      </c>
      <c r="E667" s="57">
        <v>63</v>
      </c>
      <c r="F667" s="57">
        <v>7</v>
      </c>
      <c r="G667" s="57"/>
      <c r="H667" s="57"/>
      <c r="I667" s="57"/>
      <c r="J667" s="57"/>
      <c r="K667" s="57"/>
      <c r="L667" s="57"/>
      <c r="M667" s="57">
        <v>7</v>
      </c>
      <c r="N667" s="57">
        <v>12</v>
      </c>
    </row>
    <row r="668" spans="1:14" ht="18" customHeight="1" x14ac:dyDescent="0.2">
      <c r="A668" s="62" t="s">
        <v>50</v>
      </c>
      <c r="B668" s="56">
        <v>235</v>
      </c>
      <c r="C668" s="57">
        <v>2</v>
      </c>
      <c r="D668" s="57">
        <v>16</v>
      </c>
      <c r="E668" s="57">
        <v>166</v>
      </c>
      <c r="F668" s="57">
        <v>51</v>
      </c>
      <c r="G668" s="57"/>
      <c r="H668" s="57"/>
      <c r="I668" s="57"/>
      <c r="J668" s="57"/>
      <c r="K668" s="57"/>
      <c r="L668" s="57"/>
      <c r="M668" s="57"/>
      <c r="N668" s="57"/>
    </row>
    <row r="669" spans="1:14" ht="18" customHeight="1" x14ac:dyDescent="0.2">
      <c r="A669" s="62" t="s">
        <v>52</v>
      </c>
      <c r="B669" s="56">
        <v>224</v>
      </c>
      <c r="C669" s="57">
        <v>81</v>
      </c>
      <c r="D669" s="57">
        <v>57</v>
      </c>
      <c r="E669" s="57">
        <v>44</v>
      </c>
      <c r="F669" s="57">
        <v>22</v>
      </c>
      <c r="G669" s="57">
        <v>6</v>
      </c>
      <c r="H669" s="57"/>
      <c r="I669" s="57"/>
      <c r="J669" s="57"/>
      <c r="K669" s="57"/>
      <c r="L669" s="57"/>
      <c r="M669" s="57">
        <v>6</v>
      </c>
      <c r="N669" s="57">
        <v>8</v>
      </c>
    </row>
    <row r="670" spans="1:14" ht="18" customHeight="1" x14ac:dyDescent="0.2">
      <c r="A670" s="62" t="s">
        <v>49</v>
      </c>
      <c r="B670" s="56">
        <v>165</v>
      </c>
      <c r="C670" s="57"/>
      <c r="D670" s="57">
        <v>33</v>
      </c>
      <c r="E670" s="57">
        <v>67</v>
      </c>
      <c r="F670" s="57">
        <v>65</v>
      </c>
      <c r="G670" s="57"/>
      <c r="H670" s="57"/>
      <c r="I670" s="57"/>
      <c r="J670" s="57"/>
      <c r="K670" s="57"/>
      <c r="L670" s="57"/>
      <c r="M670" s="57"/>
      <c r="N670" s="57"/>
    </row>
    <row r="671" spans="1:14" ht="18" customHeight="1" x14ac:dyDescent="0.2">
      <c r="A671" s="62" t="s">
        <v>168</v>
      </c>
      <c r="B671" s="56">
        <v>138</v>
      </c>
      <c r="C671" s="57"/>
      <c r="D671" s="57">
        <v>9</v>
      </c>
      <c r="E671" s="57">
        <v>69</v>
      </c>
      <c r="F671" s="57">
        <v>50</v>
      </c>
      <c r="G671" s="57">
        <v>10</v>
      </c>
      <c r="H671" s="57"/>
      <c r="I671" s="57"/>
      <c r="J671" s="57"/>
      <c r="K671" s="57"/>
      <c r="L671" s="57"/>
      <c r="M671" s="57"/>
      <c r="N671" s="57"/>
    </row>
    <row r="672" spans="1:14" ht="18" customHeight="1" x14ac:dyDescent="0.2">
      <c r="A672" s="62" t="s">
        <v>56</v>
      </c>
      <c r="B672" s="56">
        <v>98</v>
      </c>
      <c r="C672" s="57">
        <v>5</v>
      </c>
      <c r="D672" s="57">
        <v>24</v>
      </c>
      <c r="E672" s="57">
        <v>42</v>
      </c>
      <c r="F672" s="57">
        <v>26</v>
      </c>
      <c r="G672" s="57">
        <v>1</v>
      </c>
      <c r="H672" s="57"/>
      <c r="I672" s="57"/>
      <c r="J672" s="57"/>
      <c r="K672" s="57"/>
      <c r="L672" s="57"/>
      <c r="M672" s="57"/>
      <c r="N672" s="57"/>
    </row>
    <row r="673" spans="1:14" ht="18" customHeight="1" x14ac:dyDescent="0.2">
      <c r="A673" s="62" t="s">
        <v>54</v>
      </c>
      <c r="B673" s="56">
        <v>58</v>
      </c>
      <c r="C673" s="57"/>
      <c r="D673" s="57">
        <v>13</v>
      </c>
      <c r="E673" s="57">
        <v>40</v>
      </c>
      <c r="F673" s="57">
        <v>5</v>
      </c>
      <c r="G673" s="57"/>
      <c r="H673" s="57"/>
      <c r="I673" s="57"/>
      <c r="J673" s="57"/>
      <c r="K673" s="57"/>
      <c r="L673" s="57"/>
      <c r="M673" s="57"/>
      <c r="N673" s="57"/>
    </row>
    <row r="674" spans="1:14" ht="18" customHeight="1" x14ac:dyDescent="0.2">
      <c r="A674" s="62" t="s">
        <v>1247</v>
      </c>
      <c r="B674" s="56">
        <v>48</v>
      </c>
      <c r="C674" s="57"/>
      <c r="D674" s="57"/>
      <c r="E674" s="57">
        <v>12</v>
      </c>
      <c r="F674" s="57">
        <v>35</v>
      </c>
      <c r="G674" s="57">
        <v>1</v>
      </c>
      <c r="H674" s="57"/>
      <c r="I674" s="57"/>
      <c r="J674" s="57"/>
      <c r="K674" s="57"/>
      <c r="L674" s="57"/>
      <c r="M674" s="57"/>
      <c r="N674" s="57"/>
    </row>
    <row r="675" spans="1:14" ht="18" customHeight="1" x14ac:dyDescent="0.2">
      <c r="A675" s="63" t="s">
        <v>58</v>
      </c>
      <c r="B675" s="58">
        <v>23</v>
      </c>
      <c r="C675" s="64"/>
      <c r="D675" s="64"/>
      <c r="E675" s="64">
        <v>18</v>
      </c>
      <c r="F675" s="64">
        <v>5</v>
      </c>
      <c r="G675" s="64"/>
      <c r="H675" s="64"/>
      <c r="I675" s="64"/>
      <c r="J675" s="64"/>
      <c r="K675" s="64"/>
      <c r="L675" s="64"/>
      <c r="M675" s="64"/>
      <c r="N675" s="64"/>
    </row>
    <row r="677" spans="1:14" ht="36" customHeight="1" x14ac:dyDescent="0.2">
      <c r="A677" s="152" t="s">
        <v>1282</v>
      </c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</row>
    <row r="696" spans="1:14" x14ac:dyDescent="0.2">
      <c r="F696" s="22"/>
    </row>
    <row r="697" spans="1:14" x14ac:dyDescent="0.2">
      <c r="A697" s="153" t="s">
        <v>4</v>
      </c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</row>
    <row r="698" spans="1:14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</row>
    <row r="699" spans="1:14" ht="30.75" customHeight="1" x14ac:dyDescent="0.2">
      <c r="A699" s="139" t="s">
        <v>1264</v>
      </c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</row>
    <row r="701" spans="1:14" x14ac:dyDescent="0.2">
      <c r="A701" s="154" t="s">
        <v>47</v>
      </c>
      <c r="B701" s="156" t="s">
        <v>11</v>
      </c>
      <c r="C701" s="156">
        <f>+C661</f>
        <v>2022</v>
      </c>
      <c r="D701" s="156"/>
      <c r="E701" s="156"/>
      <c r="F701" s="156"/>
      <c r="G701" s="156"/>
      <c r="H701" s="156">
        <f>+H661</f>
        <v>2023</v>
      </c>
      <c r="I701" s="156"/>
      <c r="J701" s="156"/>
      <c r="K701" s="156"/>
      <c r="L701" s="156"/>
      <c r="M701" s="156"/>
      <c r="N701" s="156"/>
    </row>
    <row r="702" spans="1:14" x14ac:dyDescent="0.2">
      <c r="A702" s="155"/>
      <c r="B702" s="157"/>
      <c r="C702" s="60" t="s">
        <v>12</v>
      </c>
      <c r="D702" s="60" t="s">
        <v>13</v>
      </c>
      <c r="E702" s="60" t="s">
        <v>14</v>
      </c>
      <c r="F702" s="60" t="s">
        <v>15</v>
      </c>
      <c r="G702" s="60" t="s">
        <v>16</v>
      </c>
      <c r="H702" s="60" t="s">
        <v>17</v>
      </c>
      <c r="I702" s="60" t="s">
        <v>18</v>
      </c>
      <c r="J702" s="60" t="s">
        <v>19</v>
      </c>
      <c r="K702" s="60" t="s">
        <v>20</v>
      </c>
      <c r="L702" s="60" t="s">
        <v>21</v>
      </c>
      <c r="M702" s="60" t="s">
        <v>22</v>
      </c>
      <c r="N702" s="60" t="s">
        <v>23</v>
      </c>
    </row>
    <row r="703" spans="1:14" x14ac:dyDescent="0.2">
      <c r="A703" s="6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</row>
    <row r="704" spans="1:14" ht="18" customHeight="1" x14ac:dyDescent="0.2">
      <c r="A704" s="61" t="s">
        <v>11</v>
      </c>
      <c r="B704" s="56">
        <f t="shared" ref="B704:N704" si="17">SUM(B705:B715)</f>
        <v>3223</v>
      </c>
      <c r="C704" s="56">
        <f t="shared" si="17"/>
        <v>128</v>
      </c>
      <c r="D704" s="56">
        <f t="shared" si="17"/>
        <v>519</v>
      </c>
      <c r="E704" s="56">
        <f t="shared" si="17"/>
        <v>1328</v>
      </c>
      <c r="F704" s="56">
        <f t="shared" si="17"/>
        <v>986</v>
      </c>
      <c r="G704" s="56">
        <f t="shared" si="17"/>
        <v>139</v>
      </c>
      <c r="H704" s="56">
        <f t="shared" si="17"/>
        <v>0</v>
      </c>
      <c r="I704" s="56">
        <f t="shared" si="17"/>
        <v>0</v>
      </c>
      <c r="J704" s="56">
        <f t="shared" si="17"/>
        <v>0</v>
      </c>
      <c r="K704" s="56">
        <f t="shared" si="17"/>
        <v>0</v>
      </c>
      <c r="L704" s="56">
        <f t="shared" si="17"/>
        <v>37</v>
      </c>
      <c r="M704" s="56">
        <f t="shared" si="17"/>
        <v>34</v>
      </c>
      <c r="N704" s="56">
        <f t="shared" si="17"/>
        <v>52</v>
      </c>
    </row>
    <row r="705" spans="1:14" ht="18" customHeight="1" x14ac:dyDescent="0.2">
      <c r="A705" s="62" t="s">
        <v>48</v>
      </c>
      <c r="B705" s="56">
        <v>1108</v>
      </c>
      <c r="C705" s="57"/>
      <c r="D705" s="57">
        <v>75</v>
      </c>
      <c r="E705" s="57">
        <v>414</v>
      </c>
      <c r="F705" s="57">
        <v>500</v>
      </c>
      <c r="G705" s="57">
        <v>115</v>
      </c>
      <c r="H705" s="57"/>
      <c r="I705" s="57"/>
      <c r="J705" s="57"/>
      <c r="K705" s="57"/>
      <c r="L705" s="57"/>
      <c r="M705" s="57">
        <v>2</v>
      </c>
      <c r="N705" s="57">
        <v>2</v>
      </c>
    </row>
    <row r="706" spans="1:14" ht="18" customHeight="1" x14ac:dyDescent="0.2">
      <c r="A706" s="62" t="s">
        <v>52</v>
      </c>
      <c r="B706" s="56">
        <v>388</v>
      </c>
      <c r="C706" s="57">
        <v>46</v>
      </c>
      <c r="D706" s="57">
        <v>65</v>
      </c>
      <c r="E706" s="57">
        <v>129</v>
      </c>
      <c r="F706" s="57">
        <v>61</v>
      </c>
      <c r="G706" s="57">
        <v>7</v>
      </c>
      <c r="H706" s="57"/>
      <c r="I706" s="57"/>
      <c r="J706" s="57"/>
      <c r="K706" s="57"/>
      <c r="L706" s="57">
        <v>34</v>
      </c>
      <c r="M706" s="57">
        <v>17</v>
      </c>
      <c r="N706" s="57">
        <v>29</v>
      </c>
    </row>
    <row r="707" spans="1:14" ht="18" customHeight="1" x14ac:dyDescent="0.2">
      <c r="A707" s="62" t="s">
        <v>53</v>
      </c>
      <c r="B707" s="56">
        <v>370</v>
      </c>
      <c r="C707" s="57"/>
      <c r="D707" s="57">
        <v>138</v>
      </c>
      <c r="E707" s="57">
        <v>137</v>
      </c>
      <c r="F707" s="57">
        <v>90</v>
      </c>
      <c r="G707" s="57">
        <v>5</v>
      </c>
      <c r="H707" s="57"/>
      <c r="I707" s="57"/>
      <c r="J707" s="57"/>
      <c r="K707" s="57"/>
      <c r="L707" s="57"/>
      <c r="M707" s="57"/>
      <c r="N707" s="57"/>
    </row>
    <row r="708" spans="1:14" ht="18" customHeight="1" x14ac:dyDescent="0.2">
      <c r="A708" s="62" t="s">
        <v>50</v>
      </c>
      <c r="B708" s="56">
        <v>331</v>
      </c>
      <c r="C708" s="57">
        <v>3</v>
      </c>
      <c r="D708" s="57">
        <v>16</v>
      </c>
      <c r="E708" s="57">
        <v>220</v>
      </c>
      <c r="F708" s="57">
        <v>92</v>
      </c>
      <c r="G708" s="57"/>
      <c r="H708" s="57"/>
      <c r="I708" s="57"/>
      <c r="J708" s="57"/>
      <c r="K708" s="57"/>
      <c r="L708" s="57"/>
      <c r="M708" s="57"/>
      <c r="N708" s="57"/>
    </row>
    <row r="709" spans="1:14" ht="18" customHeight="1" x14ac:dyDescent="0.2">
      <c r="A709" s="62" t="s">
        <v>51</v>
      </c>
      <c r="B709" s="56">
        <v>273</v>
      </c>
      <c r="C709" s="57">
        <v>75</v>
      </c>
      <c r="D709" s="57">
        <v>92</v>
      </c>
      <c r="E709" s="57">
        <v>63</v>
      </c>
      <c r="F709" s="57">
        <v>6</v>
      </c>
      <c r="G709" s="57"/>
      <c r="H709" s="57"/>
      <c r="I709" s="57"/>
      <c r="J709" s="57"/>
      <c r="K709" s="57"/>
      <c r="L709" s="57">
        <v>3</v>
      </c>
      <c r="M709" s="57">
        <v>14</v>
      </c>
      <c r="N709" s="57">
        <v>20</v>
      </c>
    </row>
    <row r="710" spans="1:14" ht="18" customHeight="1" x14ac:dyDescent="0.2">
      <c r="A710" s="62" t="s">
        <v>49</v>
      </c>
      <c r="B710" s="56">
        <v>242</v>
      </c>
      <c r="C710" s="57"/>
      <c r="D710" s="57">
        <v>73</v>
      </c>
      <c r="E710" s="57">
        <v>115</v>
      </c>
      <c r="F710" s="57">
        <v>54</v>
      </c>
      <c r="G710" s="57"/>
      <c r="H710" s="57"/>
      <c r="I710" s="57"/>
      <c r="J710" s="57"/>
      <c r="K710" s="57"/>
      <c r="L710" s="57"/>
      <c r="M710" s="57"/>
      <c r="N710" s="57"/>
    </row>
    <row r="711" spans="1:14" ht="18" customHeight="1" x14ac:dyDescent="0.2">
      <c r="A711" s="62" t="s">
        <v>168</v>
      </c>
      <c r="B711" s="56">
        <v>210</v>
      </c>
      <c r="C711" s="57"/>
      <c r="D711" s="57">
        <v>17</v>
      </c>
      <c r="E711" s="57">
        <v>102</v>
      </c>
      <c r="F711" s="57">
        <v>83</v>
      </c>
      <c r="G711" s="57">
        <v>8</v>
      </c>
      <c r="H711" s="57"/>
      <c r="I711" s="57"/>
      <c r="J711" s="57"/>
      <c r="K711" s="57"/>
      <c r="L711" s="57"/>
      <c r="M711" s="57"/>
      <c r="N711" s="57"/>
    </row>
    <row r="712" spans="1:14" ht="18" customHeight="1" x14ac:dyDescent="0.2">
      <c r="A712" s="62" t="s">
        <v>56</v>
      </c>
      <c r="B712" s="56">
        <v>123</v>
      </c>
      <c r="C712" s="57">
        <v>4</v>
      </c>
      <c r="D712" s="57">
        <v>27</v>
      </c>
      <c r="E712" s="57">
        <v>57</v>
      </c>
      <c r="F712" s="57">
        <v>31</v>
      </c>
      <c r="G712" s="57">
        <v>2</v>
      </c>
      <c r="H712" s="57"/>
      <c r="I712" s="57"/>
      <c r="J712" s="57"/>
      <c r="K712" s="57"/>
      <c r="L712" s="57"/>
      <c r="M712" s="57">
        <v>1</v>
      </c>
      <c r="N712" s="57">
        <v>1</v>
      </c>
    </row>
    <row r="713" spans="1:14" ht="18" customHeight="1" x14ac:dyDescent="0.2">
      <c r="A713" s="62" t="s">
        <v>54</v>
      </c>
      <c r="B713" s="56">
        <v>84</v>
      </c>
      <c r="C713" s="57"/>
      <c r="D713" s="57">
        <v>16</v>
      </c>
      <c r="E713" s="57">
        <v>53</v>
      </c>
      <c r="F713" s="57">
        <v>15</v>
      </c>
      <c r="G713" s="57"/>
      <c r="H713" s="57"/>
      <c r="I713" s="57"/>
      <c r="J713" s="57"/>
      <c r="K713" s="57"/>
      <c r="L713" s="57"/>
      <c r="M713" s="57"/>
      <c r="N713" s="57"/>
    </row>
    <row r="714" spans="1:14" ht="18" customHeight="1" x14ac:dyDescent="0.2">
      <c r="A714" s="62" t="s">
        <v>1247</v>
      </c>
      <c r="B714" s="56">
        <v>71</v>
      </c>
      <c r="C714" s="57"/>
      <c r="D714" s="57"/>
      <c r="E714" s="57">
        <v>22</v>
      </c>
      <c r="F714" s="57">
        <v>47</v>
      </c>
      <c r="G714" s="57">
        <v>2</v>
      </c>
      <c r="H714" s="57"/>
      <c r="I714" s="57"/>
      <c r="J714" s="57"/>
      <c r="K714" s="57"/>
      <c r="L714" s="57"/>
      <c r="M714" s="57"/>
      <c r="N714" s="57"/>
    </row>
    <row r="715" spans="1:14" ht="18" customHeight="1" x14ac:dyDescent="0.2">
      <c r="A715" s="63" t="s">
        <v>58</v>
      </c>
      <c r="B715" s="58">
        <v>23</v>
      </c>
      <c r="C715" s="64"/>
      <c r="D715" s="64"/>
      <c r="E715" s="64">
        <v>16</v>
      </c>
      <c r="F715" s="64">
        <v>7</v>
      </c>
      <c r="G715" s="64"/>
      <c r="H715" s="64"/>
      <c r="I715" s="64"/>
      <c r="J715" s="64"/>
      <c r="K715" s="64"/>
      <c r="L715" s="64"/>
      <c r="M715" s="64"/>
      <c r="N715" s="64"/>
    </row>
    <row r="717" spans="1:14" ht="34.5" customHeight="1" x14ac:dyDescent="0.2">
      <c r="A717" s="152" t="s">
        <v>1283</v>
      </c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</row>
    <row r="737" spans="1:14" x14ac:dyDescent="0.2">
      <c r="F737" s="22"/>
    </row>
    <row r="738" spans="1:14" x14ac:dyDescent="0.2">
      <c r="A738" s="153" t="s">
        <v>190</v>
      </c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</row>
    <row r="739" spans="1:14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</row>
    <row r="740" spans="1:14" ht="37.5" customHeight="1" x14ac:dyDescent="0.2">
      <c r="A740" s="139" t="s">
        <v>1265</v>
      </c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</row>
    <row r="742" spans="1:14" x14ac:dyDescent="0.2">
      <c r="A742" s="154" t="s">
        <v>47</v>
      </c>
      <c r="B742" s="156" t="s">
        <v>11</v>
      </c>
      <c r="C742" s="156">
        <f>+C701</f>
        <v>2022</v>
      </c>
      <c r="D742" s="156"/>
      <c r="E742" s="156"/>
      <c r="F742" s="156"/>
      <c r="G742" s="156"/>
      <c r="H742" s="156">
        <f>+H701</f>
        <v>2023</v>
      </c>
      <c r="I742" s="156"/>
      <c r="J742" s="156"/>
      <c r="K742" s="156"/>
      <c r="L742" s="156"/>
      <c r="M742" s="156"/>
      <c r="N742" s="156"/>
    </row>
    <row r="743" spans="1:14" x14ac:dyDescent="0.2">
      <c r="A743" s="155"/>
      <c r="B743" s="157"/>
      <c r="C743" s="60" t="s">
        <v>12</v>
      </c>
      <c r="D743" s="60" t="s">
        <v>13</v>
      </c>
      <c r="E743" s="60" t="s">
        <v>14</v>
      </c>
      <c r="F743" s="60" t="s">
        <v>15</v>
      </c>
      <c r="G743" s="60" t="s">
        <v>16</v>
      </c>
      <c r="H743" s="60" t="s">
        <v>17</v>
      </c>
      <c r="I743" s="60" t="s">
        <v>18</v>
      </c>
      <c r="J743" s="60" t="s">
        <v>19</v>
      </c>
      <c r="K743" s="60" t="s">
        <v>20</v>
      </c>
      <c r="L743" s="60" t="s">
        <v>21</v>
      </c>
      <c r="M743" s="60" t="s">
        <v>22</v>
      </c>
      <c r="N743" s="60" t="s">
        <v>23</v>
      </c>
    </row>
    <row r="744" spans="1:14" x14ac:dyDescent="0.2">
      <c r="A744" s="6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</row>
    <row r="745" spans="1:14" ht="18" customHeight="1" x14ac:dyDescent="0.2">
      <c r="A745" s="61" t="s">
        <v>11</v>
      </c>
      <c r="B745" s="56">
        <f t="shared" ref="B745:N745" si="18">SUM(B746:B756)</f>
        <v>14602</v>
      </c>
      <c r="C745" s="56">
        <f t="shared" si="18"/>
        <v>837</v>
      </c>
      <c r="D745" s="56">
        <f t="shared" si="18"/>
        <v>1445</v>
      </c>
      <c r="E745" s="56">
        <f t="shared" si="18"/>
        <v>4528</v>
      </c>
      <c r="F745" s="56">
        <f t="shared" si="18"/>
        <v>4939</v>
      </c>
      <c r="G745" s="56">
        <f t="shared" si="18"/>
        <v>1884</v>
      </c>
      <c r="H745" s="56">
        <f t="shared" si="18"/>
        <v>132</v>
      </c>
      <c r="I745" s="56">
        <f t="shared" si="18"/>
        <v>4</v>
      </c>
      <c r="J745" s="56">
        <f t="shared" si="18"/>
        <v>2</v>
      </c>
      <c r="K745" s="56">
        <f t="shared" si="18"/>
        <v>3</v>
      </c>
      <c r="L745" s="56">
        <f t="shared" si="18"/>
        <v>50</v>
      </c>
      <c r="M745" s="56">
        <f t="shared" si="18"/>
        <v>366</v>
      </c>
      <c r="N745" s="56">
        <f t="shared" si="18"/>
        <v>412</v>
      </c>
    </row>
    <row r="746" spans="1:14" ht="18" customHeight="1" x14ac:dyDescent="0.2">
      <c r="A746" s="62" t="s">
        <v>48</v>
      </c>
      <c r="B746" s="56">
        <v>7959</v>
      </c>
      <c r="C746" s="57">
        <v>666</v>
      </c>
      <c r="D746" s="57">
        <v>813</v>
      </c>
      <c r="E746" s="57">
        <v>2491</v>
      </c>
      <c r="F746" s="57">
        <v>2526</v>
      </c>
      <c r="G746" s="57">
        <v>891</v>
      </c>
      <c r="H746" s="57">
        <v>28</v>
      </c>
      <c r="I746" s="57"/>
      <c r="J746" s="57"/>
      <c r="K746" s="57"/>
      <c r="L746" s="57">
        <v>1</v>
      </c>
      <c r="M746" s="57">
        <v>229</v>
      </c>
      <c r="N746" s="57">
        <v>314</v>
      </c>
    </row>
    <row r="747" spans="1:14" ht="18" customHeight="1" x14ac:dyDescent="0.2">
      <c r="A747" s="62" t="s">
        <v>50</v>
      </c>
      <c r="B747" s="56">
        <v>1431</v>
      </c>
      <c r="C747" s="57">
        <v>25</v>
      </c>
      <c r="D747" s="57">
        <v>135</v>
      </c>
      <c r="E747" s="57">
        <v>617</v>
      </c>
      <c r="F747" s="57">
        <v>552</v>
      </c>
      <c r="G747" s="57">
        <v>102</v>
      </c>
      <c r="H747" s="57"/>
      <c r="I747" s="57"/>
      <c r="J747" s="57"/>
      <c r="K747" s="57"/>
      <c r="L747" s="57"/>
      <c r="M747" s="57"/>
      <c r="N747" s="57"/>
    </row>
    <row r="748" spans="1:14" ht="18" customHeight="1" x14ac:dyDescent="0.2">
      <c r="A748" s="62" t="s">
        <v>168</v>
      </c>
      <c r="B748" s="56">
        <v>1245</v>
      </c>
      <c r="C748" s="57"/>
      <c r="D748" s="57">
        <v>27</v>
      </c>
      <c r="E748" s="57">
        <v>387</v>
      </c>
      <c r="F748" s="57">
        <v>556</v>
      </c>
      <c r="G748" s="57">
        <v>264</v>
      </c>
      <c r="H748" s="57"/>
      <c r="I748" s="57"/>
      <c r="J748" s="57"/>
      <c r="K748" s="57"/>
      <c r="L748" s="57"/>
      <c r="M748" s="57">
        <v>7</v>
      </c>
      <c r="N748" s="57">
        <v>4</v>
      </c>
    </row>
    <row r="749" spans="1:14" ht="18" customHeight="1" x14ac:dyDescent="0.2">
      <c r="A749" s="62" t="s">
        <v>53</v>
      </c>
      <c r="B749" s="56">
        <v>1001</v>
      </c>
      <c r="C749" s="57">
        <v>47</v>
      </c>
      <c r="D749" s="57">
        <v>179</v>
      </c>
      <c r="E749" s="57">
        <v>284</v>
      </c>
      <c r="F749" s="57">
        <v>309</v>
      </c>
      <c r="G749" s="57">
        <v>145</v>
      </c>
      <c r="H749" s="57">
        <v>9</v>
      </c>
      <c r="I749" s="57"/>
      <c r="J749" s="57">
        <v>2</v>
      </c>
      <c r="K749" s="57"/>
      <c r="L749" s="57">
        <v>3</v>
      </c>
      <c r="M749" s="57">
        <v>10</v>
      </c>
      <c r="N749" s="57">
        <v>13</v>
      </c>
    </row>
    <row r="750" spans="1:14" ht="18" customHeight="1" x14ac:dyDescent="0.2">
      <c r="A750" s="62" t="s">
        <v>52</v>
      </c>
      <c r="B750" s="56">
        <v>846</v>
      </c>
      <c r="C750" s="57">
        <v>24</v>
      </c>
      <c r="D750" s="57">
        <v>82</v>
      </c>
      <c r="E750" s="57">
        <v>237</v>
      </c>
      <c r="F750" s="57">
        <v>227</v>
      </c>
      <c r="G750" s="57">
        <v>71</v>
      </c>
      <c r="H750" s="57">
        <v>24</v>
      </c>
      <c r="I750" s="57"/>
      <c r="J750" s="57"/>
      <c r="K750" s="57"/>
      <c r="L750" s="57">
        <v>36</v>
      </c>
      <c r="M750" s="57">
        <v>95</v>
      </c>
      <c r="N750" s="57">
        <v>50</v>
      </c>
    </row>
    <row r="751" spans="1:14" ht="18" customHeight="1" x14ac:dyDescent="0.2">
      <c r="A751" s="62" t="s">
        <v>49</v>
      </c>
      <c r="B751" s="56">
        <v>585</v>
      </c>
      <c r="C751" s="57">
        <v>19</v>
      </c>
      <c r="D751" s="57">
        <v>49</v>
      </c>
      <c r="E751" s="57">
        <v>108</v>
      </c>
      <c r="F751" s="57">
        <v>242</v>
      </c>
      <c r="G751" s="57">
        <v>137</v>
      </c>
      <c r="H751" s="57">
        <v>26</v>
      </c>
      <c r="I751" s="57">
        <v>4</v>
      </c>
      <c r="J751" s="57"/>
      <c r="K751" s="57"/>
      <c r="L751" s="57"/>
      <c r="M751" s="57"/>
      <c r="N751" s="57"/>
    </row>
    <row r="752" spans="1:14" ht="18" customHeight="1" x14ac:dyDescent="0.2">
      <c r="A752" s="62" t="s">
        <v>51</v>
      </c>
      <c r="B752" s="56">
        <v>498</v>
      </c>
      <c r="C752" s="57">
        <v>26</v>
      </c>
      <c r="D752" s="57">
        <v>87</v>
      </c>
      <c r="E752" s="57">
        <v>208</v>
      </c>
      <c r="F752" s="57">
        <v>111</v>
      </c>
      <c r="G752" s="57">
        <v>15</v>
      </c>
      <c r="H752" s="57"/>
      <c r="I752" s="57"/>
      <c r="J752" s="57"/>
      <c r="K752" s="57">
        <v>3</v>
      </c>
      <c r="L752" s="57">
        <v>9</v>
      </c>
      <c r="M752" s="57">
        <v>19</v>
      </c>
      <c r="N752" s="57">
        <v>20</v>
      </c>
    </row>
    <row r="753" spans="1:14" ht="18" customHeight="1" x14ac:dyDescent="0.2">
      <c r="A753" s="62" t="s">
        <v>54</v>
      </c>
      <c r="B753" s="56">
        <v>413</v>
      </c>
      <c r="C753" s="57">
        <v>2</v>
      </c>
      <c r="D753" s="57">
        <v>5</v>
      </c>
      <c r="E753" s="57">
        <v>44</v>
      </c>
      <c r="F753" s="57">
        <v>275</v>
      </c>
      <c r="G753" s="57">
        <v>86</v>
      </c>
      <c r="H753" s="57">
        <v>1</v>
      </c>
      <c r="I753" s="57"/>
      <c r="J753" s="57"/>
      <c r="K753" s="57"/>
      <c r="L753" s="57"/>
      <c r="M753" s="57"/>
      <c r="N753" s="57"/>
    </row>
    <row r="754" spans="1:14" ht="18" customHeight="1" x14ac:dyDescent="0.2">
      <c r="A754" s="62" t="s">
        <v>56</v>
      </c>
      <c r="B754" s="56">
        <v>289</v>
      </c>
      <c r="C754" s="57">
        <v>15</v>
      </c>
      <c r="D754" s="57">
        <v>36</v>
      </c>
      <c r="E754" s="57">
        <v>109</v>
      </c>
      <c r="F754" s="57">
        <v>92</v>
      </c>
      <c r="G754" s="57">
        <v>19</v>
      </c>
      <c r="H754" s="57"/>
      <c r="I754" s="57"/>
      <c r="J754" s="57"/>
      <c r="K754" s="57"/>
      <c r="L754" s="57">
        <v>1</v>
      </c>
      <c r="M754" s="57">
        <v>6</v>
      </c>
      <c r="N754" s="57">
        <v>11</v>
      </c>
    </row>
    <row r="755" spans="1:14" ht="18" customHeight="1" x14ac:dyDescent="0.2">
      <c r="A755" s="62" t="s">
        <v>1247</v>
      </c>
      <c r="B755" s="56">
        <v>236</v>
      </c>
      <c r="C755" s="57"/>
      <c r="D755" s="57"/>
      <c r="E755" s="57"/>
      <c r="F755" s="57">
        <v>38</v>
      </c>
      <c r="G755" s="57">
        <v>154</v>
      </c>
      <c r="H755" s="57">
        <v>44</v>
      </c>
      <c r="I755" s="57"/>
      <c r="J755" s="57"/>
      <c r="K755" s="57"/>
      <c r="L755" s="57"/>
      <c r="M755" s="57"/>
      <c r="N755" s="57"/>
    </row>
    <row r="756" spans="1:14" ht="18" customHeight="1" x14ac:dyDescent="0.2">
      <c r="A756" s="63" t="s">
        <v>58</v>
      </c>
      <c r="B756" s="58">
        <v>99</v>
      </c>
      <c r="C756" s="64">
        <v>13</v>
      </c>
      <c r="D756" s="64">
        <v>32</v>
      </c>
      <c r="E756" s="64">
        <v>43</v>
      </c>
      <c r="F756" s="64">
        <v>11</v>
      </c>
      <c r="G756" s="64"/>
      <c r="H756" s="64"/>
      <c r="I756" s="64"/>
      <c r="J756" s="64"/>
      <c r="K756" s="64"/>
      <c r="L756" s="64"/>
      <c r="M756" s="64"/>
      <c r="N756" s="64"/>
    </row>
    <row r="758" spans="1:14" ht="37.5" customHeight="1" x14ac:dyDescent="0.2">
      <c r="A758" s="152" t="s">
        <v>1284</v>
      </c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</row>
    <row r="778" spans="1:14" x14ac:dyDescent="0.2">
      <c r="F778" s="22"/>
    </row>
    <row r="779" spans="1:14" x14ac:dyDescent="0.2">
      <c r="A779" s="153" t="s">
        <v>191</v>
      </c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</row>
    <row r="780" spans="1:14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</row>
    <row r="781" spans="1:14" ht="33" customHeight="1" x14ac:dyDescent="0.2">
      <c r="A781" s="139" t="s">
        <v>1266</v>
      </c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</row>
    <row r="783" spans="1:14" x14ac:dyDescent="0.2">
      <c r="A783" s="154" t="s">
        <v>47</v>
      </c>
      <c r="B783" s="156" t="s">
        <v>11</v>
      </c>
      <c r="C783" s="156">
        <f>+C742</f>
        <v>2022</v>
      </c>
      <c r="D783" s="156"/>
      <c r="E783" s="156"/>
      <c r="F783" s="156"/>
      <c r="G783" s="156"/>
      <c r="H783" s="156">
        <f>+H742</f>
        <v>2023</v>
      </c>
      <c r="I783" s="156"/>
      <c r="J783" s="156"/>
      <c r="K783" s="156"/>
      <c r="L783" s="156"/>
      <c r="M783" s="156"/>
      <c r="N783" s="156"/>
    </row>
    <row r="784" spans="1:14" x14ac:dyDescent="0.2">
      <c r="A784" s="155"/>
      <c r="B784" s="157"/>
      <c r="C784" s="60" t="s">
        <v>12</v>
      </c>
      <c r="D784" s="60" t="s">
        <v>13</v>
      </c>
      <c r="E784" s="60" t="s">
        <v>14</v>
      </c>
      <c r="F784" s="60" t="s">
        <v>15</v>
      </c>
      <c r="G784" s="60" t="s">
        <v>16</v>
      </c>
      <c r="H784" s="60" t="s">
        <v>17</v>
      </c>
      <c r="I784" s="60" t="s">
        <v>18</v>
      </c>
      <c r="J784" s="60" t="s">
        <v>19</v>
      </c>
      <c r="K784" s="60" t="s">
        <v>20</v>
      </c>
      <c r="L784" s="60" t="s">
        <v>21</v>
      </c>
      <c r="M784" s="60" t="s">
        <v>22</v>
      </c>
      <c r="N784" s="60" t="s">
        <v>23</v>
      </c>
    </row>
    <row r="785" spans="1:14" x14ac:dyDescent="0.2">
      <c r="A785" s="6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</row>
    <row r="786" spans="1:14" ht="18" customHeight="1" x14ac:dyDescent="0.2">
      <c r="A786" s="61" t="s">
        <v>11</v>
      </c>
      <c r="B786" s="56">
        <f t="shared" ref="B786:N786" si="19">SUM(B787:B797)</f>
        <v>10707</v>
      </c>
      <c r="C786" s="56">
        <f t="shared" si="19"/>
        <v>1435</v>
      </c>
      <c r="D786" s="56">
        <f t="shared" si="19"/>
        <v>1832</v>
      </c>
      <c r="E786" s="56">
        <f t="shared" si="19"/>
        <v>3134</v>
      </c>
      <c r="F786" s="56">
        <f t="shared" si="19"/>
        <v>2614</v>
      </c>
      <c r="G786" s="56">
        <f t="shared" si="19"/>
        <v>828</v>
      </c>
      <c r="H786" s="56">
        <f t="shared" si="19"/>
        <v>29</v>
      </c>
      <c r="I786" s="56">
        <f t="shared" si="19"/>
        <v>3</v>
      </c>
      <c r="J786" s="56">
        <f t="shared" si="19"/>
        <v>9</v>
      </c>
      <c r="K786" s="56">
        <f t="shared" si="19"/>
        <v>9</v>
      </c>
      <c r="L786" s="56">
        <f t="shared" si="19"/>
        <v>23</v>
      </c>
      <c r="M786" s="56">
        <f t="shared" si="19"/>
        <v>313</v>
      </c>
      <c r="N786" s="56">
        <f t="shared" si="19"/>
        <v>478</v>
      </c>
    </row>
    <row r="787" spans="1:14" ht="18" customHeight="1" x14ac:dyDescent="0.2">
      <c r="A787" s="62" t="s">
        <v>48</v>
      </c>
      <c r="B787" s="56">
        <v>6335</v>
      </c>
      <c r="C787" s="57">
        <v>1097</v>
      </c>
      <c r="D787" s="57">
        <v>1173</v>
      </c>
      <c r="E787" s="57">
        <v>1805</v>
      </c>
      <c r="F787" s="57">
        <v>1255</v>
      </c>
      <c r="G787" s="57">
        <v>377</v>
      </c>
      <c r="H787" s="57">
        <v>2</v>
      </c>
      <c r="I787" s="57"/>
      <c r="J787" s="57"/>
      <c r="K787" s="57">
        <v>4</v>
      </c>
      <c r="L787" s="57">
        <v>13</v>
      </c>
      <c r="M787" s="57">
        <v>251</v>
      </c>
      <c r="N787" s="57">
        <v>358</v>
      </c>
    </row>
    <row r="788" spans="1:14" ht="18" customHeight="1" x14ac:dyDescent="0.2">
      <c r="A788" s="62" t="s">
        <v>50</v>
      </c>
      <c r="B788" s="56">
        <v>1722</v>
      </c>
      <c r="C788" s="57">
        <v>189</v>
      </c>
      <c r="D788" s="57">
        <v>312</v>
      </c>
      <c r="E788" s="57">
        <v>667</v>
      </c>
      <c r="F788" s="57">
        <v>462</v>
      </c>
      <c r="G788" s="57">
        <v>57</v>
      </c>
      <c r="H788" s="57"/>
      <c r="I788" s="57"/>
      <c r="J788" s="57"/>
      <c r="K788" s="57"/>
      <c r="L788" s="57"/>
      <c r="M788" s="57"/>
      <c r="N788" s="57">
        <v>35</v>
      </c>
    </row>
    <row r="789" spans="1:14" ht="18" customHeight="1" x14ac:dyDescent="0.2">
      <c r="A789" s="62" t="s">
        <v>53</v>
      </c>
      <c r="B789" s="56">
        <v>815</v>
      </c>
      <c r="C789" s="57">
        <v>32</v>
      </c>
      <c r="D789" s="57">
        <v>145</v>
      </c>
      <c r="E789" s="57">
        <v>242</v>
      </c>
      <c r="F789" s="57">
        <v>249</v>
      </c>
      <c r="G789" s="57">
        <v>74</v>
      </c>
      <c r="H789" s="57">
        <v>2</v>
      </c>
      <c r="I789" s="57">
        <v>3</v>
      </c>
      <c r="J789" s="57">
        <v>9</v>
      </c>
      <c r="K789" s="57">
        <v>5</v>
      </c>
      <c r="L789" s="57">
        <v>4</v>
      </c>
      <c r="M789" s="57">
        <v>23</v>
      </c>
      <c r="N789" s="57">
        <v>27</v>
      </c>
    </row>
    <row r="790" spans="1:14" ht="18" customHeight="1" x14ac:dyDescent="0.2">
      <c r="A790" s="62" t="s">
        <v>168</v>
      </c>
      <c r="B790" s="56">
        <v>544</v>
      </c>
      <c r="C790" s="57">
        <v>7</v>
      </c>
      <c r="D790" s="57">
        <v>30</v>
      </c>
      <c r="E790" s="57">
        <v>107</v>
      </c>
      <c r="F790" s="57">
        <v>271</v>
      </c>
      <c r="G790" s="57">
        <v>118</v>
      </c>
      <c r="H790" s="57"/>
      <c r="I790" s="57"/>
      <c r="J790" s="57"/>
      <c r="K790" s="57"/>
      <c r="L790" s="57"/>
      <c r="M790" s="57">
        <v>5</v>
      </c>
      <c r="N790" s="57">
        <v>6</v>
      </c>
    </row>
    <row r="791" spans="1:14" ht="18" customHeight="1" x14ac:dyDescent="0.2">
      <c r="A791" s="62" t="s">
        <v>49</v>
      </c>
      <c r="B791" s="56">
        <v>403</v>
      </c>
      <c r="C791" s="57">
        <v>13</v>
      </c>
      <c r="D791" s="57">
        <v>15</v>
      </c>
      <c r="E791" s="57">
        <v>73</v>
      </c>
      <c r="F791" s="57">
        <v>173</v>
      </c>
      <c r="G791" s="57">
        <v>121</v>
      </c>
      <c r="H791" s="57">
        <v>8</v>
      </c>
      <c r="I791" s="57"/>
      <c r="J791" s="57"/>
      <c r="K791" s="57"/>
      <c r="L791" s="57"/>
      <c r="M791" s="57"/>
      <c r="N791" s="57"/>
    </row>
    <row r="792" spans="1:14" ht="18" customHeight="1" x14ac:dyDescent="0.2">
      <c r="A792" s="62" t="s">
        <v>56</v>
      </c>
      <c r="B792" s="56">
        <v>218</v>
      </c>
      <c r="C792" s="57">
        <v>16</v>
      </c>
      <c r="D792" s="57">
        <v>29</v>
      </c>
      <c r="E792" s="57">
        <v>64</v>
      </c>
      <c r="F792" s="57">
        <v>77</v>
      </c>
      <c r="G792" s="57">
        <v>10</v>
      </c>
      <c r="H792" s="57"/>
      <c r="I792" s="57"/>
      <c r="J792" s="57"/>
      <c r="K792" s="57"/>
      <c r="L792" s="57">
        <v>2</v>
      </c>
      <c r="M792" s="57">
        <v>10</v>
      </c>
      <c r="N792" s="57">
        <v>10</v>
      </c>
    </row>
    <row r="793" spans="1:14" ht="18" customHeight="1" x14ac:dyDescent="0.2">
      <c r="A793" s="62" t="s">
        <v>52</v>
      </c>
      <c r="B793" s="56">
        <v>177</v>
      </c>
      <c r="C793" s="57">
        <v>43</v>
      </c>
      <c r="D793" s="57">
        <v>29</v>
      </c>
      <c r="E793" s="57">
        <v>47</v>
      </c>
      <c r="F793" s="57">
        <v>36</v>
      </c>
      <c r="G793" s="57"/>
      <c r="H793" s="57"/>
      <c r="I793" s="57"/>
      <c r="J793" s="57"/>
      <c r="K793" s="57"/>
      <c r="L793" s="57"/>
      <c r="M793" s="57">
        <v>6</v>
      </c>
      <c r="N793" s="57">
        <v>16</v>
      </c>
    </row>
    <row r="794" spans="1:14" ht="18" customHeight="1" x14ac:dyDescent="0.2">
      <c r="A794" s="62" t="s">
        <v>51</v>
      </c>
      <c r="B794" s="56">
        <v>175</v>
      </c>
      <c r="C794" s="57">
        <v>24</v>
      </c>
      <c r="D794" s="57">
        <v>45</v>
      </c>
      <c r="E794" s="57">
        <v>52</v>
      </c>
      <c r="F794" s="57">
        <v>7</v>
      </c>
      <c r="G794" s="57"/>
      <c r="H794" s="57"/>
      <c r="I794" s="57"/>
      <c r="J794" s="57"/>
      <c r="K794" s="57"/>
      <c r="L794" s="57">
        <v>4</v>
      </c>
      <c r="M794" s="57">
        <v>18</v>
      </c>
      <c r="N794" s="57">
        <v>25</v>
      </c>
    </row>
    <row r="795" spans="1:14" ht="18" customHeight="1" x14ac:dyDescent="0.2">
      <c r="A795" s="62" t="s">
        <v>58</v>
      </c>
      <c r="B795" s="56">
        <v>170</v>
      </c>
      <c r="C795" s="57">
        <v>14</v>
      </c>
      <c r="D795" s="57">
        <v>54</v>
      </c>
      <c r="E795" s="57">
        <v>71</v>
      </c>
      <c r="F795" s="57">
        <v>31</v>
      </c>
      <c r="G795" s="57"/>
      <c r="H795" s="57"/>
      <c r="I795" s="57"/>
      <c r="J795" s="57"/>
      <c r="K795" s="57"/>
      <c r="L795" s="57"/>
      <c r="M795" s="57"/>
      <c r="N795" s="57"/>
    </row>
    <row r="796" spans="1:14" ht="18" customHeight="1" x14ac:dyDescent="0.2">
      <c r="A796" s="62" t="s">
        <v>1247</v>
      </c>
      <c r="B796" s="56">
        <v>103</v>
      </c>
      <c r="C796" s="57"/>
      <c r="D796" s="57"/>
      <c r="E796" s="57">
        <v>3</v>
      </c>
      <c r="F796" s="57">
        <v>21</v>
      </c>
      <c r="G796" s="57">
        <v>62</v>
      </c>
      <c r="H796" s="57">
        <v>17</v>
      </c>
      <c r="I796" s="57"/>
      <c r="J796" s="57"/>
      <c r="K796" s="57"/>
      <c r="L796" s="57"/>
      <c r="M796" s="57"/>
      <c r="N796" s="57"/>
    </row>
    <row r="797" spans="1:14" ht="18" customHeight="1" x14ac:dyDescent="0.2">
      <c r="A797" s="63" t="s">
        <v>54</v>
      </c>
      <c r="B797" s="58">
        <v>45</v>
      </c>
      <c r="C797" s="64"/>
      <c r="D797" s="64"/>
      <c r="E797" s="64">
        <v>3</v>
      </c>
      <c r="F797" s="64">
        <v>32</v>
      </c>
      <c r="G797" s="64">
        <v>9</v>
      </c>
      <c r="H797" s="64"/>
      <c r="I797" s="64"/>
      <c r="J797" s="64"/>
      <c r="K797" s="64"/>
      <c r="L797" s="64"/>
      <c r="M797" s="64"/>
      <c r="N797" s="64">
        <v>1</v>
      </c>
    </row>
    <row r="799" spans="1:14" ht="31.5" customHeight="1" x14ac:dyDescent="0.2">
      <c r="A799" s="152" t="s">
        <v>1285</v>
      </c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</row>
    <row r="820" spans="1:14" x14ac:dyDescent="0.2">
      <c r="F820" s="22"/>
    </row>
    <row r="821" spans="1:14" x14ac:dyDescent="0.2">
      <c r="A821" s="153" t="s">
        <v>193</v>
      </c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</row>
    <row r="822" spans="1:14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</row>
    <row r="823" spans="1:14" ht="34.5" customHeight="1" x14ac:dyDescent="0.2">
      <c r="A823" s="139" t="s">
        <v>1267</v>
      </c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</row>
    <row r="825" spans="1:14" x14ac:dyDescent="0.2">
      <c r="A825" s="154" t="s">
        <v>47</v>
      </c>
      <c r="B825" s="156" t="s">
        <v>11</v>
      </c>
      <c r="C825" s="156">
        <f>+C783</f>
        <v>2022</v>
      </c>
      <c r="D825" s="156"/>
      <c r="E825" s="156"/>
      <c r="F825" s="156"/>
      <c r="G825" s="156"/>
      <c r="H825" s="156">
        <f>+H783</f>
        <v>2023</v>
      </c>
      <c r="I825" s="156"/>
      <c r="J825" s="156"/>
      <c r="K825" s="156"/>
      <c r="L825" s="156"/>
      <c r="M825" s="156"/>
      <c r="N825" s="156"/>
    </row>
    <row r="826" spans="1:14" x14ac:dyDescent="0.2">
      <c r="A826" s="155"/>
      <c r="B826" s="157"/>
      <c r="C826" s="60" t="s">
        <v>12</v>
      </c>
      <c r="D826" s="60" t="s">
        <v>13</v>
      </c>
      <c r="E826" s="60" t="s">
        <v>14</v>
      </c>
      <c r="F826" s="60" t="s">
        <v>15</v>
      </c>
      <c r="G826" s="60" t="s">
        <v>16</v>
      </c>
      <c r="H826" s="60" t="s">
        <v>17</v>
      </c>
      <c r="I826" s="60" t="s">
        <v>18</v>
      </c>
      <c r="J826" s="60" t="s">
        <v>19</v>
      </c>
      <c r="K826" s="60" t="s">
        <v>20</v>
      </c>
      <c r="L826" s="60" t="s">
        <v>21</v>
      </c>
      <c r="M826" s="60" t="s">
        <v>22</v>
      </c>
      <c r="N826" s="60" t="s">
        <v>23</v>
      </c>
    </row>
    <row r="827" spans="1:14" x14ac:dyDescent="0.2">
      <c r="A827" s="6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</row>
    <row r="828" spans="1:14" ht="18" customHeight="1" x14ac:dyDescent="0.2">
      <c r="A828" s="61" t="s">
        <v>11</v>
      </c>
      <c r="B828" s="56">
        <f t="shared" ref="B828:N828" si="20">SUM(B829:B839)</f>
        <v>8526</v>
      </c>
      <c r="C828" s="56">
        <f t="shared" si="20"/>
        <v>289</v>
      </c>
      <c r="D828" s="56">
        <f t="shared" si="20"/>
        <v>1137</v>
      </c>
      <c r="E828" s="56">
        <f t="shared" si="20"/>
        <v>3094</v>
      </c>
      <c r="F828" s="56">
        <f t="shared" si="20"/>
        <v>2934</v>
      </c>
      <c r="G828" s="56">
        <f t="shared" si="20"/>
        <v>762</v>
      </c>
      <c r="H828" s="56">
        <f t="shared" si="20"/>
        <v>31</v>
      </c>
      <c r="I828" s="56">
        <f t="shared" si="20"/>
        <v>1</v>
      </c>
      <c r="J828" s="56">
        <f t="shared" si="20"/>
        <v>40</v>
      </c>
      <c r="K828" s="56">
        <f t="shared" si="20"/>
        <v>9</v>
      </c>
      <c r="L828" s="56">
        <f t="shared" si="20"/>
        <v>33</v>
      </c>
      <c r="M828" s="56">
        <f t="shared" si="20"/>
        <v>93</v>
      </c>
      <c r="N828" s="56">
        <f t="shared" si="20"/>
        <v>103</v>
      </c>
    </row>
    <row r="829" spans="1:14" ht="18" customHeight="1" x14ac:dyDescent="0.2">
      <c r="A829" s="62" t="s">
        <v>48</v>
      </c>
      <c r="B829" s="56">
        <v>3417</v>
      </c>
      <c r="C829" s="57">
        <v>43</v>
      </c>
      <c r="D829" s="57">
        <v>319</v>
      </c>
      <c r="E829" s="57">
        <v>1229</v>
      </c>
      <c r="F829" s="57">
        <v>1421</v>
      </c>
      <c r="G829" s="57">
        <v>366</v>
      </c>
      <c r="H829" s="57"/>
      <c r="I829" s="57"/>
      <c r="J829" s="57"/>
      <c r="K829" s="57"/>
      <c r="L829" s="57"/>
      <c r="M829" s="57">
        <v>17</v>
      </c>
      <c r="N829" s="57">
        <v>22</v>
      </c>
    </row>
    <row r="830" spans="1:14" ht="18" customHeight="1" x14ac:dyDescent="0.2">
      <c r="A830" s="62" t="s">
        <v>52</v>
      </c>
      <c r="B830" s="56">
        <v>1567</v>
      </c>
      <c r="C830" s="57">
        <v>117</v>
      </c>
      <c r="D830" s="57">
        <v>371</v>
      </c>
      <c r="E830" s="57">
        <v>547</v>
      </c>
      <c r="F830" s="57">
        <v>321</v>
      </c>
      <c r="G830" s="57">
        <v>28</v>
      </c>
      <c r="H830" s="57"/>
      <c r="I830" s="57"/>
      <c r="J830" s="57">
        <v>40</v>
      </c>
      <c r="K830" s="57">
        <v>9</v>
      </c>
      <c r="L830" s="57">
        <v>27</v>
      </c>
      <c r="M830" s="57">
        <v>57</v>
      </c>
      <c r="N830" s="57">
        <v>50</v>
      </c>
    </row>
    <row r="831" spans="1:14" ht="18" customHeight="1" x14ac:dyDescent="0.2">
      <c r="A831" s="62" t="s">
        <v>50</v>
      </c>
      <c r="B831" s="56">
        <v>1107</v>
      </c>
      <c r="C831" s="57">
        <v>5</v>
      </c>
      <c r="D831" s="57">
        <v>99</v>
      </c>
      <c r="E831" s="57">
        <v>497</v>
      </c>
      <c r="F831" s="57">
        <v>436</v>
      </c>
      <c r="G831" s="57">
        <v>60</v>
      </c>
      <c r="H831" s="57"/>
      <c r="I831" s="57"/>
      <c r="J831" s="57"/>
      <c r="K831" s="57"/>
      <c r="L831" s="57"/>
      <c r="M831" s="57"/>
      <c r="N831" s="57">
        <v>10</v>
      </c>
    </row>
    <row r="832" spans="1:14" ht="18" customHeight="1" x14ac:dyDescent="0.2">
      <c r="A832" s="62" t="s">
        <v>51</v>
      </c>
      <c r="B832" s="56">
        <v>881</v>
      </c>
      <c r="C832" s="57">
        <v>124</v>
      </c>
      <c r="D832" s="57">
        <v>246</v>
      </c>
      <c r="E832" s="57">
        <v>379</v>
      </c>
      <c r="F832" s="57">
        <v>93</v>
      </c>
      <c r="G832" s="57">
        <v>1</v>
      </c>
      <c r="H832" s="57"/>
      <c r="I832" s="57"/>
      <c r="J832" s="57"/>
      <c r="K832" s="57"/>
      <c r="L832" s="57">
        <v>6</v>
      </c>
      <c r="M832" s="57">
        <v>12</v>
      </c>
      <c r="N832" s="57">
        <v>20</v>
      </c>
    </row>
    <row r="833" spans="1:14" ht="18" customHeight="1" x14ac:dyDescent="0.2">
      <c r="A833" s="62" t="s">
        <v>49</v>
      </c>
      <c r="B833" s="56">
        <v>439</v>
      </c>
      <c r="C833" s="57"/>
      <c r="D833" s="57">
        <v>19</v>
      </c>
      <c r="E833" s="57">
        <v>97</v>
      </c>
      <c r="F833" s="57">
        <v>169</v>
      </c>
      <c r="G833" s="57">
        <v>133</v>
      </c>
      <c r="H833" s="57">
        <v>21</v>
      </c>
      <c r="I833" s="57"/>
      <c r="J833" s="57"/>
      <c r="K833" s="57"/>
      <c r="L833" s="57"/>
      <c r="M833" s="57"/>
      <c r="N833" s="57"/>
    </row>
    <row r="834" spans="1:14" ht="18" customHeight="1" x14ac:dyDescent="0.2">
      <c r="A834" s="62" t="s">
        <v>168</v>
      </c>
      <c r="B834" s="56">
        <v>381</v>
      </c>
      <c r="C834" s="57"/>
      <c r="D834" s="57">
        <v>7</v>
      </c>
      <c r="E834" s="57">
        <v>111</v>
      </c>
      <c r="F834" s="57">
        <v>178</v>
      </c>
      <c r="G834" s="57">
        <v>79</v>
      </c>
      <c r="H834" s="57"/>
      <c r="I834" s="57"/>
      <c r="J834" s="57"/>
      <c r="K834" s="57"/>
      <c r="L834" s="57"/>
      <c r="M834" s="57">
        <v>6</v>
      </c>
      <c r="N834" s="57"/>
    </row>
    <row r="835" spans="1:14" ht="18" customHeight="1" x14ac:dyDescent="0.2">
      <c r="A835" s="62" t="s">
        <v>53</v>
      </c>
      <c r="B835" s="56">
        <v>352</v>
      </c>
      <c r="C835" s="57"/>
      <c r="D835" s="57">
        <v>51</v>
      </c>
      <c r="E835" s="57">
        <v>133</v>
      </c>
      <c r="F835" s="57">
        <v>131</v>
      </c>
      <c r="G835" s="57">
        <v>28</v>
      </c>
      <c r="H835" s="57">
        <v>8</v>
      </c>
      <c r="I835" s="57">
        <v>1</v>
      </c>
      <c r="J835" s="57"/>
      <c r="K835" s="57"/>
      <c r="L835" s="57"/>
      <c r="M835" s="57"/>
      <c r="N835" s="57"/>
    </row>
    <row r="836" spans="1:14" ht="18" customHeight="1" x14ac:dyDescent="0.2">
      <c r="A836" s="62" t="s">
        <v>56</v>
      </c>
      <c r="B836" s="56">
        <v>181</v>
      </c>
      <c r="C836" s="57"/>
      <c r="D836" s="57">
        <v>9</v>
      </c>
      <c r="E836" s="57">
        <v>56</v>
      </c>
      <c r="F836" s="57">
        <v>103</v>
      </c>
      <c r="G836" s="57">
        <v>11</v>
      </c>
      <c r="H836" s="57"/>
      <c r="I836" s="57"/>
      <c r="J836" s="57"/>
      <c r="K836" s="57"/>
      <c r="L836" s="57"/>
      <c r="M836" s="57">
        <v>1</v>
      </c>
      <c r="N836" s="57">
        <v>1</v>
      </c>
    </row>
    <row r="837" spans="1:14" ht="18" customHeight="1" x14ac:dyDescent="0.2">
      <c r="A837" s="62" t="s">
        <v>1247</v>
      </c>
      <c r="B837" s="56">
        <v>91</v>
      </c>
      <c r="C837" s="57"/>
      <c r="D837" s="57"/>
      <c r="E837" s="57">
        <v>4</v>
      </c>
      <c r="F837" s="57">
        <v>31</v>
      </c>
      <c r="G837" s="57">
        <v>54</v>
      </c>
      <c r="H837" s="57">
        <v>2</v>
      </c>
      <c r="I837" s="57"/>
      <c r="J837" s="57"/>
      <c r="K837" s="57"/>
      <c r="L837" s="57"/>
      <c r="M837" s="57"/>
      <c r="N837" s="57"/>
    </row>
    <row r="838" spans="1:14" ht="18" customHeight="1" x14ac:dyDescent="0.2">
      <c r="A838" s="62" t="s">
        <v>54</v>
      </c>
      <c r="B838" s="56">
        <v>66</v>
      </c>
      <c r="C838" s="57"/>
      <c r="D838" s="57">
        <v>6</v>
      </c>
      <c r="E838" s="57">
        <v>19</v>
      </c>
      <c r="F838" s="57">
        <v>39</v>
      </c>
      <c r="G838" s="57">
        <v>2</v>
      </c>
      <c r="H838" s="57"/>
      <c r="I838" s="57"/>
      <c r="J838" s="57"/>
      <c r="K838" s="57"/>
      <c r="L838" s="57"/>
      <c r="M838" s="57"/>
      <c r="N838" s="57"/>
    </row>
    <row r="839" spans="1:14" ht="18" customHeight="1" x14ac:dyDescent="0.2">
      <c r="A839" s="63" t="s">
        <v>58</v>
      </c>
      <c r="B839" s="58">
        <v>44</v>
      </c>
      <c r="C839" s="64"/>
      <c r="D839" s="64">
        <v>10</v>
      </c>
      <c r="E839" s="64">
        <v>22</v>
      </c>
      <c r="F839" s="64">
        <v>12</v>
      </c>
      <c r="G839" s="64"/>
      <c r="H839" s="64"/>
      <c r="I839" s="64"/>
      <c r="J839" s="64"/>
      <c r="K839" s="64"/>
      <c r="L839" s="64"/>
      <c r="M839" s="64"/>
      <c r="N839" s="64"/>
    </row>
    <row r="841" spans="1:14" ht="36" customHeight="1" x14ac:dyDescent="0.2">
      <c r="A841" s="152" t="s">
        <v>1286</v>
      </c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</row>
    <row r="861" spans="1:14" x14ac:dyDescent="0.2">
      <c r="F861" s="22"/>
    </row>
    <row r="862" spans="1:14" x14ac:dyDescent="0.2">
      <c r="A862" s="153" t="s">
        <v>5</v>
      </c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</row>
    <row r="863" spans="1:14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</row>
    <row r="864" spans="1:14" ht="30.75" customHeight="1" x14ac:dyDescent="0.2">
      <c r="A864" s="139" t="s">
        <v>1268</v>
      </c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</row>
    <row r="866" spans="1:14" x14ac:dyDescent="0.2">
      <c r="A866" s="154" t="s">
        <v>47</v>
      </c>
      <c r="B866" s="156" t="s">
        <v>11</v>
      </c>
      <c r="C866" s="156">
        <f>+C825</f>
        <v>2022</v>
      </c>
      <c r="D866" s="156"/>
      <c r="E866" s="156"/>
      <c r="F866" s="156"/>
      <c r="G866" s="156"/>
      <c r="H866" s="156">
        <f>+H825</f>
        <v>2023</v>
      </c>
      <c r="I866" s="156"/>
      <c r="J866" s="156"/>
      <c r="K866" s="156"/>
      <c r="L866" s="156"/>
      <c r="M866" s="156"/>
      <c r="N866" s="156"/>
    </row>
    <row r="867" spans="1:14" x14ac:dyDescent="0.2">
      <c r="A867" s="155"/>
      <c r="B867" s="157"/>
      <c r="C867" s="60" t="s">
        <v>12</v>
      </c>
      <c r="D867" s="60" t="s">
        <v>13</v>
      </c>
      <c r="E867" s="60" t="s">
        <v>14</v>
      </c>
      <c r="F867" s="60" t="s">
        <v>15</v>
      </c>
      <c r="G867" s="60" t="s">
        <v>16</v>
      </c>
      <c r="H867" s="60" t="s">
        <v>17</v>
      </c>
      <c r="I867" s="60" t="s">
        <v>18</v>
      </c>
      <c r="J867" s="60" t="s">
        <v>19</v>
      </c>
      <c r="K867" s="60" t="s">
        <v>20</v>
      </c>
      <c r="L867" s="60" t="s">
        <v>21</v>
      </c>
      <c r="M867" s="60" t="s">
        <v>22</v>
      </c>
      <c r="N867" s="60" t="s">
        <v>23</v>
      </c>
    </row>
    <row r="868" spans="1:14" x14ac:dyDescent="0.2">
      <c r="A868" s="6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</row>
    <row r="869" spans="1:14" ht="18" customHeight="1" x14ac:dyDescent="0.2">
      <c r="A869" s="61" t="s">
        <v>11</v>
      </c>
      <c r="B869" s="56">
        <f t="shared" ref="B869:N869" si="21">SUM(B870:B880)</f>
        <v>15714</v>
      </c>
      <c r="C869" s="56">
        <f t="shared" si="21"/>
        <v>1113</v>
      </c>
      <c r="D869" s="56">
        <f t="shared" si="21"/>
        <v>1418</v>
      </c>
      <c r="E869" s="56">
        <f t="shared" si="21"/>
        <v>4485</v>
      </c>
      <c r="F869" s="56">
        <f t="shared" si="21"/>
        <v>6238</v>
      </c>
      <c r="G869" s="56">
        <f t="shared" si="21"/>
        <v>2098</v>
      </c>
      <c r="H869" s="56">
        <f t="shared" si="21"/>
        <v>15</v>
      </c>
      <c r="I869" s="56">
        <f t="shared" si="21"/>
        <v>0</v>
      </c>
      <c r="J869" s="56">
        <f t="shared" si="21"/>
        <v>0</v>
      </c>
      <c r="K869" s="56">
        <f t="shared" si="21"/>
        <v>0</v>
      </c>
      <c r="L869" s="56">
        <f t="shared" si="21"/>
        <v>32</v>
      </c>
      <c r="M869" s="56">
        <f t="shared" si="21"/>
        <v>166</v>
      </c>
      <c r="N869" s="56">
        <f t="shared" si="21"/>
        <v>149</v>
      </c>
    </row>
    <row r="870" spans="1:14" ht="18" customHeight="1" x14ac:dyDescent="0.2">
      <c r="A870" s="62" t="s">
        <v>48</v>
      </c>
      <c r="B870" s="56">
        <v>10705</v>
      </c>
      <c r="C870" s="57">
        <v>1094</v>
      </c>
      <c r="D870" s="57">
        <v>1034</v>
      </c>
      <c r="E870" s="57">
        <v>2589</v>
      </c>
      <c r="F870" s="57">
        <v>4179</v>
      </c>
      <c r="G870" s="57">
        <v>1570</v>
      </c>
      <c r="H870" s="57">
        <v>2</v>
      </c>
      <c r="I870" s="57"/>
      <c r="J870" s="57"/>
      <c r="K870" s="57"/>
      <c r="L870" s="57">
        <v>1</v>
      </c>
      <c r="M870" s="57">
        <v>104</v>
      </c>
      <c r="N870" s="57">
        <v>132</v>
      </c>
    </row>
    <row r="871" spans="1:14" ht="18" customHeight="1" x14ac:dyDescent="0.2">
      <c r="A871" s="62" t="s">
        <v>168</v>
      </c>
      <c r="B871" s="56">
        <v>2057</v>
      </c>
      <c r="C871" s="57"/>
      <c r="D871" s="57">
        <v>168</v>
      </c>
      <c r="E871" s="57">
        <v>983</v>
      </c>
      <c r="F871" s="57">
        <v>789</v>
      </c>
      <c r="G871" s="57">
        <v>117</v>
      </c>
      <c r="H871" s="57"/>
      <c r="I871" s="57"/>
      <c r="J871" s="57"/>
      <c r="K871" s="57"/>
      <c r="L871" s="57"/>
      <c r="M871" s="57"/>
      <c r="N871" s="57"/>
    </row>
    <row r="872" spans="1:14" ht="18" customHeight="1" x14ac:dyDescent="0.2">
      <c r="A872" s="62" t="s">
        <v>50</v>
      </c>
      <c r="B872" s="56">
        <v>1423</v>
      </c>
      <c r="C872" s="57">
        <v>2</v>
      </c>
      <c r="D872" s="57">
        <v>17</v>
      </c>
      <c r="E872" s="57">
        <v>392</v>
      </c>
      <c r="F872" s="57">
        <v>794</v>
      </c>
      <c r="G872" s="57">
        <v>218</v>
      </c>
      <c r="H872" s="57"/>
      <c r="I872" s="57"/>
      <c r="J872" s="57"/>
      <c r="K872" s="57"/>
      <c r="L872" s="57"/>
      <c r="M872" s="57"/>
      <c r="N872" s="57"/>
    </row>
    <row r="873" spans="1:14" ht="18" customHeight="1" x14ac:dyDescent="0.2">
      <c r="A873" s="62" t="s">
        <v>52</v>
      </c>
      <c r="B873" s="56">
        <v>531</v>
      </c>
      <c r="C873" s="57"/>
      <c r="D873" s="57">
        <v>9</v>
      </c>
      <c r="E873" s="57">
        <v>97</v>
      </c>
      <c r="F873" s="57">
        <v>193</v>
      </c>
      <c r="G873" s="57">
        <v>114</v>
      </c>
      <c r="H873" s="57">
        <v>8</v>
      </c>
      <c r="I873" s="57"/>
      <c r="J873" s="57"/>
      <c r="K873" s="57"/>
      <c r="L873" s="57">
        <v>31</v>
      </c>
      <c r="M873" s="57">
        <v>62</v>
      </c>
      <c r="N873" s="57">
        <v>17</v>
      </c>
    </row>
    <row r="874" spans="1:14" ht="18" customHeight="1" x14ac:dyDescent="0.2">
      <c r="A874" s="62" t="s">
        <v>53</v>
      </c>
      <c r="B874" s="56">
        <v>263</v>
      </c>
      <c r="C874" s="57">
        <v>7</v>
      </c>
      <c r="D874" s="57">
        <v>93</v>
      </c>
      <c r="E874" s="57">
        <v>116</v>
      </c>
      <c r="F874" s="57">
        <v>47</v>
      </c>
      <c r="G874" s="57"/>
      <c r="H874" s="57"/>
      <c r="I874" s="57"/>
      <c r="J874" s="57"/>
      <c r="K874" s="57"/>
      <c r="L874" s="57"/>
      <c r="M874" s="57"/>
      <c r="N874" s="57"/>
    </row>
    <row r="875" spans="1:14" ht="18" customHeight="1" x14ac:dyDescent="0.2">
      <c r="A875" s="62" t="s">
        <v>51</v>
      </c>
      <c r="B875" s="56">
        <v>176</v>
      </c>
      <c r="C875" s="57"/>
      <c r="D875" s="57">
        <v>4</v>
      </c>
      <c r="E875" s="57">
        <v>41</v>
      </c>
      <c r="F875" s="57">
        <v>71</v>
      </c>
      <c r="G875" s="57">
        <v>55</v>
      </c>
      <c r="H875" s="57">
        <v>5</v>
      </c>
      <c r="I875" s="57"/>
      <c r="J875" s="57"/>
      <c r="K875" s="57"/>
      <c r="L875" s="57"/>
      <c r="M875" s="57"/>
      <c r="N875" s="57"/>
    </row>
    <row r="876" spans="1:14" ht="18" customHeight="1" x14ac:dyDescent="0.2">
      <c r="A876" s="62" t="s">
        <v>49</v>
      </c>
      <c r="B876" s="56">
        <v>174</v>
      </c>
      <c r="C876" s="57">
        <v>4</v>
      </c>
      <c r="D876" s="57">
        <v>26</v>
      </c>
      <c r="E876" s="57">
        <v>79</v>
      </c>
      <c r="F876" s="57">
        <v>56</v>
      </c>
      <c r="G876" s="57">
        <v>9</v>
      </c>
      <c r="H876" s="57"/>
      <c r="I876" s="57"/>
      <c r="J876" s="57"/>
      <c r="K876" s="57"/>
      <c r="L876" s="57"/>
      <c r="M876" s="57"/>
      <c r="N876" s="57"/>
    </row>
    <row r="877" spans="1:14" ht="18" customHeight="1" x14ac:dyDescent="0.2">
      <c r="A877" s="62" t="s">
        <v>58</v>
      </c>
      <c r="B877" s="56">
        <v>124</v>
      </c>
      <c r="C877" s="57"/>
      <c r="D877" s="57">
        <v>25</v>
      </c>
      <c r="E877" s="57">
        <v>65</v>
      </c>
      <c r="F877" s="57">
        <v>28</v>
      </c>
      <c r="G877" s="57">
        <v>6</v>
      </c>
      <c r="H877" s="57"/>
      <c r="I877" s="57"/>
      <c r="J877" s="57"/>
      <c r="K877" s="57"/>
      <c r="L877" s="57"/>
      <c r="M877" s="57"/>
      <c r="N877" s="57"/>
    </row>
    <row r="878" spans="1:14" ht="18" customHeight="1" x14ac:dyDescent="0.2">
      <c r="A878" s="62" t="s">
        <v>54</v>
      </c>
      <c r="B878" s="56">
        <v>114</v>
      </c>
      <c r="C878" s="57"/>
      <c r="D878" s="57">
        <v>3</v>
      </c>
      <c r="E878" s="57">
        <v>59</v>
      </c>
      <c r="F878" s="57">
        <v>50</v>
      </c>
      <c r="G878" s="57">
        <v>2</v>
      </c>
      <c r="H878" s="57"/>
      <c r="I878" s="57"/>
      <c r="J878" s="57"/>
      <c r="K878" s="57"/>
      <c r="L878" s="57"/>
      <c r="M878" s="57"/>
      <c r="N878" s="57"/>
    </row>
    <row r="879" spans="1:14" ht="18" customHeight="1" x14ac:dyDescent="0.2">
      <c r="A879" s="62" t="s">
        <v>56</v>
      </c>
      <c r="B879" s="56">
        <v>106</v>
      </c>
      <c r="C879" s="57">
        <v>6</v>
      </c>
      <c r="D879" s="57">
        <v>39</v>
      </c>
      <c r="E879" s="57">
        <v>55</v>
      </c>
      <c r="F879" s="57">
        <v>6</v>
      </c>
      <c r="G879" s="57"/>
      <c r="H879" s="57"/>
      <c r="I879" s="57"/>
      <c r="J879" s="57"/>
      <c r="K879" s="57"/>
      <c r="L879" s="57"/>
      <c r="M879" s="57"/>
      <c r="N879" s="57"/>
    </row>
    <row r="880" spans="1:14" ht="18" customHeight="1" x14ac:dyDescent="0.2">
      <c r="A880" s="63" t="s">
        <v>1247</v>
      </c>
      <c r="B880" s="58">
        <v>41</v>
      </c>
      <c r="C880" s="64"/>
      <c r="D880" s="64"/>
      <c r="E880" s="64">
        <v>9</v>
      </c>
      <c r="F880" s="64">
        <v>25</v>
      </c>
      <c r="G880" s="64">
        <v>7</v>
      </c>
      <c r="H880" s="64"/>
      <c r="I880" s="64"/>
      <c r="J880" s="64"/>
      <c r="K880" s="64"/>
      <c r="L880" s="64"/>
      <c r="M880" s="64"/>
      <c r="N880" s="64"/>
    </row>
    <row r="882" spans="1:14" ht="38.25" customHeight="1" x14ac:dyDescent="0.2">
      <c r="A882" s="152" t="s">
        <v>1287</v>
      </c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</row>
    <row r="903" spans="1:14" x14ac:dyDescent="0.2">
      <c r="F903" s="22"/>
    </row>
    <row r="904" spans="1:14" x14ac:dyDescent="0.2">
      <c r="A904" s="153" t="s">
        <v>6</v>
      </c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</row>
    <row r="905" spans="1:14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</row>
    <row r="906" spans="1:14" ht="33.75" customHeight="1" x14ac:dyDescent="0.2">
      <c r="A906" s="139" t="s">
        <v>1269</v>
      </c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</row>
    <row r="908" spans="1:14" x14ac:dyDescent="0.2">
      <c r="A908" s="154" t="s">
        <v>47</v>
      </c>
      <c r="B908" s="156" t="s">
        <v>11</v>
      </c>
      <c r="C908" s="156">
        <f>+C866</f>
        <v>2022</v>
      </c>
      <c r="D908" s="156"/>
      <c r="E908" s="156"/>
      <c r="F908" s="156"/>
      <c r="G908" s="156"/>
      <c r="H908" s="156">
        <f>+H866</f>
        <v>2023</v>
      </c>
      <c r="I908" s="156"/>
      <c r="J908" s="156"/>
      <c r="K908" s="156"/>
      <c r="L908" s="156"/>
      <c r="M908" s="156"/>
      <c r="N908" s="156"/>
    </row>
    <row r="909" spans="1:14" x14ac:dyDescent="0.2">
      <c r="A909" s="155"/>
      <c r="B909" s="157"/>
      <c r="C909" s="60" t="s">
        <v>12</v>
      </c>
      <c r="D909" s="60" t="s">
        <v>13</v>
      </c>
      <c r="E909" s="60" t="s">
        <v>14</v>
      </c>
      <c r="F909" s="60" t="s">
        <v>15</v>
      </c>
      <c r="G909" s="60" t="s">
        <v>16</v>
      </c>
      <c r="H909" s="60" t="s">
        <v>17</v>
      </c>
      <c r="I909" s="60" t="s">
        <v>18</v>
      </c>
      <c r="J909" s="60" t="s">
        <v>19</v>
      </c>
      <c r="K909" s="60" t="s">
        <v>20</v>
      </c>
      <c r="L909" s="60" t="s">
        <v>21</v>
      </c>
      <c r="M909" s="60" t="s">
        <v>22</v>
      </c>
      <c r="N909" s="60" t="s">
        <v>23</v>
      </c>
    </row>
    <row r="910" spans="1:14" x14ac:dyDescent="0.2">
      <c r="A910" s="6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</row>
    <row r="911" spans="1:14" ht="18" customHeight="1" x14ac:dyDescent="0.2">
      <c r="A911" s="61" t="s">
        <v>11</v>
      </c>
      <c r="B911" s="56">
        <f t="shared" ref="B911:N911" si="22">SUM(B912:B922)</f>
        <v>124</v>
      </c>
      <c r="C911" s="56">
        <f t="shared" si="22"/>
        <v>6</v>
      </c>
      <c r="D911" s="56">
        <f t="shared" si="22"/>
        <v>18</v>
      </c>
      <c r="E911" s="56">
        <f t="shared" si="22"/>
        <v>8</v>
      </c>
      <c r="F911" s="56">
        <f t="shared" si="22"/>
        <v>14</v>
      </c>
      <c r="G911" s="56">
        <f t="shared" si="22"/>
        <v>14</v>
      </c>
      <c r="H911" s="56">
        <f t="shared" si="22"/>
        <v>7</v>
      </c>
      <c r="I911" s="56">
        <f t="shared" si="22"/>
        <v>22</v>
      </c>
      <c r="J911" s="56">
        <f t="shared" si="22"/>
        <v>4</v>
      </c>
      <c r="K911" s="56">
        <f t="shared" si="22"/>
        <v>12</v>
      </c>
      <c r="L911" s="56">
        <f t="shared" si="22"/>
        <v>5</v>
      </c>
      <c r="M911" s="56">
        <f t="shared" si="22"/>
        <v>4</v>
      </c>
      <c r="N911" s="56">
        <f t="shared" si="22"/>
        <v>10</v>
      </c>
    </row>
    <row r="912" spans="1:14" ht="18" customHeight="1" x14ac:dyDescent="0.2">
      <c r="A912" s="62" t="s">
        <v>48</v>
      </c>
      <c r="B912" s="56">
        <v>64</v>
      </c>
      <c r="C912" s="57"/>
      <c r="D912" s="57">
        <v>10</v>
      </c>
      <c r="E912" s="57">
        <v>5</v>
      </c>
      <c r="F912" s="57">
        <v>5</v>
      </c>
      <c r="G912" s="57">
        <v>9</v>
      </c>
      <c r="H912" s="57">
        <v>3</v>
      </c>
      <c r="I912" s="57">
        <v>14</v>
      </c>
      <c r="J912" s="57">
        <v>1</v>
      </c>
      <c r="K912" s="57">
        <v>7</v>
      </c>
      <c r="L912" s="57">
        <v>4</v>
      </c>
      <c r="M912" s="57"/>
      <c r="N912" s="57">
        <v>6</v>
      </c>
    </row>
    <row r="913" spans="1:14" ht="18" customHeight="1" x14ac:dyDescent="0.2">
      <c r="A913" s="62" t="s">
        <v>51</v>
      </c>
      <c r="B913" s="56">
        <v>48</v>
      </c>
      <c r="C913" s="57">
        <v>6</v>
      </c>
      <c r="D913" s="57">
        <v>5</v>
      </c>
      <c r="E913" s="57">
        <v>3</v>
      </c>
      <c r="F913" s="57">
        <v>8</v>
      </c>
      <c r="G913" s="57">
        <v>5</v>
      </c>
      <c r="H913" s="57">
        <v>4</v>
      </c>
      <c r="I913" s="57">
        <v>5</v>
      </c>
      <c r="J913" s="57">
        <v>3</v>
      </c>
      <c r="K913" s="57">
        <v>4</v>
      </c>
      <c r="L913" s="57"/>
      <c r="M913" s="57">
        <v>1</v>
      </c>
      <c r="N913" s="57">
        <v>4</v>
      </c>
    </row>
    <row r="914" spans="1:14" ht="18" customHeight="1" x14ac:dyDescent="0.2">
      <c r="A914" s="62" t="s">
        <v>53</v>
      </c>
      <c r="B914" s="56">
        <v>12</v>
      </c>
      <c r="C914" s="57"/>
      <c r="D914" s="57">
        <v>3</v>
      </c>
      <c r="E914" s="57"/>
      <c r="F914" s="57">
        <v>1</v>
      </c>
      <c r="G914" s="57"/>
      <c r="H914" s="57"/>
      <c r="I914" s="57">
        <v>3</v>
      </c>
      <c r="J914" s="57"/>
      <c r="K914" s="57">
        <v>1</v>
      </c>
      <c r="L914" s="57">
        <v>1</v>
      </c>
      <c r="M914" s="57">
        <v>3</v>
      </c>
      <c r="N914" s="57"/>
    </row>
    <row r="915" spans="1:14" ht="18" customHeight="1" x14ac:dyDescent="0.2">
      <c r="A915" s="62" t="s">
        <v>50</v>
      </c>
      <c r="B915" s="56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</row>
    <row r="916" spans="1:14" ht="18" customHeight="1" x14ac:dyDescent="0.2">
      <c r="A916" s="62" t="s">
        <v>1247</v>
      </c>
      <c r="B916" s="56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</row>
    <row r="917" spans="1:14" ht="18" customHeight="1" x14ac:dyDescent="0.2">
      <c r="A917" s="62" t="s">
        <v>52</v>
      </c>
      <c r="B917" s="56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</row>
    <row r="918" spans="1:14" ht="18" customHeight="1" x14ac:dyDescent="0.2">
      <c r="A918" s="62" t="s">
        <v>56</v>
      </c>
      <c r="B918" s="56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</row>
    <row r="919" spans="1:14" ht="18" customHeight="1" x14ac:dyDescent="0.2">
      <c r="A919" s="62" t="s">
        <v>58</v>
      </c>
      <c r="B919" s="56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</row>
    <row r="920" spans="1:14" ht="18" customHeight="1" x14ac:dyDescent="0.2">
      <c r="A920" s="62" t="s">
        <v>54</v>
      </c>
      <c r="B920" s="56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</row>
    <row r="921" spans="1:14" ht="18" customHeight="1" x14ac:dyDescent="0.2">
      <c r="A921" s="62" t="s">
        <v>49</v>
      </c>
      <c r="B921" s="56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</row>
    <row r="922" spans="1:14" ht="18" customHeight="1" x14ac:dyDescent="0.2">
      <c r="A922" s="63" t="s">
        <v>168</v>
      </c>
      <c r="B922" s="58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</row>
    <row r="924" spans="1:14" ht="34.5" customHeight="1" x14ac:dyDescent="0.2">
      <c r="A924" s="152" t="s">
        <v>1288</v>
      </c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</row>
    <row r="944" spans="6:6" x14ac:dyDescent="0.2">
      <c r="F944" s="22"/>
    </row>
    <row r="945" spans="1:14" x14ac:dyDescent="0.2">
      <c r="A945" s="153" t="s">
        <v>192</v>
      </c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</row>
    <row r="946" spans="1:14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</row>
    <row r="947" spans="1:14" ht="31.5" customHeight="1" x14ac:dyDescent="0.2">
      <c r="A947" s="139" t="s">
        <v>1270</v>
      </c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</row>
    <row r="949" spans="1:14" x14ac:dyDescent="0.2">
      <c r="A949" s="154" t="s">
        <v>47</v>
      </c>
      <c r="B949" s="156" t="s">
        <v>11</v>
      </c>
      <c r="C949" s="156">
        <f>+C908</f>
        <v>2022</v>
      </c>
      <c r="D949" s="156"/>
      <c r="E949" s="156"/>
      <c r="F949" s="156"/>
      <c r="G949" s="156"/>
      <c r="H949" s="156">
        <f>+H908</f>
        <v>2023</v>
      </c>
      <c r="I949" s="156"/>
      <c r="J949" s="156"/>
      <c r="K949" s="156"/>
      <c r="L949" s="156"/>
      <c r="M949" s="156"/>
      <c r="N949" s="156"/>
    </row>
    <row r="950" spans="1:14" x14ac:dyDescent="0.2">
      <c r="A950" s="155"/>
      <c r="B950" s="157"/>
      <c r="C950" s="60" t="s">
        <v>12</v>
      </c>
      <c r="D950" s="60" t="s">
        <v>13</v>
      </c>
      <c r="E950" s="60" t="s">
        <v>14</v>
      </c>
      <c r="F950" s="60" t="s">
        <v>15</v>
      </c>
      <c r="G950" s="60" t="s">
        <v>16</v>
      </c>
      <c r="H950" s="60" t="s">
        <v>17</v>
      </c>
      <c r="I950" s="60" t="s">
        <v>18</v>
      </c>
      <c r="J950" s="60" t="s">
        <v>19</v>
      </c>
      <c r="K950" s="60" t="s">
        <v>20</v>
      </c>
      <c r="L950" s="60" t="s">
        <v>21</v>
      </c>
      <c r="M950" s="60" t="s">
        <v>22</v>
      </c>
      <c r="N950" s="60" t="s">
        <v>23</v>
      </c>
    </row>
    <row r="951" spans="1:14" x14ac:dyDescent="0.2">
      <c r="A951" s="6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</row>
    <row r="952" spans="1:14" ht="18" customHeight="1" x14ac:dyDescent="0.2">
      <c r="A952" s="61" t="s">
        <v>11</v>
      </c>
      <c r="B952" s="56">
        <f t="shared" ref="B952:N952" si="23">SUM(B953:B963)</f>
        <v>9369</v>
      </c>
      <c r="C952" s="56">
        <f t="shared" si="23"/>
        <v>2</v>
      </c>
      <c r="D952" s="56">
        <f t="shared" si="23"/>
        <v>38</v>
      </c>
      <c r="E952" s="56">
        <f t="shared" si="23"/>
        <v>1167</v>
      </c>
      <c r="F952" s="56">
        <f t="shared" si="23"/>
        <v>2575</v>
      </c>
      <c r="G952" s="56">
        <f t="shared" si="23"/>
        <v>3540</v>
      </c>
      <c r="H952" s="56">
        <f t="shared" si="23"/>
        <v>1659</v>
      </c>
      <c r="I952" s="56">
        <f t="shared" si="23"/>
        <v>269</v>
      </c>
      <c r="J952" s="56">
        <f t="shared" si="23"/>
        <v>92</v>
      </c>
      <c r="K952" s="56">
        <f t="shared" si="23"/>
        <v>2</v>
      </c>
      <c r="L952" s="56">
        <f t="shared" si="23"/>
        <v>5</v>
      </c>
      <c r="M952" s="56">
        <f t="shared" si="23"/>
        <v>13</v>
      </c>
      <c r="N952" s="56">
        <f t="shared" si="23"/>
        <v>7</v>
      </c>
    </row>
    <row r="953" spans="1:14" ht="18" customHeight="1" x14ac:dyDescent="0.2">
      <c r="A953" s="62" t="s">
        <v>48</v>
      </c>
      <c r="B953" s="56">
        <v>4061</v>
      </c>
      <c r="C953" s="57"/>
      <c r="D953" s="57">
        <v>21</v>
      </c>
      <c r="E953" s="57">
        <v>751</v>
      </c>
      <c r="F953" s="57">
        <v>1361</v>
      </c>
      <c r="G953" s="57">
        <v>1486</v>
      </c>
      <c r="H953" s="57">
        <v>442</v>
      </c>
      <c r="I953" s="57"/>
      <c r="J953" s="57"/>
      <c r="K953" s="57"/>
      <c r="L953" s="57"/>
      <c r="M953" s="57"/>
      <c r="N953" s="57"/>
    </row>
    <row r="954" spans="1:14" ht="18" customHeight="1" x14ac:dyDescent="0.2">
      <c r="A954" s="62" t="s">
        <v>49</v>
      </c>
      <c r="B954" s="56">
        <v>1082</v>
      </c>
      <c r="C954" s="57"/>
      <c r="D954" s="57"/>
      <c r="E954" s="57">
        <v>26</v>
      </c>
      <c r="F954" s="57">
        <v>302</v>
      </c>
      <c r="G954" s="57">
        <v>574</v>
      </c>
      <c r="H954" s="57">
        <v>166</v>
      </c>
      <c r="I954" s="57">
        <v>14</v>
      </c>
      <c r="J954" s="57"/>
      <c r="K954" s="57"/>
      <c r="L954" s="57"/>
      <c r="M954" s="57"/>
      <c r="N954" s="57"/>
    </row>
    <row r="955" spans="1:14" ht="18" customHeight="1" x14ac:dyDescent="0.2">
      <c r="A955" s="62" t="s">
        <v>53</v>
      </c>
      <c r="B955" s="56">
        <v>981</v>
      </c>
      <c r="C955" s="57"/>
      <c r="D955" s="57"/>
      <c r="E955" s="57">
        <v>3</v>
      </c>
      <c r="F955" s="57">
        <v>16</v>
      </c>
      <c r="G955" s="57">
        <v>242</v>
      </c>
      <c r="H955" s="57">
        <v>379</v>
      </c>
      <c r="I955" s="57">
        <v>252</v>
      </c>
      <c r="J955" s="57">
        <v>89</v>
      </c>
      <c r="K955" s="57"/>
      <c r="L955" s="57"/>
      <c r="M955" s="57"/>
      <c r="N955" s="57"/>
    </row>
    <row r="956" spans="1:14" ht="18" customHeight="1" x14ac:dyDescent="0.2">
      <c r="A956" s="62" t="s">
        <v>52</v>
      </c>
      <c r="B956" s="56">
        <v>862</v>
      </c>
      <c r="C956" s="57">
        <v>2</v>
      </c>
      <c r="D956" s="57"/>
      <c r="E956" s="57"/>
      <c r="F956" s="57">
        <v>79</v>
      </c>
      <c r="G956" s="57">
        <v>447</v>
      </c>
      <c r="H956" s="57">
        <v>334</v>
      </c>
      <c r="I956" s="57"/>
      <c r="J956" s="57"/>
      <c r="K956" s="57"/>
      <c r="L956" s="57"/>
      <c r="M956" s="57"/>
      <c r="N956" s="57"/>
    </row>
    <row r="957" spans="1:14" ht="18" customHeight="1" x14ac:dyDescent="0.2">
      <c r="A957" s="62" t="s">
        <v>168</v>
      </c>
      <c r="B957" s="56">
        <v>740</v>
      </c>
      <c r="C957" s="57"/>
      <c r="D957" s="57">
        <v>13</v>
      </c>
      <c r="E957" s="57">
        <v>146</v>
      </c>
      <c r="F957" s="57">
        <v>347</v>
      </c>
      <c r="G957" s="57">
        <v>234</v>
      </c>
      <c r="H957" s="57"/>
      <c r="I957" s="57"/>
      <c r="J957" s="57"/>
      <c r="K957" s="57"/>
      <c r="L957" s="57"/>
      <c r="M957" s="57"/>
      <c r="N957" s="57"/>
    </row>
    <row r="958" spans="1:14" ht="18" customHeight="1" x14ac:dyDescent="0.2">
      <c r="A958" s="62" t="s">
        <v>50</v>
      </c>
      <c r="B958" s="56">
        <v>523</v>
      </c>
      <c r="C958" s="57"/>
      <c r="D958" s="57">
        <v>4</v>
      </c>
      <c r="E958" s="57">
        <v>192</v>
      </c>
      <c r="F958" s="57">
        <v>249</v>
      </c>
      <c r="G958" s="57">
        <v>67</v>
      </c>
      <c r="H958" s="57">
        <v>11</v>
      </c>
      <c r="I958" s="57"/>
      <c r="J958" s="57"/>
      <c r="K958" s="57"/>
      <c r="L958" s="57"/>
      <c r="M958" s="57"/>
      <c r="N958" s="57"/>
    </row>
    <row r="959" spans="1:14" ht="18" customHeight="1" x14ac:dyDescent="0.2">
      <c r="A959" s="62" t="s">
        <v>51</v>
      </c>
      <c r="B959" s="56">
        <v>399</v>
      </c>
      <c r="C959" s="57"/>
      <c r="D959" s="57"/>
      <c r="E959" s="57">
        <v>16</v>
      </c>
      <c r="F959" s="57">
        <v>89</v>
      </c>
      <c r="G959" s="57">
        <v>185</v>
      </c>
      <c r="H959" s="57">
        <v>96</v>
      </c>
      <c r="I959" s="57">
        <v>3</v>
      </c>
      <c r="J959" s="57">
        <v>3</v>
      </c>
      <c r="K959" s="57">
        <v>2</v>
      </c>
      <c r="L959" s="57">
        <v>1</v>
      </c>
      <c r="M959" s="57">
        <v>2</v>
      </c>
      <c r="N959" s="57">
        <v>2</v>
      </c>
    </row>
    <row r="960" spans="1:14" ht="18" customHeight="1" x14ac:dyDescent="0.2">
      <c r="A960" s="62" t="s">
        <v>58</v>
      </c>
      <c r="B960" s="56">
        <v>247</v>
      </c>
      <c r="C960" s="57"/>
      <c r="D960" s="57"/>
      <c r="E960" s="57"/>
      <c r="F960" s="57"/>
      <c r="G960" s="57">
        <v>82</v>
      </c>
      <c r="H960" s="57">
        <v>165</v>
      </c>
      <c r="I960" s="57"/>
      <c r="J960" s="57"/>
      <c r="K960" s="57"/>
      <c r="L960" s="57"/>
      <c r="M960" s="57"/>
      <c r="N960" s="57"/>
    </row>
    <row r="961" spans="1:14" ht="18" customHeight="1" x14ac:dyDescent="0.2">
      <c r="A961" s="62" t="s">
        <v>54</v>
      </c>
      <c r="B961" s="56">
        <v>209</v>
      </c>
      <c r="C961" s="57"/>
      <c r="D961" s="57"/>
      <c r="E961" s="57">
        <v>17</v>
      </c>
      <c r="F961" s="57">
        <v>55</v>
      </c>
      <c r="G961" s="57">
        <v>118</v>
      </c>
      <c r="H961" s="57">
        <v>19</v>
      </c>
      <c r="I961" s="57"/>
      <c r="J961" s="57"/>
      <c r="K961" s="57"/>
      <c r="L961" s="57"/>
      <c r="M961" s="57"/>
      <c r="N961" s="57"/>
    </row>
    <row r="962" spans="1:14" ht="18" customHeight="1" x14ac:dyDescent="0.2">
      <c r="A962" s="62" t="s">
        <v>56</v>
      </c>
      <c r="B962" s="56">
        <v>206</v>
      </c>
      <c r="C962" s="57"/>
      <c r="D962" s="57"/>
      <c r="E962" s="57">
        <v>4</v>
      </c>
      <c r="F962" s="57">
        <v>41</v>
      </c>
      <c r="G962" s="57">
        <v>94</v>
      </c>
      <c r="H962" s="57">
        <v>47</v>
      </c>
      <c r="I962" s="57"/>
      <c r="J962" s="57"/>
      <c r="K962" s="57"/>
      <c r="L962" s="57">
        <v>4</v>
      </c>
      <c r="M962" s="57">
        <v>11</v>
      </c>
      <c r="N962" s="57">
        <v>5</v>
      </c>
    </row>
    <row r="963" spans="1:14" ht="18" customHeight="1" x14ac:dyDescent="0.2">
      <c r="A963" s="63" t="s">
        <v>1247</v>
      </c>
      <c r="B963" s="58">
        <v>59</v>
      </c>
      <c r="C963" s="64"/>
      <c r="D963" s="64"/>
      <c r="E963" s="64">
        <v>12</v>
      </c>
      <c r="F963" s="64">
        <v>36</v>
      </c>
      <c r="G963" s="64">
        <v>11</v>
      </c>
      <c r="H963" s="64"/>
      <c r="I963" s="64"/>
      <c r="J963" s="64"/>
      <c r="K963" s="64"/>
      <c r="L963" s="64"/>
      <c r="M963" s="64"/>
      <c r="N963" s="64"/>
    </row>
    <row r="965" spans="1:14" ht="45.75" customHeight="1" x14ac:dyDescent="0.2">
      <c r="A965" s="152" t="s">
        <v>1289</v>
      </c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</row>
    <row r="984" spans="1:14" x14ac:dyDescent="0.2">
      <c r="A984" s="153" t="s">
        <v>198</v>
      </c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</row>
    <row r="985" spans="1:14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</row>
    <row r="986" spans="1:14" ht="33.75" customHeight="1" x14ac:dyDescent="0.2">
      <c r="A986" s="139" t="s">
        <v>1271</v>
      </c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</row>
    <row r="988" spans="1:14" x14ac:dyDescent="0.2">
      <c r="A988" s="154" t="s">
        <v>47</v>
      </c>
      <c r="B988" s="156" t="s">
        <v>11</v>
      </c>
      <c r="C988" s="156">
        <f>+C949</f>
        <v>2022</v>
      </c>
      <c r="D988" s="156"/>
      <c r="E988" s="156"/>
      <c r="F988" s="156"/>
      <c r="G988" s="156"/>
      <c r="H988" s="156">
        <f>+H949</f>
        <v>2023</v>
      </c>
      <c r="I988" s="156"/>
      <c r="J988" s="156"/>
      <c r="K988" s="156"/>
      <c r="L988" s="156"/>
      <c r="M988" s="156"/>
      <c r="N988" s="156"/>
    </row>
    <row r="989" spans="1:14" x14ac:dyDescent="0.2">
      <c r="A989" s="155"/>
      <c r="B989" s="157"/>
      <c r="C989" s="60" t="s">
        <v>12</v>
      </c>
      <c r="D989" s="60" t="s">
        <v>13</v>
      </c>
      <c r="E989" s="60" t="s">
        <v>14</v>
      </c>
      <c r="F989" s="60" t="s">
        <v>15</v>
      </c>
      <c r="G989" s="60" t="s">
        <v>16</v>
      </c>
      <c r="H989" s="60" t="s">
        <v>17</v>
      </c>
      <c r="I989" s="60" t="s">
        <v>18</v>
      </c>
      <c r="J989" s="60" t="s">
        <v>19</v>
      </c>
      <c r="K989" s="60" t="s">
        <v>20</v>
      </c>
      <c r="L989" s="60" t="s">
        <v>21</v>
      </c>
      <c r="M989" s="60" t="s">
        <v>22</v>
      </c>
      <c r="N989" s="60" t="s">
        <v>23</v>
      </c>
    </row>
    <row r="990" spans="1:14" x14ac:dyDescent="0.2">
      <c r="A990" s="6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</row>
    <row r="991" spans="1:14" ht="18" customHeight="1" x14ac:dyDescent="0.2">
      <c r="A991" s="61" t="s">
        <v>11</v>
      </c>
      <c r="B991" s="56">
        <f t="shared" ref="B991:N991" si="24">SUM(B992:B1002)</f>
        <v>856</v>
      </c>
      <c r="C991" s="56">
        <f t="shared" si="24"/>
        <v>366</v>
      </c>
      <c r="D991" s="56">
        <f t="shared" si="24"/>
        <v>310</v>
      </c>
      <c r="E991" s="56">
        <f t="shared" si="24"/>
        <v>130</v>
      </c>
      <c r="F991" s="56">
        <f t="shared" si="24"/>
        <v>6</v>
      </c>
      <c r="G991" s="56">
        <f t="shared" si="24"/>
        <v>15</v>
      </c>
      <c r="H991" s="56">
        <f t="shared" si="24"/>
        <v>22</v>
      </c>
      <c r="I991" s="56">
        <f t="shared" si="24"/>
        <v>3</v>
      </c>
      <c r="J991" s="56">
        <f t="shared" si="24"/>
        <v>4</v>
      </c>
      <c r="K991" s="56">
        <f t="shared" si="24"/>
        <v>0</v>
      </c>
      <c r="L991" s="56">
        <f t="shared" si="24"/>
        <v>0</v>
      </c>
      <c r="M991" s="56">
        <f t="shared" si="24"/>
        <v>0</v>
      </c>
      <c r="N991" s="56">
        <f t="shared" si="24"/>
        <v>0</v>
      </c>
    </row>
    <row r="992" spans="1:14" ht="18" customHeight="1" x14ac:dyDescent="0.2">
      <c r="A992" s="62" t="s">
        <v>52</v>
      </c>
      <c r="B992" s="56">
        <v>523</v>
      </c>
      <c r="C992" s="57">
        <v>236</v>
      </c>
      <c r="D992" s="57">
        <v>206</v>
      </c>
      <c r="E992" s="57">
        <v>81</v>
      </c>
      <c r="F992" s="57"/>
      <c r="G992" s="57"/>
      <c r="H992" s="57"/>
      <c r="I992" s="57"/>
      <c r="J992" s="57"/>
      <c r="K992" s="57"/>
      <c r="L992" s="57"/>
      <c r="M992" s="57"/>
      <c r="N992" s="57"/>
    </row>
    <row r="993" spans="1:14" ht="18" customHeight="1" x14ac:dyDescent="0.2">
      <c r="A993" s="62" t="s">
        <v>51</v>
      </c>
      <c r="B993" s="56">
        <v>284</v>
      </c>
      <c r="C993" s="57">
        <v>130</v>
      </c>
      <c r="D993" s="57">
        <v>104</v>
      </c>
      <c r="E993" s="57">
        <v>49</v>
      </c>
      <c r="F993" s="57">
        <v>1</v>
      </c>
      <c r="G993" s="57"/>
      <c r="H993" s="57"/>
      <c r="I993" s="57"/>
      <c r="J993" s="57"/>
      <c r="K993" s="57"/>
      <c r="L993" s="57"/>
      <c r="M993" s="57"/>
      <c r="N993" s="57"/>
    </row>
    <row r="994" spans="1:14" ht="18" customHeight="1" x14ac:dyDescent="0.2">
      <c r="A994" s="62" t="s">
        <v>48</v>
      </c>
      <c r="B994" s="56">
        <v>49</v>
      </c>
      <c r="C994" s="57"/>
      <c r="D994" s="57"/>
      <c r="E994" s="57"/>
      <c r="F994" s="57">
        <v>5</v>
      </c>
      <c r="G994" s="57">
        <v>15</v>
      </c>
      <c r="H994" s="57">
        <v>22</v>
      </c>
      <c r="I994" s="57">
        <v>3</v>
      </c>
      <c r="J994" s="57">
        <v>4</v>
      </c>
      <c r="K994" s="57"/>
      <c r="L994" s="57"/>
      <c r="M994" s="57"/>
      <c r="N994" s="57"/>
    </row>
    <row r="995" spans="1:14" ht="18" customHeight="1" x14ac:dyDescent="0.2">
      <c r="A995" s="62" t="s">
        <v>50</v>
      </c>
      <c r="B995" s="56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</row>
    <row r="996" spans="1:14" ht="18" customHeight="1" x14ac:dyDescent="0.2">
      <c r="A996" s="62" t="s">
        <v>1247</v>
      </c>
      <c r="B996" s="56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</row>
    <row r="997" spans="1:14" ht="18" customHeight="1" x14ac:dyDescent="0.2">
      <c r="A997" s="62" t="s">
        <v>53</v>
      </c>
      <c r="B997" s="56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</row>
    <row r="998" spans="1:14" ht="18" customHeight="1" x14ac:dyDescent="0.2">
      <c r="A998" s="62" t="s">
        <v>56</v>
      </c>
      <c r="B998" s="56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</row>
    <row r="999" spans="1:14" ht="18" customHeight="1" x14ac:dyDescent="0.2">
      <c r="A999" s="62" t="s">
        <v>58</v>
      </c>
      <c r="B999" s="56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</row>
    <row r="1000" spans="1:14" ht="18" customHeight="1" x14ac:dyDescent="0.2">
      <c r="A1000" s="62" t="s">
        <v>54</v>
      </c>
      <c r="B1000" s="56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</row>
    <row r="1001" spans="1:14" ht="18" customHeight="1" x14ac:dyDescent="0.2">
      <c r="A1001" s="62" t="s">
        <v>49</v>
      </c>
      <c r="B1001" s="56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</row>
    <row r="1002" spans="1:14" ht="18" customHeight="1" x14ac:dyDescent="0.2">
      <c r="A1002" s="63" t="s">
        <v>168</v>
      </c>
      <c r="B1002" s="58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</row>
    <row r="1004" spans="1:14" ht="39.75" customHeight="1" x14ac:dyDescent="0.2">
      <c r="A1004" s="152" t="s">
        <v>1290</v>
      </c>
      <c r="B1004" s="152"/>
      <c r="C1004" s="152"/>
      <c r="D1004" s="152"/>
      <c r="E1004" s="152"/>
      <c r="F1004" s="152"/>
      <c r="G1004" s="152"/>
      <c r="H1004" s="152"/>
      <c r="I1004" s="152"/>
      <c r="J1004" s="152"/>
      <c r="K1004" s="152"/>
      <c r="L1004" s="152"/>
      <c r="M1004" s="152"/>
      <c r="N1004" s="152"/>
    </row>
    <row r="1025" spans="1:14" x14ac:dyDescent="0.2">
      <c r="F1025" s="22"/>
    </row>
    <row r="1026" spans="1:14" x14ac:dyDescent="0.2">
      <c r="A1026" s="153" t="s">
        <v>7</v>
      </c>
      <c r="B1026" s="153"/>
      <c r="C1026" s="153"/>
      <c r="D1026" s="153"/>
      <c r="E1026" s="153"/>
      <c r="F1026" s="153"/>
      <c r="G1026" s="153"/>
      <c r="H1026" s="153"/>
      <c r="I1026" s="153"/>
      <c r="J1026" s="153"/>
      <c r="K1026" s="153"/>
      <c r="L1026" s="153"/>
      <c r="M1026" s="153"/>
      <c r="N1026" s="153"/>
    </row>
    <row r="1027" spans="1:14" x14ac:dyDescent="0.2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</row>
    <row r="1028" spans="1:14" ht="28.5" customHeight="1" x14ac:dyDescent="0.2">
      <c r="A1028" s="139" t="s">
        <v>1272</v>
      </c>
      <c r="B1028" s="139"/>
      <c r="C1028" s="139"/>
      <c r="D1028" s="139"/>
      <c r="E1028" s="139"/>
      <c r="F1028" s="139"/>
      <c r="G1028" s="139"/>
      <c r="H1028" s="139"/>
      <c r="I1028" s="139"/>
      <c r="J1028" s="139"/>
      <c r="K1028" s="139"/>
      <c r="L1028" s="139"/>
      <c r="M1028" s="139"/>
      <c r="N1028" s="139"/>
    </row>
    <row r="1030" spans="1:14" x14ac:dyDescent="0.2">
      <c r="A1030" s="154" t="s">
        <v>47</v>
      </c>
      <c r="B1030" s="156" t="s">
        <v>11</v>
      </c>
      <c r="C1030" s="156">
        <f>+C988</f>
        <v>2022</v>
      </c>
      <c r="D1030" s="156"/>
      <c r="E1030" s="156"/>
      <c r="F1030" s="156"/>
      <c r="G1030" s="156"/>
      <c r="H1030" s="156">
        <f>+H988</f>
        <v>2023</v>
      </c>
      <c r="I1030" s="156"/>
      <c r="J1030" s="156"/>
      <c r="K1030" s="156"/>
      <c r="L1030" s="156"/>
      <c r="M1030" s="156"/>
      <c r="N1030" s="156"/>
    </row>
    <row r="1031" spans="1:14" x14ac:dyDescent="0.2">
      <c r="A1031" s="155"/>
      <c r="B1031" s="157"/>
      <c r="C1031" s="60" t="s">
        <v>12</v>
      </c>
      <c r="D1031" s="60" t="s">
        <v>13</v>
      </c>
      <c r="E1031" s="60" t="s">
        <v>14</v>
      </c>
      <c r="F1031" s="60" t="s">
        <v>15</v>
      </c>
      <c r="G1031" s="60" t="s">
        <v>16</v>
      </c>
      <c r="H1031" s="60" t="s">
        <v>17</v>
      </c>
      <c r="I1031" s="60" t="s">
        <v>18</v>
      </c>
      <c r="J1031" s="60" t="s">
        <v>19</v>
      </c>
      <c r="K1031" s="60" t="s">
        <v>20</v>
      </c>
      <c r="L1031" s="60" t="s">
        <v>21</v>
      </c>
      <c r="M1031" s="60" t="s">
        <v>22</v>
      </c>
      <c r="N1031" s="60" t="s">
        <v>23</v>
      </c>
    </row>
    <row r="1032" spans="1:14" x14ac:dyDescent="0.2">
      <c r="A1032" s="61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</row>
    <row r="1033" spans="1:14" ht="18" customHeight="1" x14ac:dyDescent="0.2">
      <c r="A1033" s="61" t="s">
        <v>11</v>
      </c>
      <c r="B1033" s="56">
        <f t="shared" ref="B1033:N1033" si="25">SUM(B1034:B1044)</f>
        <v>265</v>
      </c>
      <c r="C1033" s="56">
        <f t="shared" si="25"/>
        <v>27</v>
      </c>
      <c r="D1033" s="56">
        <f t="shared" si="25"/>
        <v>45</v>
      </c>
      <c r="E1033" s="56">
        <f t="shared" si="25"/>
        <v>61</v>
      </c>
      <c r="F1033" s="56">
        <f t="shared" si="25"/>
        <v>45</v>
      </c>
      <c r="G1033" s="56">
        <f t="shared" si="25"/>
        <v>46</v>
      </c>
      <c r="H1033" s="56">
        <f t="shared" si="25"/>
        <v>14</v>
      </c>
      <c r="I1033" s="56">
        <f t="shared" si="25"/>
        <v>5</v>
      </c>
      <c r="J1033" s="56">
        <f t="shared" si="25"/>
        <v>8</v>
      </c>
      <c r="K1033" s="56">
        <f t="shared" si="25"/>
        <v>2</v>
      </c>
      <c r="L1033" s="56">
        <f t="shared" si="25"/>
        <v>6</v>
      </c>
      <c r="M1033" s="56">
        <f t="shared" si="25"/>
        <v>1</v>
      </c>
      <c r="N1033" s="56">
        <f t="shared" si="25"/>
        <v>5</v>
      </c>
    </row>
    <row r="1034" spans="1:14" ht="18" customHeight="1" x14ac:dyDescent="0.2">
      <c r="A1034" s="62" t="s">
        <v>48</v>
      </c>
      <c r="B1034" s="56">
        <v>85</v>
      </c>
      <c r="C1034" s="57">
        <v>8</v>
      </c>
      <c r="D1034" s="57">
        <v>17</v>
      </c>
      <c r="E1034" s="57">
        <v>21</v>
      </c>
      <c r="F1034" s="57">
        <v>17</v>
      </c>
      <c r="G1034" s="57">
        <v>13</v>
      </c>
      <c r="H1034" s="57">
        <v>3</v>
      </c>
      <c r="I1034" s="57"/>
      <c r="J1034" s="57">
        <v>3</v>
      </c>
      <c r="K1034" s="57"/>
      <c r="L1034" s="57">
        <v>1</v>
      </c>
      <c r="M1034" s="57"/>
      <c r="N1034" s="57">
        <v>2</v>
      </c>
    </row>
    <row r="1035" spans="1:14" ht="18" customHeight="1" x14ac:dyDescent="0.2">
      <c r="A1035" s="62" t="s">
        <v>52</v>
      </c>
      <c r="B1035" s="56">
        <v>65</v>
      </c>
      <c r="C1035" s="57">
        <v>2</v>
      </c>
      <c r="D1035" s="57">
        <v>2</v>
      </c>
      <c r="E1035" s="57">
        <v>13</v>
      </c>
      <c r="F1035" s="57">
        <v>22</v>
      </c>
      <c r="G1035" s="57">
        <v>22</v>
      </c>
      <c r="H1035" s="57">
        <v>4</v>
      </c>
      <c r="I1035" s="57"/>
      <c r="J1035" s="57"/>
      <c r="K1035" s="57"/>
      <c r="L1035" s="57"/>
      <c r="M1035" s="57"/>
      <c r="N1035" s="57"/>
    </row>
    <row r="1036" spans="1:14" ht="18" customHeight="1" x14ac:dyDescent="0.2">
      <c r="A1036" s="62" t="s">
        <v>51</v>
      </c>
      <c r="B1036" s="56">
        <v>47</v>
      </c>
      <c r="C1036" s="57">
        <v>4</v>
      </c>
      <c r="D1036" s="57">
        <v>7</v>
      </c>
      <c r="E1036" s="57">
        <v>9</v>
      </c>
      <c r="F1036" s="57">
        <v>2</v>
      </c>
      <c r="G1036" s="57">
        <v>6</v>
      </c>
      <c r="H1036" s="57">
        <v>5</v>
      </c>
      <c r="I1036" s="57">
        <v>5</v>
      </c>
      <c r="J1036" s="57">
        <v>5</v>
      </c>
      <c r="K1036" s="57"/>
      <c r="L1036" s="57"/>
      <c r="M1036" s="57">
        <v>1</v>
      </c>
      <c r="N1036" s="57">
        <v>3</v>
      </c>
    </row>
    <row r="1037" spans="1:14" ht="18" customHeight="1" x14ac:dyDescent="0.2">
      <c r="A1037" s="62" t="s">
        <v>53</v>
      </c>
      <c r="B1037" s="56">
        <v>43</v>
      </c>
      <c r="C1037" s="57">
        <v>9</v>
      </c>
      <c r="D1037" s="57">
        <v>19</v>
      </c>
      <c r="E1037" s="57">
        <v>15</v>
      </c>
      <c r="F1037" s="57"/>
      <c r="G1037" s="57"/>
      <c r="H1037" s="57"/>
      <c r="I1037" s="57"/>
      <c r="J1037" s="57"/>
      <c r="K1037" s="57"/>
      <c r="L1037" s="57"/>
      <c r="M1037" s="57"/>
      <c r="N1037" s="57"/>
    </row>
    <row r="1038" spans="1:14" ht="18" customHeight="1" x14ac:dyDescent="0.2">
      <c r="A1038" s="62" t="s">
        <v>56</v>
      </c>
      <c r="B1038" s="56">
        <v>11</v>
      </c>
      <c r="C1038" s="57">
        <v>4</v>
      </c>
      <c r="D1038" s="57"/>
      <c r="E1038" s="57"/>
      <c r="F1038" s="57"/>
      <c r="G1038" s="57"/>
      <c r="H1038" s="57"/>
      <c r="I1038" s="57"/>
      <c r="J1038" s="57"/>
      <c r="K1038" s="57">
        <v>2</v>
      </c>
      <c r="L1038" s="57">
        <v>5</v>
      </c>
      <c r="M1038" s="57"/>
      <c r="N1038" s="57"/>
    </row>
    <row r="1039" spans="1:14" ht="18" customHeight="1" x14ac:dyDescent="0.2">
      <c r="A1039" s="62" t="s">
        <v>49</v>
      </c>
      <c r="B1039" s="56">
        <v>9</v>
      </c>
      <c r="C1039" s="57"/>
      <c r="D1039" s="57"/>
      <c r="E1039" s="57"/>
      <c r="F1039" s="57">
        <v>2</v>
      </c>
      <c r="G1039" s="57">
        <v>5</v>
      </c>
      <c r="H1039" s="57">
        <v>2</v>
      </c>
      <c r="I1039" s="57"/>
      <c r="J1039" s="57"/>
      <c r="K1039" s="57"/>
      <c r="L1039" s="57"/>
      <c r="M1039" s="57"/>
      <c r="N1039" s="57"/>
    </row>
    <row r="1040" spans="1:14" ht="18" customHeight="1" x14ac:dyDescent="0.2">
      <c r="A1040" s="62" t="s">
        <v>58</v>
      </c>
      <c r="B1040" s="56">
        <v>5</v>
      </c>
      <c r="C1040" s="57"/>
      <c r="D1040" s="57"/>
      <c r="E1040" s="57">
        <v>3</v>
      </c>
      <c r="F1040" s="57">
        <v>2</v>
      </c>
      <c r="G1040" s="57"/>
      <c r="H1040" s="57"/>
      <c r="I1040" s="57"/>
      <c r="J1040" s="57"/>
      <c r="K1040" s="57"/>
      <c r="L1040" s="57"/>
      <c r="M1040" s="57"/>
      <c r="N1040" s="57"/>
    </row>
    <row r="1041" spans="1:14" ht="18" customHeight="1" x14ac:dyDescent="0.2">
      <c r="A1041" s="62" t="s">
        <v>50</v>
      </c>
      <c r="B1041" s="56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</row>
    <row r="1042" spans="1:14" ht="18" customHeight="1" x14ac:dyDescent="0.2">
      <c r="A1042" s="62" t="s">
        <v>1247</v>
      </c>
      <c r="B1042" s="56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</row>
    <row r="1043" spans="1:14" ht="18" customHeight="1" x14ac:dyDescent="0.2">
      <c r="A1043" s="62" t="s">
        <v>54</v>
      </c>
      <c r="B1043" s="56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</row>
    <row r="1044" spans="1:14" ht="18" customHeight="1" x14ac:dyDescent="0.2">
      <c r="A1044" s="63" t="s">
        <v>168</v>
      </c>
      <c r="B1044" s="58"/>
      <c r="C1044" s="64"/>
      <c r="D1044" s="64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</row>
    <row r="1046" spans="1:14" ht="47.25" customHeight="1" x14ac:dyDescent="0.2">
      <c r="A1046" s="152" t="s">
        <v>1291</v>
      </c>
      <c r="B1046" s="152"/>
      <c r="C1046" s="152"/>
      <c r="D1046" s="152"/>
      <c r="E1046" s="152"/>
      <c r="F1046" s="152"/>
      <c r="G1046" s="152"/>
      <c r="H1046" s="152"/>
      <c r="I1046" s="152"/>
      <c r="J1046" s="152"/>
      <c r="K1046" s="152"/>
      <c r="L1046" s="152"/>
      <c r="M1046" s="152"/>
      <c r="N1046" s="152"/>
    </row>
    <row r="1051" spans="1:14" ht="12" customHeight="1" x14ac:dyDescent="0.2"/>
    <row r="1066" spans="1:14" x14ac:dyDescent="0.2">
      <c r="A1066" s="153" t="s">
        <v>8</v>
      </c>
      <c r="B1066" s="153"/>
      <c r="C1066" s="153"/>
      <c r="D1066" s="153"/>
      <c r="E1066" s="153"/>
      <c r="F1066" s="153"/>
      <c r="G1066" s="153"/>
      <c r="H1066" s="153"/>
      <c r="I1066" s="153"/>
      <c r="J1066" s="153"/>
      <c r="K1066" s="153"/>
      <c r="L1066" s="153"/>
      <c r="M1066" s="153"/>
      <c r="N1066" s="153"/>
    </row>
    <row r="1067" spans="1:14" x14ac:dyDescent="0.2">
      <c r="A1067" s="65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</row>
    <row r="1068" spans="1:14" ht="43.5" customHeight="1" x14ac:dyDescent="0.2">
      <c r="A1068" s="139" t="s">
        <v>1273</v>
      </c>
      <c r="B1068" s="139"/>
      <c r="C1068" s="139"/>
      <c r="D1068" s="139"/>
      <c r="E1068" s="139"/>
      <c r="F1068" s="139"/>
      <c r="G1068" s="139"/>
      <c r="H1068" s="139"/>
      <c r="I1068" s="139"/>
      <c r="J1068" s="139"/>
      <c r="K1068" s="139"/>
      <c r="L1068" s="139"/>
      <c r="M1068" s="139"/>
      <c r="N1068" s="139"/>
    </row>
    <row r="1070" spans="1:14" x14ac:dyDescent="0.2">
      <c r="A1070" s="154" t="s">
        <v>47</v>
      </c>
      <c r="B1070" s="156" t="s">
        <v>11</v>
      </c>
      <c r="C1070" s="156">
        <f>+C1030</f>
        <v>2022</v>
      </c>
      <c r="D1070" s="156"/>
      <c r="E1070" s="156"/>
      <c r="F1070" s="156"/>
      <c r="G1070" s="156"/>
      <c r="H1070" s="156">
        <f>+H1030</f>
        <v>2023</v>
      </c>
      <c r="I1070" s="156"/>
      <c r="J1070" s="156"/>
      <c r="K1070" s="156"/>
      <c r="L1070" s="156"/>
      <c r="M1070" s="156"/>
      <c r="N1070" s="156"/>
    </row>
    <row r="1071" spans="1:14" x14ac:dyDescent="0.2">
      <c r="A1071" s="155"/>
      <c r="B1071" s="157"/>
      <c r="C1071" s="60" t="s">
        <v>12</v>
      </c>
      <c r="D1071" s="60" t="s">
        <v>13</v>
      </c>
      <c r="E1071" s="60" t="s">
        <v>14</v>
      </c>
      <c r="F1071" s="60" t="s">
        <v>15</v>
      </c>
      <c r="G1071" s="60" t="s">
        <v>16</v>
      </c>
      <c r="H1071" s="60" t="s">
        <v>17</v>
      </c>
      <c r="I1071" s="60" t="s">
        <v>18</v>
      </c>
      <c r="J1071" s="60" t="s">
        <v>19</v>
      </c>
      <c r="K1071" s="60" t="s">
        <v>20</v>
      </c>
      <c r="L1071" s="60" t="s">
        <v>21</v>
      </c>
      <c r="M1071" s="60" t="s">
        <v>22</v>
      </c>
      <c r="N1071" s="60" t="s">
        <v>23</v>
      </c>
    </row>
    <row r="1072" spans="1:14" x14ac:dyDescent="0.2">
      <c r="A1072" s="61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</row>
    <row r="1073" spans="1:14" ht="18" customHeight="1" x14ac:dyDescent="0.2">
      <c r="A1073" s="61" t="s">
        <v>11</v>
      </c>
      <c r="B1073" s="56">
        <f t="shared" ref="B1073:N1073" si="26">SUM(B1074:B1084)</f>
        <v>126</v>
      </c>
      <c r="C1073" s="56">
        <f t="shared" si="26"/>
        <v>30</v>
      </c>
      <c r="D1073" s="56">
        <f t="shared" si="26"/>
        <v>27</v>
      </c>
      <c r="E1073" s="56">
        <f t="shared" si="26"/>
        <v>11</v>
      </c>
      <c r="F1073" s="56">
        <f t="shared" si="26"/>
        <v>18</v>
      </c>
      <c r="G1073" s="56">
        <f t="shared" si="26"/>
        <v>22</v>
      </c>
      <c r="H1073" s="56">
        <f t="shared" si="26"/>
        <v>0</v>
      </c>
      <c r="I1073" s="56">
        <f t="shared" si="26"/>
        <v>6</v>
      </c>
      <c r="J1073" s="56">
        <f t="shared" si="26"/>
        <v>3</v>
      </c>
      <c r="K1073" s="56">
        <f t="shared" si="26"/>
        <v>3</v>
      </c>
      <c r="L1073" s="56">
        <f t="shared" si="26"/>
        <v>0</v>
      </c>
      <c r="M1073" s="56">
        <f t="shared" si="26"/>
        <v>2</v>
      </c>
      <c r="N1073" s="56">
        <f t="shared" si="26"/>
        <v>4</v>
      </c>
    </row>
    <row r="1074" spans="1:14" ht="18" customHeight="1" x14ac:dyDescent="0.2">
      <c r="A1074" s="62" t="s">
        <v>53</v>
      </c>
      <c r="B1074" s="56">
        <v>48</v>
      </c>
      <c r="C1074" s="57">
        <v>10</v>
      </c>
      <c r="D1074" s="57">
        <v>13</v>
      </c>
      <c r="E1074" s="57">
        <v>7</v>
      </c>
      <c r="F1074" s="57"/>
      <c r="G1074" s="57"/>
      <c r="H1074" s="57"/>
      <c r="I1074" s="57">
        <v>6</v>
      </c>
      <c r="J1074" s="57">
        <v>3</v>
      </c>
      <c r="K1074" s="57">
        <v>3</v>
      </c>
      <c r="L1074" s="57"/>
      <c r="M1074" s="57">
        <v>2</v>
      </c>
      <c r="N1074" s="57">
        <v>4</v>
      </c>
    </row>
    <row r="1075" spans="1:14" ht="18" customHeight="1" x14ac:dyDescent="0.2">
      <c r="A1075" s="62" t="s">
        <v>49</v>
      </c>
      <c r="B1075" s="56">
        <v>31</v>
      </c>
      <c r="C1075" s="57">
        <v>4</v>
      </c>
      <c r="D1075" s="57"/>
      <c r="E1075" s="57"/>
      <c r="F1075" s="57">
        <v>8</v>
      </c>
      <c r="G1075" s="57">
        <v>19</v>
      </c>
      <c r="H1075" s="57"/>
      <c r="I1075" s="57"/>
      <c r="J1075" s="57"/>
      <c r="K1075" s="57"/>
      <c r="L1075" s="57"/>
      <c r="M1075" s="57"/>
      <c r="N1075" s="57"/>
    </row>
    <row r="1076" spans="1:14" ht="18" customHeight="1" x14ac:dyDescent="0.2">
      <c r="A1076" s="62" t="s">
        <v>52</v>
      </c>
      <c r="B1076" s="56">
        <v>24</v>
      </c>
      <c r="C1076" s="57">
        <v>12</v>
      </c>
      <c r="D1076" s="57">
        <v>11</v>
      </c>
      <c r="E1076" s="57">
        <v>1</v>
      </c>
      <c r="F1076" s="57"/>
      <c r="G1076" s="57"/>
      <c r="H1076" s="57"/>
      <c r="I1076" s="57"/>
      <c r="J1076" s="57"/>
      <c r="K1076" s="57"/>
      <c r="L1076" s="57"/>
      <c r="M1076" s="57"/>
      <c r="N1076" s="57"/>
    </row>
    <row r="1077" spans="1:14" ht="18" customHeight="1" x14ac:dyDescent="0.2">
      <c r="A1077" s="62" t="s">
        <v>48</v>
      </c>
      <c r="B1077" s="56">
        <v>23</v>
      </c>
      <c r="C1077" s="57">
        <v>4</v>
      </c>
      <c r="D1077" s="57">
        <v>3</v>
      </c>
      <c r="E1077" s="57">
        <v>3</v>
      </c>
      <c r="F1077" s="57">
        <v>10</v>
      </c>
      <c r="G1077" s="57">
        <v>3</v>
      </c>
      <c r="H1077" s="57"/>
      <c r="I1077" s="57"/>
      <c r="J1077" s="57"/>
      <c r="K1077" s="57"/>
      <c r="L1077" s="57"/>
      <c r="M1077" s="57"/>
      <c r="N1077" s="57"/>
    </row>
    <row r="1078" spans="1:14" ht="18" customHeight="1" x14ac:dyDescent="0.2">
      <c r="A1078" s="62" t="s">
        <v>50</v>
      </c>
      <c r="B1078" s="56"/>
      <c r="C1078" s="57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</row>
    <row r="1079" spans="1:14" ht="18" customHeight="1" x14ac:dyDescent="0.2">
      <c r="A1079" s="62" t="s">
        <v>1247</v>
      </c>
      <c r="B1079" s="56"/>
      <c r="C1079" s="57"/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</row>
    <row r="1080" spans="1:14" ht="18" customHeight="1" x14ac:dyDescent="0.2">
      <c r="A1080" s="62" t="s">
        <v>51</v>
      </c>
      <c r="B1080" s="56"/>
      <c r="C1080" s="57"/>
      <c r="D1080" s="57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</row>
    <row r="1081" spans="1:14" ht="18" customHeight="1" x14ac:dyDescent="0.2">
      <c r="A1081" s="62" t="s">
        <v>56</v>
      </c>
      <c r="B1081" s="56"/>
      <c r="C1081" s="57"/>
      <c r="D1081" s="57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</row>
    <row r="1082" spans="1:14" ht="18" customHeight="1" x14ac:dyDescent="0.2">
      <c r="A1082" s="62" t="s">
        <v>58</v>
      </c>
      <c r="B1082" s="56"/>
      <c r="C1082" s="57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</row>
    <row r="1083" spans="1:14" ht="18" customHeight="1" x14ac:dyDescent="0.2">
      <c r="A1083" s="62" t="s">
        <v>54</v>
      </c>
      <c r="B1083" s="56"/>
      <c r="C1083" s="57"/>
      <c r="D1083" s="57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</row>
    <row r="1084" spans="1:14" ht="18" customHeight="1" x14ac:dyDescent="0.2">
      <c r="A1084" s="63" t="s">
        <v>168</v>
      </c>
      <c r="B1084" s="58"/>
      <c r="C1084" s="64"/>
      <c r="D1084" s="64"/>
      <c r="E1084" s="64"/>
      <c r="F1084" s="64"/>
      <c r="G1084" s="64"/>
      <c r="H1084" s="64"/>
      <c r="I1084" s="64"/>
      <c r="J1084" s="64"/>
      <c r="K1084" s="64"/>
      <c r="L1084" s="64"/>
      <c r="M1084" s="64"/>
      <c r="N1084" s="64"/>
    </row>
    <row r="1086" spans="1:14" ht="35.25" customHeight="1" x14ac:dyDescent="0.2">
      <c r="A1086" s="152" t="s">
        <v>1292</v>
      </c>
      <c r="B1086" s="152"/>
      <c r="C1086" s="152"/>
      <c r="D1086" s="152"/>
      <c r="E1086" s="152"/>
      <c r="F1086" s="152"/>
      <c r="G1086" s="152"/>
      <c r="H1086" s="152"/>
      <c r="I1086" s="152"/>
      <c r="J1086" s="152"/>
      <c r="K1086" s="152"/>
      <c r="L1086" s="152"/>
      <c r="M1086" s="152"/>
      <c r="N1086" s="152"/>
    </row>
    <row r="1091" ht="12" customHeight="1" x14ac:dyDescent="0.2"/>
  </sheetData>
  <mergeCells count="191">
    <mergeCell ref="H949:N949"/>
    <mergeCell ref="A22:N22"/>
    <mergeCell ref="A63:N63"/>
    <mergeCell ref="A105:N105"/>
    <mergeCell ref="A904:N904"/>
    <mergeCell ref="A906:N906"/>
    <mergeCell ref="A908:A909"/>
    <mergeCell ref="B908:B909"/>
    <mergeCell ref="C908:G908"/>
    <mergeCell ref="H908:N908"/>
    <mergeCell ref="A945:N945"/>
    <mergeCell ref="A947:N947"/>
    <mergeCell ref="A825:A826"/>
    <mergeCell ref="B825:B826"/>
    <mergeCell ref="C825:G825"/>
    <mergeCell ref="H825:N825"/>
    <mergeCell ref="A862:N862"/>
    <mergeCell ref="A864:N864"/>
    <mergeCell ref="A170:N170"/>
    <mergeCell ref="A174:A175"/>
    <mergeCell ref="C174:G174"/>
    <mergeCell ref="H174:N174"/>
    <mergeCell ref="A172:N172"/>
    <mergeCell ref="B174:B175"/>
    <mergeCell ref="A2:N2"/>
    <mergeCell ref="A4:N4"/>
    <mergeCell ref="A6:A7"/>
    <mergeCell ref="C6:G6"/>
    <mergeCell ref="H6:N6"/>
    <mergeCell ref="B6:B7"/>
    <mergeCell ref="A779:N779"/>
    <mergeCell ref="A783:A784"/>
    <mergeCell ref="C783:G783"/>
    <mergeCell ref="H783:N783"/>
    <mergeCell ref="A781:N781"/>
    <mergeCell ref="B783:B784"/>
    <mergeCell ref="A85:N85"/>
    <mergeCell ref="A89:A90"/>
    <mergeCell ref="C89:G89"/>
    <mergeCell ref="H89:N89"/>
    <mergeCell ref="A87:N87"/>
    <mergeCell ref="B89:B90"/>
    <mergeCell ref="A43:N43"/>
    <mergeCell ref="A47:A48"/>
    <mergeCell ref="C47:G47"/>
    <mergeCell ref="H47:N47"/>
    <mergeCell ref="A45:N45"/>
    <mergeCell ref="B47:B48"/>
    <mergeCell ref="A127:N127"/>
    <mergeCell ref="A132:A133"/>
    <mergeCell ref="C132:G132"/>
    <mergeCell ref="H132:N132"/>
    <mergeCell ref="A129:N129"/>
    <mergeCell ref="A130:N130"/>
    <mergeCell ref="B132:B133"/>
    <mergeCell ref="A148:N148"/>
    <mergeCell ref="A149:N149"/>
    <mergeCell ref="A253:N253"/>
    <mergeCell ref="A257:A258"/>
    <mergeCell ref="C257:G257"/>
    <mergeCell ref="H257:N257"/>
    <mergeCell ref="A255:N255"/>
    <mergeCell ref="B257:B258"/>
    <mergeCell ref="A212:N212"/>
    <mergeCell ref="A216:A217"/>
    <mergeCell ref="C216:G216"/>
    <mergeCell ref="H216:N216"/>
    <mergeCell ref="A214:N214"/>
    <mergeCell ref="B216:B217"/>
    <mergeCell ref="A333:N333"/>
    <mergeCell ref="A337:A338"/>
    <mergeCell ref="C337:G337"/>
    <mergeCell ref="H337:N337"/>
    <mergeCell ref="A335:N335"/>
    <mergeCell ref="B337:B338"/>
    <mergeCell ref="A293:N293"/>
    <mergeCell ref="A297:A298"/>
    <mergeCell ref="C297:G297"/>
    <mergeCell ref="H297:N297"/>
    <mergeCell ref="A295:N295"/>
    <mergeCell ref="B297:B298"/>
    <mergeCell ref="A414:N414"/>
    <mergeCell ref="A418:A419"/>
    <mergeCell ref="C418:G418"/>
    <mergeCell ref="H418:N418"/>
    <mergeCell ref="A416:N416"/>
    <mergeCell ref="B418:B419"/>
    <mergeCell ref="A374:N374"/>
    <mergeCell ref="A378:A379"/>
    <mergeCell ref="C378:G378"/>
    <mergeCell ref="H378:N378"/>
    <mergeCell ref="A376:N376"/>
    <mergeCell ref="B378:B379"/>
    <mergeCell ref="A499:A500"/>
    <mergeCell ref="C499:G499"/>
    <mergeCell ref="H499:N499"/>
    <mergeCell ref="B499:B500"/>
    <mergeCell ref="A495:N495"/>
    <mergeCell ref="A497:N497"/>
    <mergeCell ref="A454:N454"/>
    <mergeCell ref="A458:A459"/>
    <mergeCell ref="C458:G458"/>
    <mergeCell ref="H458:N458"/>
    <mergeCell ref="A456:N456"/>
    <mergeCell ref="B458:B459"/>
    <mergeCell ref="A619:N619"/>
    <mergeCell ref="B621:B622"/>
    <mergeCell ref="A577:N577"/>
    <mergeCell ref="A581:A582"/>
    <mergeCell ref="C581:G581"/>
    <mergeCell ref="H581:N581"/>
    <mergeCell ref="A579:N579"/>
    <mergeCell ref="B581:B582"/>
    <mergeCell ref="A536:N536"/>
    <mergeCell ref="A540:A541"/>
    <mergeCell ref="C540:G540"/>
    <mergeCell ref="H540:N540"/>
    <mergeCell ref="A538:N538"/>
    <mergeCell ref="B540:B541"/>
    <mergeCell ref="B988:B989"/>
    <mergeCell ref="C988:G988"/>
    <mergeCell ref="H988:N988"/>
    <mergeCell ref="A697:N697"/>
    <mergeCell ref="A738:N738"/>
    <mergeCell ref="A742:A743"/>
    <mergeCell ref="C742:G742"/>
    <mergeCell ref="H742:N742"/>
    <mergeCell ref="A740:N740"/>
    <mergeCell ref="B742:B743"/>
    <mergeCell ref="A701:A702"/>
    <mergeCell ref="C701:G701"/>
    <mergeCell ref="H701:N701"/>
    <mergeCell ref="A699:N699"/>
    <mergeCell ref="B701:B702"/>
    <mergeCell ref="A821:N821"/>
    <mergeCell ref="A823:N823"/>
    <mergeCell ref="A866:A867"/>
    <mergeCell ref="B866:B867"/>
    <mergeCell ref="C866:G866"/>
    <mergeCell ref="H866:N866"/>
    <mergeCell ref="A949:A950"/>
    <mergeCell ref="B949:B950"/>
    <mergeCell ref="C949:G949"/>
    <mergeCell ref="A515:N515"/>
    <mergeCell ref="A882:N882"/>
    <mergeCell ref="A841:N841"/>
    <mergeCell ref="A799:N799"/>
    <mergeCell ref="A758:N758"/>
    <mergeCell ref="A717:N717"/>
    <mergeCell ref="A190:N190"/>
    <mergeCell ref="A474:N474"/>
    <mergeCell ref="A434:N434"/>
    <mergeCell ref="A394:N394"/>
    <mergeCell ref="A353:N353"/>
    <mergeCell ref="A313:N313"/>
    <mergeCell ref="A273:N273"/>
    <mergeCell ref="A232:N232"/>
    <mergeCell ref="A657:N657"/>
    <mergeCell ref="A661:A662"/>
    <mergeCell ref="C661:G661"/>
    <mergeCell ref="H661:N661"/>
    <mergeCell ref="A659:N659"/>
    <mergeCell ref="B661:B662"/>
    <mergeCell ref="A617:N617"/>
    <mergeCell ref="A621:A622"/>
    <mergeCell ref="C621:G621"/>
    <mergeCell ref="H621:N621"/>
    <mergeCell ref="A1086:N1086"/>
    <mergeCell ref="A1046:N1046"/>
    <mergeCell ref="A1004:N1004"/>
    <mergeCell ref="A965:N965"/>
    <mergeCell ref="A924:N924"/>
    <mergeCell ref="A677:N677"/>
    <mergeCell ref="A637:N637"/>
    <mergeCell ref="A597:N597"/>
    <mergeCell ref="A556:N556"/>
    <mergeCell ref="A1066:N1066"/>
    <mergeCell ref="A1068:N1068"/>
    <mergeCell ref="A1070:A1071"/>
    <mergeCell ref="B1070:B1071"/>
    <mergeCell ref="C1070:G1070"/>
    <mergeCell ref="H1070:N1070"/>
    <mergeCell ref="A1026:N1026"/>
    <mergeCell ref="A1028:N1028"/>
    <mergeCell ref="A1030:A1031"/>
    <mergeCell ref="B1030:B1031"/>
    <mergeCell ref="C1030:G1030"/>
    <mergeCell ref="H1030:N1030"/>
    <mergeCell ref="A984:N984"/>
    <mergeCell ref="A986:N986"/>
    <mergeCell ref="A988:A989"/>
  </mergeCells>
  <phoneticPr fontId="0" type="noConversion"/>
  <pageMargins left="0.47244094488188981" right="0.11811023622047245" top="0.94488188976377963" bottom="0.47244094488188981" header="0" footer="0.1968503937007874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2:AC79"/>
  <sheetViews>
    <sheetView showGridLines="0" showZeros="0" zoomScaleNormal="100" workbookViewId="0">
      <selection activeCell="W14" sqref="W14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5" width="5.7109375" style="19" customWidth="1"/>
    <col min="6" max="7" width="6.42578125" style="19" bestFit="1" customWidth="1"/>
    <col min="8" max="15" width="5.7109375" style="19" customWidth="1"/>
    <col min="16" max="21" width="19.7109375" style="19" customWidth="1"/>
    <col min="22" max="26" width="10.7109375" style="19" customWidth="1"/>
    <col min="27" max="27" width="8.5703125" style="21" bestFit="1" customWidth="1"/>
    <col min="28" max="16384" width="11.42578125" style="21"/>
  </cols>
  <sheetData>
    <row r="2" spans="1:29" x14ac:dyDescent="0.2">
      <c r="A2" s="159" t="s">
        <v>1350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9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9" x14ac:dyDescent="0.2">
      <c r="A4" s="82"/>
      <c r="B4" s="88"/>
      <c r="C4" s="82"/>
      <c r="D4" s="160">
        <v>2022</v>
      </c>
      <c r="E4" s="160"/>
      <c r="F4" s="160"/>
      <c r="G4" s="160"/>
      <c r="H4" s="160"/>
      <c r="I4" s="160">
        <v>2023</v>
      </c>
      <c r="J4" s="160"/>
      <c r="K4" s="160"/>
      <c r="L4" s="160"/>
      <c r="M4" s="160"/>
      <c r="N4" s="160"/>
      <c r="O4" s="160"/>
      <c r="P4" s="77"/>
      <c r="Q4" s="125"/>
      <c r="R4" s="77"/>
      <c r="S4" s="77"/>
      <c r="T4" s="77"/>
      <c r="U4" s="77"/>
    </row>
    <row r="5" spans="1:29" s="19" customFormat="1" ht="27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82" t="s">
        <v>1353</v>
      </c>
      <c r="AA5" s="28"/>
    </row>
    <row r="6" spans="1:29" x14ac:dyDescent="0.2">
      <c r="A6" s="78"/>
      <c r="B6" s="98"/>
      <c r="C6" s="78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Q6" s="127"/>
      <c r="R6" s="81"/>
      <c r="S6" s="111"/>
      <c r="T6" s="112"/>
      <c r="U6" s="112"/>
      <c r="AA6" s="26"/>
    </row>
    <row r="7" spans="1:29" ht="12.75" customHeight="1" x14ac:dyDescent="0.2">
      <c r="A7" s="78">
        <v>1</v>
      </c>
      <c r="B7" s="99" t="s">
        <v>5</v>
      </c>
      <c r="C7" s="100">
        <v>10705</v>
      </c>
      <c r="D7" s="81">
        <v>1094</v>
      </c>
      <c r="E7" s="81">
        <v>1034</v>
      </c>
      <c r="F7" s="81">
        <v>2589</v>
      </c>
      <c r="G7" s="81">
        <v>4179</v>
      </c>
      <c r="H7" s="81">
        <v>1570</v>
      </c>
      <c r="I7" s="81">
        <v>2</v>
      </c>
      <c r="J7" s="81">
        <v>0</v>
      </c>
      <c r="K7" s="81">
        <v>0</v>
      </c>
      <c r="L7" s="81">
        <v>0</v>
      </c>
      <c r="M7" s="81">
        <v>1</v>
      </c>
      <c r="N7" s="81">
        <v>104</v>
      </c>
      <c r="O7" s="81">
        <v>132</v>
      </c>
      <c r="P7" s="81">
        <v>10824</v>
      </c>
      <c r="Q7" s="127">
        <v>10456</v>
      </c>
      <c r="R7" s="81">
        <f t="shared" ref="R7:R33" si="0">C7-P7</f>
        <v>-119</v>
      </c>
      <c r="S7" s="114">
        <f t="shared" ref="S7:S32" si="1">(C7-P7)/P7</f>
        <v>-1.0994087213599409E-2</v>
      </c>
      <c r="T7" s="114">
        <f t="shared" ref="T7:T33" si="2">C7/$C$34</f>
        <v>0.19673607409993935</v>
      </c>
      <c r="U7" s="114">
        <f t="shared" ref="U7:U33" si="3">P7/$P$34</f>
        <v>0.19777448884503646</v>
      </c>
    </row>
    <row r="8" spans="1:29" ht="12.75" customHeight="1" x14ac:dyDescent="0.2">
      <c r="A8" s="78">
        <v>2</v>
      </c>
      <c r="B8" s="99" t="s">
        <v>190</v>
      </c>
      <c r="C8" s="100">
        <v>7959</v>
      </c>
      <c r="D8" s="81">
        <v>666</v>
      </c>
      <c r="E8" s="81">
        <v>813</v>
      </c>
      <c r="F8" s="81">
        <v>2491</v>
      </c>
      <c r="G8" s="81">
        <v>2526</v>
      </c>
      <c r="H8" s="81">
        <v>891</v>
      </c>
      <c r="I8" s="81">
        <v>28</v>
      </c>
      <c r="J8" s="81">
        <v>0</v>
      </c>
      <c r="K8" s="81">
        <v>0</v>
      </c>
      <c r="L8" s="81">
        <v>0</v>
      </c>
      <c r="M8" s="81">
        <v>1</v>
      </c>
      <c r="N8" s="81">
        <v>229</v>
      </c>
      <c r="O8" s="81">
        <v>314</v>
      </c>
      <c r="P8" s="81">
        <v>8038</v>
      </c>
      <c r="Q8" s="127">
        <v>7930</v>
      </c>
      <c r="R8" s="81">
        <f t="shared" si="0"/>
        <v>-79</v>
      </c>
      <c r="S8" s="114">
        <f t="shared" si="1"/>
        <v>-9.8283155013684995E-3</v>
      </c>
      <c r="T8" s="114">
        <f t="shared" si="2"/>
        <v>0.14627019278481246</v>
      </c>
      <c r="U8" s="114">
        <f t="shared" si="3"/>
        <v>0.14686911874874381</v>
      </c>
      <c r="AC8" s="86"/>
    </row>
    <row r="9" spans="1:29" ht="12.75" customHeight="1" x14ac:dyDescent="0.2">
      <c r="A9" s="78">
        <v>3</v>
      </c>
      <c r="B9" s="99" t="s">
        <v>191</v>
      </c>
      <c r="C9" s="100">
        <v>6335</v>
      </c>
      <c r="D9" s="81">
        <v>1097</v>
      </c>
      <c r="E9" s="81">
        <v>1173</v>
      </c>
      <c r="F9" s="81">
        <v>1805</v>
      </c>
      <c r="G9" s="81">
        <v>1255</v>
      </c>
      <c r="H9" s="81">
        <v>377</v>
      </c>
      <c r="I9" s="81">
        <v>2</v>
      </c>
      <c r="J9" s="81">
        <v>0</v>
      </c>
      <c r="K9" s="81">
        <v>0</v>
      </c>
      <c r="L9" s="81">
        <v>4</v>
      </c>
      <c r="M9" s="81">
        <v>13</v>
      </c>
      <c r="N9" s="81">
        <v>251</v>
      </c>
      <c r="O9" s="81">
        <v>358</v>
      </c>
      <c r="P9" s="81">
        <v>6660</v>
      </c>
      <c r="Q9" s="127">
        <v>6553</v>
      </c>
      <c r="R9" s="81">
        <f t="shared" si="0"/>
        <v>-325</v>
      </c>
      <c r="S9" s="114">
        <f t="shared" si="1"/>
        <v>-4.8798798798798795E-2</v>
      </c>
      <c r="T9" s="114">
        <f t="shared" si="2"/>
        <v>0.11642438387885248</v>
      </c>
      <c r="U9" s="114">
        <f t="shared" si="3"/>
        <v>0.12169051142904128</v>
      </c>
    </row>
    <row r="10" spans="1:29" ht="12.75" customHeight="1" x14ac:dyDescent="0.2">
      <c r="A10" s="78">
        <v>4</v>
      </c>
      <c r="B10" s="99" t="s">
        <v>1</v>
      </c>
      <c r="C10" s="100">
        <v>5763</v>
      </c>
      <c r="D10" s="81">
        <v>0</v>
      </c>
      <c r="E10" s="81">
        <v>40</v>
      </c>
      <c r="F10" s="81">
        <v>415</v>
      </c>
      <c r="G10" s="81">
        <v>2144</v>
      </c>
      <c r="H10" s="81">
        <v>2550</v>
      </c>
      <c r="I10" s="81">
        <v>564</v>
      </c>
      <c r="J10" s="81">
        <v>30</v>
      </c>
      <c r="K10" s="81">
        <v>5</v>
      </c>
      <c r="L10" s="81">
        <v>5</v>
      </c>
      <c r="M10" s="81">
        <v>10</v>
      </c>
      <c r="N10" s="81">
        <v>0</v>
      </c>
      <c r="O10" s="81">
        <v>0</v>
      </c>
      <c r="P10" s="81">
        <v>5913</v>
      </c>
      <c r="Q10" s="127">
        <v>5895</v>
      </c>
      <c r="R10" s="81">
        <f t="shared" si="0"/>
        <v>-150</v>
      </c>
      <c r="S10" s="114">
        <f t="shared" si="1"/>
        <v>-2.5367833587011668E-2</v>
      </c>
      <c r="T10" s="114">
        <f t="shared" si="2"/>
        <v>0.10591219010163012</v>
      </c>
      <c r="U10" s="114">
        <f t="shared" si="3"/>
        <v>0.1080414405525407</v>
      </c>
    </row>
    <row r="11" spans="1:29" ht="12.75" customHeight="1" x14ac:dyDescent="0.2">
      <c r="A11" s="78">
        <v>5</v>
      </c>
      <c r="B11" s="99" t="s">
        <v>189</v>
      </c>
      <c r="C11" s="100">
        <v>4873</v>
      </c>
      <c r="D11" s="81">
        <v>0</v>
      </c>
      <c r="E11" s="81">
        <v>286</v>
      </c>
      <c r="F11" s="81">
        <v>1806</v>
      </c>
      <c r="G11" s="81">
        <v>2103</v>
      </c>
      <c r="H11" s="81">
        <v>623</v>
      </c>
      <c r="I11" s="81">
        <v>50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5</v>
      </c>
      <c r="P11" s="81">
        <v>4901</v>
      </c>
      <c r="Q11" s="127">
        <v>4886</v>
      </c>
      <c r="R11" s="81">
        <f t="shared" si="0"/>
        <v>-28</v>
      </c>
      <c r="S11" s="114">
        <f t="shared" si="1"/>
        <v>-5.7131197714752092E-3</v>
      </c>
      <c r="T11" s="114">
        <f t="shared" si="2"/>
        <v>8.9555804679028905E-2</v>
      </c>
      <c r="U11" s="114">
        <f t="shared" si="3"/>
        <v>8.9550329806866558E-2</v>
      </c>
    </row>
    <row r="12" spans="1:29" ht="12.75" customHeight="1" x14ac:dyDescent="0.2">
      <c r="A12" s="78">
        <v>6</v>
      </c>
      <c r="B12" s="99" t="s">
        <v>192</v>
      </c>
      <c r="C12" s="100">
        <v>4061</v>
      </c>
      <c r="D12" s="81">
        <v>0</v>
      </c>
      <c r="E12" s="81">
        <v>21</v>
      </c>
      <c r="F12" s="81">
        <v>751</v>
      </c>
      <c r="G12" s="81">
        <v>1361</v>
      </c>
      <c r="H12" s="81">
        <v>1486</v>
      </c>
      <c r="I12" s="81">
        <v>442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4260</v>
      </c>
      <c r="Q12" s="127">
        <v>4234</v>
      </c>
      <c r="R12" s="81">
        <f t="shared" si="0"/>
        <v>-199</v>
      </c>
      <c r="S12" s="114">
        <f t="shared" si="1"/>
        <v>-4.6713615023474181E-2</v>
      </c>
      <c r="T12" s="114">
        <f t="shared" si="2"/>
        <v>7.4632900226048918E-2</v>
      </c>
      <c r="U12" s="114">
        <f t="shared" si="3"/>
        <v>7.7838074878035415E-2</v>
      </c>
    </row>
    <row r="13" spans="1:29" ht="12.75" customHeight="1" x14ac:dyDescent="0.2">
      <c r="A13" s="78">
        <v>7</v>
      </c>
      <c r="B13" s="99" t="s">
        <v>193</v>
      </c>
      <c r="C13" s="100">
        <v>3417</v>
      </c>
      <c r="D13" s="81">
        <v>43</v>
      </c>
      <c r="E13" s="81">
        <v>319</v>
      </c>
      <c r="F13" s="81">
        <v>1229</v>
      </c>
      <c r="G13" s="81">
        <v>1421</v>
      </c>
      <c r="H13" s="81">
        <v>366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17</v>
      </c>
      <c r="O13" s="81">
        <v>22</v>
      </c>
      <c r="P13" s="81">
        <v>3142</v>
      </c>
      <c r="Q13" s="127">
        <v>3102</v>
      </c>
      <c r="R13" s="81">
        <f t="shared" si="0"/>
        <v>275</v>
      </c>
      <c r="S13" s="114">
        <f t="shared" si="1"/>
        <v>8.752387014640356E-2</v>
      </c>
      <c r="T13" s="114">
        <f t="shared" si="2"/>
        <v>6.2797493246099276E-2</v>
      </c>
      <c r="U13" s="114">
        <f t="shared" si="3"/>
        <v>5.7410148184691846E-2</v>
      </c>
    </row>
    <row r="14" spans="1:29" ht="12.75" customHeight="1" x14ac:dyDescent="0.2">
      <c r="A14" s="78">
        <v>8</v>
      </c>
      <c r="B14" s="99" t="s">
        <v>3</v>
      </c>
      <c r="C14" s="100">
        <v>2625</v>
      </c>
      <c r="D14" s="81">
        <v>0</v>
      </c>
      <c r="E14" s="81">
        <v>194</v>
      </c>
      <c r="F14" s="81">
        <v>1071</v>
      </c>
      <c r="G14" s="81">
        <v>1086</v>
      </c>
      <c r="H14" s="81">
        <v>249</v>
      </c>
      <c r="I14" s="81">
        <v>15</v>
      </c>
      <c r="J14" s="81">
        <v>0</v>
      </c>
      <c r="K14" s="81">
        <v>0</v>
      </c>
      <c r="L14" s="81">
        <v>0</v>
      </c>
      <c r="M14" s="81">
        <v>4</v>
      </c>
      <c r="N14" s="81">
        <v>6</v>
      </c>
      <c r="O14" s="81">
        <v>0</v>
      </c>
      <c r="P14" s="81">
        <v>2653</v>
      </c>
      <c r="Q14" s="127">
        <v>2624</v>
      </c>
      <c r="R14" s="81">
        <f t="shared" si="0"/>
        <v>-28</v>
      </c>
      <c r="S14" s="114">
        <f t="shared" si="1"/>
        <v>-1.0554089709762533E-2</v>
      </c>
      <c r="T14" s="114">
        <f t="shared" si="2"/>
        <v>4.8242148016099093E-2</v>
      </c>
      <c r="U14" s="114">
        <f t="shared" si="3"/>
        <v>4.8475214237424402E-2</v>
      </c>
    </row>
    <row r="15" spans="1:29" ht="12.75" customHeight="1" x14ac:dyDescent="0.2">
      <c r="A15" s="78">
        <v>9</v>
      </c>
      <c r="B15" s="99" t="s">
        <v>0</v>
      </c>
      <c r="C15" s="100">
        <v>2573</v>
      </c>
      <c r="D15" s="81">
        <v>0</v>
      </c>
      <c r="E15" s="81">
        <v>57</v>
      </c>
      <c r="F15" s="81">
        <v>605</v>
      </c>
      <c r="G15" s="81">
        <v>1030</v>
      </c>
      <c r="H15" s="81">
        <v>760</v>
      </c>
      <c r="I15" s="81">
        <v>98</v>
      </c>
      <c r="J15" s="81">
        <v>0</v>
      </c>
      <c r="K15" s="81">
        <v>6</v>
      </c>
      <c r="L15" s="81">
        <v>6</v>
      </c>
      <c r="M15" s="81">
        <v>1</v>
      </c>
      <c r="N15" s="81">
        <v>8</v>
      </c>
      <c r="O15" s="81">
        <v>2</v>
      </c>
      <c r="P15" s="81">
        <v>2547</v>
      </c>
      <c r="Q15" s="127">
        <v>2556</v>
      </c>
      <c r="R15" s="81">
        <f t="shared" si="0"/>
        <v>26</v>
      </c>
      <c r="S15" s="114">
        <f t="shared" si="1"/>
        <v>1.0208087946603848E-2</v>
      </c>
      <c r="T15" s="114">
        <f t="shared" si="2"/>
        <v>4.7286494036351608E-2</v>
      </c>
      <c r="U15" s="114">
        <f t="shared" si="3"/>
        <v>4.6538398289754972E-2</v>
      </c>
    </row>
    <row r="16" spans="1:29" ht="12.75" customHeight="1" x14ac:dyDescent="0.2">
      <c r="A16" s="78">
        <v>10</v>
      </c>
      <c r="B16" s="99" t="s">
        <v>194</v>
      </c>
      <c r="C16" s="100">
        <v>1117</v>
      </c>
      <c r="D16" s="81">
        <v>310</v>
      </c>
      <c r="E16" s="81">
        <v>265</v>
      </c>
      <c r="F16" s="81">
        <v>157</v>
      </c>
      <c r="G16" s="81">
        <v>73</v>
      </c>
      <c r="H16" s="81">
        <v>21</v>
      </c>
      <c r="I16" s="81">
        <v>0</v>
      </c>
      <c r="J16" s="81">
        <v>17</v>
      </c>
      <c r="K16" s="81">
        <v>22</v>
      </c>
      <c r="L16" s="81">
        <v>14</v>
      </c>
      <c r="M16" s="81">
        <v>5</v>
      </c>
      <c r="N16" s="81">
        <v>102</v>
      </c>
      <c r="O16" s="81">
        <v>131</v>
      </c>
      <c r="P16" s="81">
        <v>1039</v>
      </c>
      <c r="Q16" s="127">
        <v>1088</v>
      </c>
      <c r="R16" s="81">
        <f t="shared" si="0"/>
        <v>78</v>
      </c>
      <c r="S16" s="114">
        <f t="shared" si="1"/>
        <v>7.5072184793070262E-2</v>
      </c>
      <c r="T16" s="114">
        <f t="shared" si="2"/>
        <v>2.0528182603421978E-2</v>
      </c>
      <c r="U16" s="114">
        <f t="shared" si="3"/>
        <v>1.8984450656872955E-2</v>
      </c>
    </row>
    <row r="17" spans="1:21" ht="12.75" customHeight="1" x14ac:dyDescent="0.2">
      <c r="A17" s="78">
        <v>11</v>
      </c>
      <c r="B17" s="99" t="s">
        <v>4</v>
      </c>
      <c r="C17" s="100">
        <v>1108</v>
      </c>
      <c r="D17" s="81">
        <v>0</v>
      </c>
      <c r="E17" s="81">
        <v>75</v>
      </c>
      <c r="F17" s="81">
        <v>414</v>
      </c>
      <c r="G17" s="81">
        <v>500</v>
      </c>
      <c r="H17" s="81">
        <v>115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2</v>
      </c>
      <c r="O17" s="81">
        <v>2</v>
      </c>
      <c r="P17" s="81">
        <v>1077</v>
      </c>
      <c r="Q17" s="127">
        <v>1063</v>
      </c>
      <c r="R17" s="81">
        <f t="shared" si="0"/>
        <v>31</v>
      </c>
      <c r="S17" s="114">
        <f t="shared" si="1"/>
        <v>2.8783658310120707E-2</v>
      </c>
      <c r="T17" s="114">
        <f t="shared" si="2"/>
        <v>2.0362780953081066E-2</v>
      </c>
      <c r="U17" s="114">
        <f t="shared" si="3"/>
        <v>1.9678780902263882E-2</v>
      </c>
    </row>
    <row r="18" spans="1:21" ht="12.75" customHeight="1" x14ac:dyDescent="0.2">
      <c r="A18" s="78">
        <v>12</v>
      </c>
      <c r="B18" s="99" t="s">
        <v>195</v>
      </c>
      <c r="C18" s="100">
        <v>1007</v>
      </c>
      <c r="D18" s="81">
        <v>279</v>
      </c>
      <c r="E18" s="81">
        <v>238</v>
      </c>
      <c r="F18" s="81">
        <v>117</v>
      </c>
      <c r="G18" s="81">
        <v>37</v>
      </c>
      <c r="H18" s="81">
        <v>16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120</v>
      </c>
      <c r="O18" s="81">
        <v>200</v>
      </c>
      <c r="P18" s="81">
        <v>979</v>
      </c>
      <c r="Q18" s="127">
        <v>949</v>
      </c>
      <c r="R18" s="81">
        <f t="shared" si="0"/>
        <v>28</v>
      </c>
      <c r="S18" s="114">
        <f t="shared" si="1"/>
        <v>2.8600612870275793E-2</v>
      </c>
      <c r="T18" s="114">
        <f t="shared" si="2"/>
        <v>1.8506606877033063E-2</v>
      </c>
      <c r="U18" s="114">
        <f t="shared" si="3"/>
        <v>1.788813974309781E-2</v>
      </c>
    </row>
    <row r="19" spans="1:21" ht="12.75" customHeight="1" x14ac:dyDescent="0.2">
      <c r="A19" s="78">
        <v>13</v>
      </c>
      <c r="B19" s="99" t="s">
        <v>196</v>
      </c>
      <c r="C19" s="100">
        <v>788</v>
      </c>
      <c r="D19" s="81">
        <v>262</v>
      </c>
      <c r="E19" s="81">
        <v>211</v>
      </c>
      <c r="F19" s="81">
        <v>57</v>
      </c>
      <c r="G19" s="81">
        <v>20</v>
      </c>
      <c r="H19" s="81">
        <v>13</v>
      </c>
      <c r="I19" s="81">
        <v>0</v>
      </c>
      <c r="J19" s="81">
        <v>0</v>
      </c>
      <c r="K19" s="81">
        <v>1</v>
      </c>
      <c r="L19" s="81">
        <v>2</v>
      </c>
      <c r="M19" s="81">
        <v>6</v>
      </c>
      <c r="N19" s="81">
        <v>92</v>
      </c>
      <c r="O19" s="81">
        <v>124</v>
      </c>
      <c r="P19" s="81">
        <v>799</v>
      </c>
      <c r="Q19" s="127">
        <v>718</v>
      </c>
      <c r="R19" s="81">
        <f t="shared" si="0"/>
        <v>-11</v>
      </c>
      <c r="S19" s="114">
        <f t="shared" si="1"/>
        <v>-1.3767209011264081E-2</v>
      </c>
      <c r="T19" s="114">
        <f t="shared" si="2"/>
        <v>1.4481833385404224E-2</v>
      </c>
      <c r="U19" s="114">
        <f t="shared" si="3"/>
        <v>1.459920700177237E-2</v>
      </c>
    </row>
    <row r="20" spans="1:21" ht="12.75" customHeight="1" x14ac:dyDescent="0.2">
      <c r="A20" s="78">
        <v>14</v>
      </c>
      <c r="B20" s="99" t="s">
        <v>174</v>
      </c>
      <c r="C20" s="100">
        <v>692</v>
      </c>
      <c r="D20" s="81">
        <v>0</v>
      </c>
      <c r="E20" s="81">
        <v>67</v>
      </c>
      <c r="F20" s="81">
        <v>264</v>
      </c>
      <c r="G20" s="81">
        <v>294</v>
      </c>
      <c r="H20" s="81">
        <v>67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656</v>
      </c>
      <c r="Q20" s="127">
        <v>649</v>
      </c>
      <c r="R20" s="81">
        <f t="shared" si="0"/>
        <v>36</v>
      </c>
      <c r="S20" s="114">
        <f t="shared" si="1"/>
        <v>5.4878048780487805E-2</v>
      </c>
      <c r="T20" s="114">
        <f t="shared" si="2"/>
        <v>1.2717549115101172E-2</v>
      </c>
      <c r="U20" s="114">
        <f t="shared" si="3"/>
        <v>1.1986332657274936E-2</v>
      </c>
    </row>
    <row r="21" spans="1:21" ht="12.75" customHeight="1" x14ac:dyDescent="0.2">
      <c r="A21" s="78">
        <v>15</v>
      </c>
      <c r="B21" s="99" t="s">
        <v>173</v>
      </c>
      <c r="C21" s="100">
        <v>658</v>
      </c>
      <c r="D21" s="81">
        <v>2</v>
      </c>
      <c r="E21" s="81">
        <v>54</v>
      </c>
      <c r="F21" s="81">
        <v>264</v>
      </c>
      <c r="G21" s="81">
        <v>275</v>
      </c>
      <c r="H21" s="81">
        <v>63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619</v>
      </c>
      <c r="Q21" s="127">
        <v>610</v>
      </c>
      <c r="R21" s="81">
        <f t="shared" si="0"/>
        <v>39</v>
      </c>
      <c r="S21" s="114">
        <f t="shared" si="1"/>
        <v>6.3004846526655903E-2</v>
      </c>
      <c r="T21" s="114">
        <f t="shared" si="2"/>
        <v>1.2092698436035507E-2</v>
      </c>
      <c r="U21" s="114">
        <f t="shared" si="3"/>
        <v>1.131027426044693E-2</v>
      </c>
    </row>
    <row r="22" spans="1:21" ht="12.75" customHeight="1" x14ac:dyDescent="0.2">
      <c r="A22" s="78">
        <v>16</v>
      </c>
      <c r="B22" s="99" t="s">
        <v>2</v>
      </c>
      <c r="C22" s="100">
        <v>224</v>
      </c>
      <c r="D22" s="81">
        <v>0</v>
      </c>
      <c r="E22" s="81">
        <v>0</v>
      </c>
      <c r="F22" s="81">
        <v>42</v>
      </c>
      <c r="G22" s="81">
        <v>121</v>
      </c>
      <c r="H22" s="81">
        <v>51</v>
      </c>
      <c r="I22" s="81">
        <v>0</v>
      </c>
      <c r="J22" s="81">
        <v>0</v>
      </c>
      <c r="K22" s="81">
        <v>1</v>
      </c>
      <c r="L22" s="81">
        <v>6</v>
      </c>
      <c r="M22" s="81">
        <v>3</v>
      </c>
      <c r="N22" s="81">
        <v>0</v>
      </c>
      <c r="O22" s="81">
        <v>0</v>
      </c>
      <c r="P22" s="81">
        <v>212</v>
      </c>
      <c r="Q22" s="127">
        <v>215</v>
      </c>
      <c r="R22" s="81">
        <f t="shared" si="0"/>
        <v>12</v>
      </c>
      <c r="S22" s="114">
        <f t="shared" si="1"/>
        <v>5.6603773584905662E-2</v>
      </c>
      <c r="T22" s="114">
        <f t="shared" si="2"/>
        <v>4.1166632973737892E-3</v>
      </c>
      <c r="U22" s="114">
        <f t="shared" si="3"/>
        <v>3.8736318953388514E-3</v>
      </c>
    </row>
    <row r="23" spans="1:21" ht="12.75" customHeight="1" x14ac:dyDescent="0.2">
      <c r="A23" s="78">
        <v>17</v>
      </c>
      <c r="B23" s="99" t="s">
        <v>7</v>
      </c>
      <c r="C23" s="100">
        <v>85</v>
      </c>
      <c r="D23" s="81">
        <v>8</v>
      </c>
      <c r="E23" s="81">
        <v>17</v>
      </c>
      <c r="F23" s="81">
        <v>21</v>
      </c>
      <c r="G23" s="81">
        <v>17</v>
      </c>
      <c r="H23" s="81">
        <v>13</v>
      </c>
      <c r="I23" s="81">
        <v>3</v>
      </c>
      <c r="J23" s="81">
        <v>0</v>
      </c>
      <c r="K23" s="81">
        <v>3</v>
      </c>
      <c r="L23" s="81">
        <v>0</v>
      </c>
      <c r="M23" s="81">
        <v>1</v>
      </c>
      <c r="N23" s="81">
        <v>0</v>
      </c>
      <c r="O23" s="81">
        <v>2</v>
      </c>
      <c r="P23" s="81">
        <v>74</v>
      </c>
      <c r="Q23" s="127">
        <v>68</v>
      </c>
      <c r="R23" s="81">
        <f t="shared" si="0"/>
        <v>11</v>
      </c>
      <c r="S23" s="114">
        <f t="shared" si="1"/>
        <v>0.14864864864864866</v>
      </c>
      <c r="T23" s="114">
        <f t="shared" si="2"/>
        <v>1.5621266976641611E-3</v>
      </c>
      <c r="U23" s="114">
        <f t="shared" si="3"/>
        <v>1.3521167936560142E-3</v>
      </c>
    </row>
    <row r="24" spans="1:21" ht="12.75" customHeight="1" x14ac:dyDescent="0.2">
      <c r="A24" s="78">
        <v>18</v>
      </c>
      <c r="B24" s="99" t="s">
        <v>175</v>
      </c>
      <c r="C24" s="100">
        <v>83</v>
      </c>
      <c r="D24" s="81">
        <v>10</v>
      </c>
      <c r="E24" s="81">
        <v>15</v>
      </c>
      <c r="F24" s="81">
        <v>14</v>
      </c>
      <c r="G24" s="81">
        <v>20</v>
      </c>
      <c r="H24" s="81">
        <v>15</v>
      </c>
      <c r="I24" s="81">
        <v>6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3</v>
      </c>
      <c r="P24" s="81">
        <v>85</v>
      </c>
      <c r="Q24" s="127">
        <v>80</v>
      </c>
      <c r="R24" s="81">
        <f t="shared" si="0"/>
        <v>-2</v>
      </c>
      <c r="S24" s="114">
        <f t="shared" si="1"/>
        <v>-2.3529411764705882E-2</v>
      </c>
      <c r="T24" s="114">
        <f t="shared" si="2"/>
        <v>1.5253707753661808E-3</v>
      </c>
      <c r="U24" s="114">
        <f t="shared" si="3"/>
        <v>1.5531071278481244E-3</v>
      </c>
    </row>
    <row r="25" spans="1:21" ht="12.75" customHeight="1" x14ac:dyDescent="0.2">
      <c r="A25" s="78">
        <v>19</v>
      </c>
      <c r="B25" s="99" t="s">
        <v>200</v>
      </c>
      <c r="C25" s="100">
        <v>77</v>
      </c>
      <c r="D25" s="81">
        <v>13</v>
      </c>
      <c r="E25" s="81">
        <v>16</v>
      </c>
      <c r="F25" s="81">
        <v>7</v>
      </c>
      <c r="G25" s="81">
        <v>6</v>
      </c>
      <c r="H25" s="81">
        <v>2</v>
      </c>
      <c r="I25" s="81">
        <v>10</v>
      </c>
      <c r="J25" s="81">
        <v>11</v>
      </c>
      <c r="K25" s="81">
        <v>3</v>
      </c>
      <c r="L25" s="81">
        <v>2</v>
      </c>
      <c r="M25" s="81">
        <v>1</v>
      </c>
      <c r="N25" s="81">
        <v>1</v>
      </c>
      <c r="O25" s="81">
        <v>5</v>
      </c>
      <c r="P25" s="81">
        <v>78</v>
      </c>
      <c r="Q25" s="127">
        <v>63</v>
      </c>
      <c r="R25" s="81">
        <f t="shared" si="0"/>
        <v>-1</v>
      </c>
      <c r="S25" s="114">
        <f t="shared" si="1"/>
        <v>-1.282051282051282E-2</v>
      </c>
      <c r="T25" s="114">
        <f t="shared" si="2"/>
        <v>1.4151030084722401E-3</v>
      </c>
      <c r="U25" s="114">
        <f t="shared" si="3"/>
        <v>1.4252041879076907E-3</v>
      </c>
    </row>
    <row r="26" spans="1:21" ht="12.75" customHeight="1" x14ac:dyDescent="0.2">
      <c r="A26" s="78">
        <v>20</v>
      </c>
      <c r="B26" s="99" t="s">
        <v>6</v>
      </c>
      <c r="C26" s="100">
        <v>64</v>
      </c>
      <c r="D26" s="81">
        <v>0</v>
      </c>
      <c r="E26" s="81">
        <v>10</v>
      </c>
      <c r="F26" s="81">
        <v>5</v>
      </c>
      <c r="G26" s="81">
        <v>5</v>
      </c>
      <c r="H26" s="81">
        <v>9</v>
      </c>
      <c r="I26" s="81">
        <v>3</v>
      </c>
      <c r="J26" s="81">
        <v>14</v>
      </c>
      <c r="K26" s="81">
        <v>1</v>
      </c>
      <c r="L26" s="81">
        <v>7</v>
      </c>
      <c r="M26" s="81">
        <v>4</v>
      </c>
      <c r="N26" s="81">
        <v>0</v>
      </c>
      <c r="O26" s="81">
        <v>6</v>
      </c>
      <c r="P26" s="81">
        <v>49</v>
      </c>
      <c r="Q26" s="127">
        <v>56</v>
      </c>
      <c r="R26" s="81">
        <f t="shared" si="0"/>
        <v>15</v>
      </c>
      <c r="S26" s="114">
        <f t="shared" si="1"/>
        <v>0.30612244897959184</v>
      </c>
      <c r="T26" s="114">
        <f t="shared" si="2"/>
        <v>1.1761895135353683E-3</v>
      </c>
      <c r="U26" s="114">
        <f t="shared" si="3"/>
        <v>8.9532057958303642E-4</v>
      </c>
    </row>
    <row r="27" spans="1:21" ht="12.75" customHeight="1" x14ac:dyDescent="0.2">
      <c r="A27" s="78">
        <v>21</v>
      </c>
      <c r="B27" s="99" t="s">
        <v>197</v>
      </c>
      <c r="C27" s="100">
        <v>53</v>
      </c>
      <c r="D27" s="81">
        <v>6</v>
      </c>
      <c r="E27" s="81">
        <v>10</v>
      </c>
      <c r="F27" s="81">
        <v>10</v>
      </c>
      <c r="G27" s="81">
        <v>11</v>
      </c>
      <c r="H27" s="81">
        <v>11</v>
      </c>
      <c r="I27" s="81">
        <v>0</v>
      </c>
      <c r="J27" s="81">
        <v>0</v>
      </c>
      <c r="K27" s="81">
        <v>0</v>
      </c>
      <c r="L27" s="81">
        <v>1</v>
      </c>
      <c r="M27" s="81">
        <v>3</v>
      </c>
      <c r="N27" s="81">
        <v>1</v>
      </c>
      <c r="O27" s="81">
        <v>0</v>
      </c>
      <c r="P27" s="81">
        <v>28</v>
      </c>
      <c r="Q27" s="127">
        <v>30</v>
      </c>
      <c r="R27" s="81">
        <f t="shared" si="0"/>
        <v>25</v>
      </c>
      <c r="S27" s="114">
        <f t="shared" si="1"/>
        <v>0.8928571428571429</v>
      </c>
      <c r="T27" s="114">
        <f t="shared" si="2"/>
        <v>9.7403194089647693E-4</v>
      </c>
      <c r="U27" s="114">
        <f t="shared" si="3"/>
        <v>5.1161175976173511E-4</v>
      </c>
    </row>
    <row r="28" spans="1:21" ht="12.75" customHeight="1" x14ac:dyDescent="0.2">
      <c r="A28" s="78">
        <v>22</v>
      </c>
      <c r="B28" s="99" t="s">
        <v>198</v>
      </c>
      <c r="C28" s="100">
        <v>49</v>
      </c>
      <c r="D28" s="81">
        <v>0</v>
      </c>
      <c r="E28" s="81">
        <v>0</v>
      </c>
      <c r="F28" s="81">
        <v>0</v>
      </c>
      <c r="G28" s="81">
        <v>5</v>
      </c>
      <c r="H28" s="81">
        <v>15</v>
      </c>
      <c r="I28" s="81">
        <v>22</v>
      </c>
      <c r="J28" s="81">
        <v>3</v>
      </c>
      <c r="K28" s="81">
        <v>4</v>
      </c>
      <c r="L28" s="81">
        <v>0</v>
      </c>
      <c r="M28" s="81">
        <v>0</v>
      </c>
      <c r="N28" s="81">
        <v>0</v>
      </c>
      <c r="O28" s="81">
        <v>0</v>
      </c>
      <c r="P28" s="81">
        <v>12</v>
      </c>
      <c r="Q28" s="127">
        <v>14</v>
      </c>
      <c r="R28" s="81">
        <f t="shared" si="0"/>
        <v>37</v>
      </c>
      <c r="S28" s="114">
        <f t="shared" si="1"/>
        <v>3.0833333333333335</v>
      </c>
      <c r="T28" s="114">
        <f t="shared" si="2"/>
        <v>9.0052009630051642E-4</v>
      </c>
      <c r="U28" s="114">
        <f t="shared" si="3"/>
        <v>2.1926218275502933E-4</v>
      </c>
    </row>
    <row r="29" spans="1:21" ht="12.75" customHeight="1" x14ac:dyDescent="0.2">
      <c r="A29" s="78">
        <v>23</v>
      </c>
      <c r="B29" s="99" t="s">
        <v>199</v>
      </c>
      <c r="C29" s="100">
        <v>37</v>
      </c>
      <c r="D29" s="81">
        <v>3</v>
      </c>
      <c r="E29" s="81">
        <v>3</v>
      </c>
      <c r="F29" s="81">
        <v>12</v>
      </c>
      <c r="G29" s="81">
        <v>15</v>
      </c>
      <c r="H29" s="81">
        <v>4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  <c r="O29" s="81">
        <v>0</v>
      </c>
      <c r="P29" s="81">
        <v>28</v>
      </c>
      <c r="Q29" s="127">
        <v>28</v>
      </c>
      <c r="R29" s="81">
        <f t="shared" si="0"/>
        <v>9</v>
      </c>
      <c r="S29" s="114">
        <f t="shared" si="1"/>
        <v>0.32142857142857145</v>
      </c>
      <c r="T29" s="114">
        <f t="shared" si="2"/>
        <v>6.799845625126349E-4</v>
      </c>
      <c r="U29" s="114">
        <f t="shared" si="3"/>
        <v>5.1161175976173511E-4</v>
      </c>
    </row>
    <row r="30" spans="1:21" ht="12.75" customHeight="1" x14ac:dyDescent="0.2">
      <c r="A30" s="78">
        <v>24</v>
      </c>
      <c r="B30" s="99" t="s">
        <v>8</v>
      </c>
      <c r="C30" s="100">
        <v>23</v>
      </c>
      <c r="D30" s="81">
        <v>4</v>
      </c>
      <c r="E30" s="81">
        <v>3</v>
      </c>
      <c r="F30" s="81">
        <v>3</v>
      </c>
      <c r="G30" s="81">
        <v>10</v>
      </c>
      <c r="H30" s="81">
        <v>3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19</v>
      </c>
      <c r="Q30" s="127">
        <v>22</v>
      </c>
      <c r="R30" s="81">
        <f t="shared" si="0"/>
        <v>4</v>
      </c>
      <c r="S30" s="114">
        <f t="shared" si="1"/>
        <v>0.21052631578947367</v>
      </c>
      <c r="T30" s="114">
        <f t="shared" si="2"/>
        <v>4.2269310642677302E-4</v>
      </c>
      <c r="U30" s="114">
        <f t="shared" si="3"/>
        <v>3.4716512269546308E-4</v>
      </c>
    </row>
    <row r="31" spans="1:21" ht="12.75" customHeight="1" x14ac:dyDescent="0.2">
      <c r="A31" s="78">
        <v>25</v>
      </c>
      <c r="B31" s="99" t="s">
        <v>61</v>
      </c>
      <c r="C31" s="100">
        <v>20</v>
      </c>
      <c r="D31" s="81">
        <v>0</v>
      </c>
      <c r="E31" s="81">
        <v>6</v>
      </c>
      <c r="F31" s="81">
        <v>0</v>
      </c>
      <c r="G31" s="81">
        <v>0</v>
      </c>
      <c r="H31" s="81">
        <v>2</v>
      </c>
      <c r="I31" s="81">
        <v>5</v>
      </c>
      <c r="J31" s="81">
        <v>0</v>
      </c>
      <c r="K31" s="81">
        <v>0</v>
      </c>
      <c r="L31" s="81">
        <v>0</v>
      </c>
      <c r="M31" s="81">
        <v>7</v>
      </c>
      <c r="N31" s="81">
        <v>0</v>
      </c>
      <c r="O31" s="81">
        <v>0</v>
      </c>
      <c r="P31" s="81">
        <v>19</v>
      </c>
      <c r="Q31" s="127">
        <v>36</v>
      </c>
      <c r="R31" s="81">
        <f t="shared" si="0"/>
        <v>1</v>
      </c>
      <c r="S31" s="114">
        <f t="shared" si="1"/>
        <v>5.2631578947368418E-2</v>
      </c>
      <c r="T31" s="114">
        <f t="shared" si="2"/>
        <v>3.6755922297980264E-4</v>
      </c>
      <c r="U31" s="114">
        <f t="shared" si="3"/>
        <v>3.4716512269546308E-4</v>
      </c>
    </row>
    <row r="32" spans="1:21" ht="12.75" customHeight="1" x14ac:dyDescent="0.2">
      <c r="A32" s="78">
        <v>26</v>
      </c>
      <c r="B32" s="99" t="s">
        <v>201</v>
      </c>
      <c r="C32" s="100">
        <v>17</v>
      </c>
      <c r="D32" s="81">
        <v>0</v>
      </c>
      <c r="E32" s="81">
        <v>4</v>
      </c>
      <c r="F32" s="81">
        <v>2</v>
      </c>
      <c r="G32" s="81">
        <v>2</v>
      </c>
      <c r="H32" s="81">
        <v>4</v>
      </c>
      <c r="I32" s="81">
        <v>0</v>
      </c>
      <c r="J32" s="81">
        <v>1</v>
      </c>
      <c r="K32" s="81">
        <v>0</v>
      </c>
      <c r="L32" s="81">
        <v>2</v>
      </c>
      <c r="M32" s="81">
        <v>2</v>
      </c>
      <c r="N32" s="81">
        <v>0</v>
      </c>
      <c r="O32" s="81">
        <v>0</v>
      </c>
      <c r="P32" s="81">
        <v>18</v>
      </c>
      <c r="Q32" s="127">
        <v>17</v>
      </c>
      <c r="R32" s="81">
        <f t="shared" si="0"/>
        <v>-1</v>
      </c>
      <c r="S32" s="114">
        <f t="shared" si="1"/>
        <v>-5.5555555555555552E-2</v>
      </c>
      <c r="T32" s="114">
        <f t="shared" si="2"/>
        <v>3.1242533953283221E-4</v>
      </c>
      <c r="U32" s="114">
        <f t="shared" si="3"/>
        <v>3.28893274132544E-4</v>
      </c>
    </row>
    <row r="33" spans="1:26" ht="12.75" customHeight="1" x14ac:dyDescent="0.2">
      <c r="A33" s="78"/>
      <c r="B33" s="99"/>
      <c r="C33" s="10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27"/>
      <c r="R33" s="81">
        <f t="shared" si="0"/>
        <v>0</v>
      </c>
      <c r="S33" s="112"/>
      <c r="T33" s="112">
        <f t="shared" si="2"/>
        <v>0</v>
      </c>
      <c r="U33" s="112">
        <f t="shared" si="3"/>
        <v>0</v>
      </c>
    </row>
    <row r="34" spans="1:26" ht="16.5" customHeight="1" x14ac:dyDescent="0.2">
      <c r="A34" s="84" t="s">
        <v>1349</v>
      </c>
      <c r="B34" s="101"/>
      <c r="C34" s="102">
        <f>SUBTOTAL(109,Tabla3[ENIS 2022-2023])</f>
        <v>54413</v>
      </c>
      <c r="D34" s="85">
        <f>SUBTOTAL(109,Tabla3[AGO])</f>
        <v>3797</v>
      </c>
      <c r="E34" s="85">
        <f>SUBTOTAL(109,Tabla3[SEP])</f>
        <v>4931</v>
      </c>
      <c r="F34" s="85">
        <f>SUBTOTAL(109,Tabla3[OCT])</f>
        <v>14151</v>
      </c>
      <c r="G34" s="85">
        <f>SUBTOTAL(109,Tabla3[NOV])</f>
        <v>18516</v>
      </c>
      <c r="H34" s="85">
        <f>SUBTOTAL(109,Tabla3[DIC])</f>
        <v>9296</v>
      </c>
      <c r="I34" s="85">
        <f>SUBTOTAL(109,Tabla3[ENE])</f>
        <v>1250</v>
      </c>
      <c r="J34" s="85">
        <f>SUBTOTAL(109,Tabla3[FEB])</f>
        <v>76</v>
      </c>
      <c r="K34" s="85">
        <f>SUBTOTAL(109,Tabla3[MAR])</f>
        <v>46</v>
      </c>
      <c r="L34" s="85">
        <f>SUBTOTAL(109,Tabla3[ABR])</f>
        <v>49</v>
      </c>
      <c r="M34" s="85">
        <f>SUBTOTAL(109,Tabla3[MAY])</f>
        <v>62</v>
      </c>
      <c r="N34" s="85">
        <f>SUBTOTAL(109,Tabla3[JUN])</f>
        <v>933</v>
      </c>
      <c r="O34" s="85">
        <f>SUBTOTAL(109,Tabla3[JUL])</f>
        <v>1306</v>
      </c>
      <c r="P34" s="85">
        <f>SUBTOTAL(109,Tabla3[SUPERFICIE SEMBRADA 2021-2022])</f>
        <v>54729</v>
      </c>
      <c r="Q34" s="128">
        <f>SUBTOTAL(109,Tabla3[ENIS 2021-2022])</f>
        <v>53942</v>
      </c>
      <c r="R34" s="85">
        <f>SUBTOTAL(109,Tabla3[DIF.])</f>
        <v>-316</v>
      </c>
      <c r="S34" s="110">
        <f>(C34-P34)/P34</f>
        <v>-5.7739041458824388E-3</v>
      </c>
      <c r="T34" s="113">
        <f>SUBTOTAL(109,Tabla3[% ENIS])</f>
        <v>1</v>
      </c>
      <c r="U34" s="113">
        <f>SUBTOTAL(109,Tabla3[%  SUP SEMB])</f>
        <v>1</v>
      </c>
      <c r="V34" s="56"/>
      <c r="W34" s="34"/>
      <c r="Y34" s="27"/>
      <c r="Z34" s="27"/>
    </row>
    <row r="35" spans="1:26" x14ac:dyDescent="0.2">
      <c r="A35" s="78"/>
      <c r="B35" s="83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95"/>
      <c r="W35" s="95"/>
      <c r="Y35" s="28"/>
      <c r="Z35" s="28"/>
    </row>
    <row r="36" spans="1:26" x14ac:dyDescent="0.2">
      <c r="A36" s="78"/>
      <c r="B36" s="83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95"/>
      <c r="W36" s="95"/>
      <c r="Y36" s="28"/>
      <c r="Z36" s="28"/>
    </row>
    <row r="37" spans="1:26" x14ac:dyDescent="0.2">
      <c r="A37" s="78"/>
      <c r="B37" s="83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95"/>
      <c r="W37" s="95"/>
      <c r="Y37" s="28"/>
      <c r="Z37" s="28"/>
    </row>
    <row r="38" spans="1:26" x14ac:dyDescent="0.2">
      <c r="A38" s="78"/>
      <c r="B38" s="83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95"/>
      <c r="W38" s="95"/>
      <c r="Y38" s="28"/>
      <c r="Z38" s="28"/>
    </row>
    <row r="39" spans="1:26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Y39" s="28"/>
      <c r="Z39" s="28"/>
    </row>
    <row r="40" spans="1:26" ht="39.75" customHeight="1" x14ac:dyDescent="0.2">
      <c r="A40" s="139" t="s">
        <v>1327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22"/>
      <c r="Q40" s="22"/>
      <c r="R40" s="22"/>
      <c r="S40" s="22"/>
      <c r="T40" s="22"/>
      <c r="U40" s="22"/>
      <c r="V40" s="22"/>
      <c r="W40" s="22"/>
      <c r="X40" s="28"/>
      <c r="Y40" s="28"/>
      <c r="Z40" s="28"/>
    </row>
    <row r="42" spans="1:26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  <c r="V42" s="22"/>
      <c r="W42" s="22"/>
      <c r="X42" s="28"/>
      <c r="Y42" s="28"/>
      <c r="Z42" s="28"/>
    </row>
    <row r="43" spans="1:26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  <c r="V43" s="22"/>
      <c r="W43" s="22"/>
      <c r="X43" s="28"/>
      <c r="Y43" s="28"/>
      <c r="Z43" s="28"/>
    </row>
    <row r="44" spans="1:26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  <c r="V44" s="22"/>
      <c r="W44" s="22"/>
      <c r="X44" s="28"/>
      <c r="Y44" s="28"/>
      <c r="Z44" s="28"/>
    </row>
    <row r="45" spans="1:26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  <c r="V45" s="22"/>
      <c r="W45" s="22"/>
      <c r="X45" s="28"/>
      <c r="Y45" s="28"/>
      <c r="Z45" s="28"/>
    </row>
    <row r="46" spans="1:26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  <c r="V46" s="22"/>
      <c r="W46" s="22"/>
      <c r="X46" s="28"/>
      <c r="Y46" s="28"/>
      <c r="Z46" s="28"/>
    </row>
    <row r="47" spans="1:26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  <c r="V47" s="22"/>
      <c r="W47" s="22"/>
      <c r="X47" s="28"/>
      <c r="Y47" s="28"/>
      <c r="Z47" s="28"/>
    </row>
    <row r="48" spans="1:26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  <c r="V48" s="22"/>
      <c r="W48" s="22"/>
      <c r="X48" s="28"/>
      <c r="Y48" s="28"/>
      <c r="Z48" s="28"/>
    </row>
    <row r="49" spans="2:26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  <c r="V49" s="22"/>
      <c r="W49" s="22"/>
      <c r="X49" s="28"/>
      <c r="Y49" s="28"/>
      <c r="Z49" s="28"/>
    </row>
    <row r="50" spans="2:26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  <c r="V50" s="22"/>
      <c r="W50" s="22"/>
      <c r="X50" s="28"/>
      <c r="Y50" s="28"/>
      <c r="Z50" s="28"/>
    </row>
    <row r="51" spans="2:26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  <c r="V51" s="22"/>
      <c r="W51" s="22"/>
      <c r="X51" s="28"/>
      <c r="Y51" s="28"/>
      <c r="Z51" s="28"/>
    </row>
    <row r="52" spans="2:26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  <c r="V52" s="22"/>
      <c r="W52" s="22"/>
      <c r="X52" s="28"/>
      <c r="Y52" s="28"/>
      <c r="Z52" s="28"/>
    </row>
    <row r="53" spans="2:26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  <c r="V53" s="22"/>
      <c r="W53" s="22"/>
      <c r="X53" s="28"/>
      <c r="Y53" s="28"/>
      <c r="Z53" s="28"/>
    </row>
    <row r="54" spans="2:26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  <c r="V54" s="22"/>
      <c r="W54" s="22"/>
      <c r="X54" s="28"/>
      <c r="Y54" s="28"/>
      <c r="Z54" s="28"/>
    </row>
    <row r="55" spans="2:26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  <c r="V55" s="22"/>
      <c r="W55" s="22"/>
      <c r="X55" s="28"/>
      <c r="Y55" s="28"/>
      <c r="Z55" s="28"/>
    </row>
    <row r="56" spans="2:26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  <c r="V56" s="22"/>
      <c r="W56" s="22"/>
      <c r="X56" s="28"/>
      <c r="Y56" s="28"/>
      <c r="Z56" s="28"/>
    </row>
    <row r="57" spans="2:26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  <c r="V57" s="22"/>
      <c r="W57" s="22"/>
      <c r="X57" s="28"/>
      <c r="Y57" s="28"/>
      <c r="Z57" s="28"/>
    </row>
    <row r="58" spans="2:26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  <c r="V58" s="22"/>
      <c r="W58" s="22"/>
      <c r="X58" s="28"/>
      <c r="Y58" s="28"/>
      <c r="Z58" s="28"/>
    </row>
    <row r="59" spans="2:26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  <c r="V59" s="22"/>
      <c r="W59" s="22"/>
      <c r="X59" s="28"/>
      <c r="Y59" s="28"/>
      <c r="Z59" s="28"/>
    </row>
    <row r="60" spans="2:26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  <c r="V60" s="22"/>
      <c r="W60" s="22"/>
      <c r="X60" s="28"/>
      <c r="Y60" s="28"/>
      <c r="Z60" s="28"/>
    </row>
    <row r="61" spans="2:26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  <c r="V61" s="22"/>
      <c r="W61" s="22"/>
      <c r="X61" s="28"/>
      <c r="Y61" s="28"/>
      <c r="Z61" s="28"/>
    </row>
    <row r="62" spans="2:26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  <c r="V62" s="22"/>
      <c r="W62" s="22"/>
      <c r="X62" s="28"/>
      <c r="Y62" s="28"/>
      <c r="Z62" s="28"/>
    </row>
    <row r="63" spans="2:26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  <c r="V63" s="22"/>
      <c r="W63" s="22"/>
      <c r="X63" s="28"/>
      <c r="Y63" s="28"/>
      <c r="Z63" s="28"/>
    </row>
    <row r="64" spans="2:26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  <c r="V64" s="22"/>
      <c r="W64" s="22"/>
      <c r="X64" s="28"/>
      <c r="Y64" s="28"/>
      <c r="Z64" s="28"/>
    </row>
    <row r="65" spans="1:28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  <c r="V65" s="22"/>
      <c r="W65" s="22"/>
      <c r="X65" s="28"/>
      <c r="Y65" s="28"/>
      <c r="Z65" s="28"/>
    </row>
    <row r="66" spans="1:28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  <c r="V66" s="22"/>
      <c r="W66" s="22"/>
      <c r="X66" s="28"/>
      <c r="Y66" s="28"/>
      <c r="Z66" s="28"/>
    </row>
    <row r="67" spans="1:28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  <c r="V67" s="22"/>
      <c r="W67" s="22"/>
      <c r="X67" s="28"/>
      <c r="Y67" s="28"/>
      <c r="Z67" s="28"/>
    </row>
    <row r="68" spans="1:28" ht="12.75" customHeight="1" x14ac:dyDescent="0.2">
      <c r="A68" s="82">
        <f>A4</f>
        <v>0</v>
      </c>
      <c r="B68" s="88"/>
      <c r="C68" s="82"/>
      <c r="D68" s="160">
        <f>D4</f>
        <v>2022</v>
      </c>
      <c r="E68" s="160"/>
      <c r="F68" s="160"/>
      <c r="G68" s="160"/>
      <c r="H68" s="160"/>
      <c r="I68" s="160">
        <v>2023</v>
      </c>
      <c r="J68" s="160"/>
      <c r="K68" s="160"/>
      <c r="L68" s="160"/>
      <c r="M68" s="160"/>
      <c r="N68" s="160"/>
      <c r="O68" s="160"/>
      <c r="P68" s="77">
        <f>P4</f>
        <v>0</v>
      </c>
      <c r="Q68" s="125"/>
      <c r="R68" s="77"/>
      <c r="S68" s="77"/>
      <c r="T68" s="77"/>
      <c r="U68" s="77"/>
      <c r="V68" s="22"/>
      <c r="W68" s="22"/>
      <c r="X68" s="28"/>
      <c r="Y68" s="28"/>
      <c r="Z68" s="28"/>
    </row>
    <row r="69" spans="1:28" ht="27" customHeight="1" x14ac:dyDescent="0.2">
      <c r="A69" s="87" t="s">
        <v>59</v>
      </c>
      <c r="B69" s="89" t="s">
        <v>10</v>
      </c>
      <c r="C69" s="87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82" t="s">
        <v>187</v>
      </c>
      <c r="S69" s="82" t="s">
        <v>1351</v>
      </c>
      <c r="T69" s="82" t="s">
        <v>1352</v>
      </c>
      <c r="U69" s="82" t="s">
        <v>1353</v>
      </c>
      <c r="AA69" s="18">
        <f>AA5</f>
        <v>0</v>
      </c>
      <c r="AB69" s="18">
        <f>AB5</f>
        <v>0</v>
      </c>
    </row>
    <row r="70" spans="1:28" x14ac:dyDescent="0.2">
      <c r="A70" s="103">
        <f t="shared" ref="A70:S70" si="4">A7</f>
        <v>1</v>
      </c>
      <c r="B70" s="18" t="str">
        <f t="shared" si="4"/>
        <v>QUINUA</v>
      </c>
      <c r="C70" s="56">
        <f t="shared" si="4"/>
        <v>10705</v>
      </c>
      <c r="D70" s="57">
        <f t="shared" si="4"/>
        <v>1094</v>
      </c>
      <c r="E70" s="57">
        <f t="shared" si="4"/>
        <v>1034</v>
      </c>
      <c r="F70" s="57">
        <f t="shared" si="4"/>
        <v>2589</v>
      </c>
      <c r="G70" s="57">
        <f t="shared" si="4"/>
        <v>4179</v>
      </c>
      <c r="H70" s="57">
        <f t="shared" si="4"/>
        <v>1570</v>
      </c>
      <c r="I70" s="57">
        <f t="shared" si="4"/>
        <v>2</v>
      </c>
      <c r="J70" s="57">
        <f t="shared" si="4"/>
        <v>0</v>
      </c>
      <c r="K70" s="57">
        <f t="shared" si="4"/>
        <v>0</v>
      </c>
      <c r="L70" s="57">
        <f t="shared" si="4"/>
        <v>0</v>
      </c>
      <c r="M70" s="57">
        <f t="shared" si="4"/>
        <v>1</v>
      </c>
      <c r="N70" s="57">
        <f t="shared" si="4"/>
        <v>104</v>
      </c>
      <c r="O70" s="57">
        <f t="shared" si="4"/>
        <v>132</v>
      </c>
      <c r="P70" s="57">
        <f t="shared" si="4"/>
        <v>10824</v>
      </c>
      <c r="Q70" s="129">
        <f t="shared" si="4"/>
        <v>10456</v>
      </c>
      <c r="R70" s="57">
        <f t="shared" si="4"/>
        <v>-119</v>
      </c>
      <c r="S70" s="115">
        <f t="shared" si="4"/>
        <v>-1.0994087213599409E-2</v>
      </c>
      <c r="T70" s="115">
        <f t="shared" ref="T70:T74" si="5">T7</f>
        <v>0.19673607409993935</v>
      </c>
      <c r="U70" s="115">
        <f t="shared" ref="U70:U74" si="6">U7</f>
        <v>0.19777448884503646</v>
      </c>
    </row>
    <row r="71" spans="1:28" x14ac:dyDescent="0.2">
      <c r="A71" s="103">
        <f t="shared" ref="A71:P71" si="7">A8</f>
        <v>2</v>
      </c>
      <c r="B71" s="18" t="str">
        <f t="shared" si="7"/>
        <v>PAPA BLANCA</v>
      </c>
      <c r="C71" s="56">
        <f t="shared" si="7"/>
        <v>7959</v>
      </c>
      <c r="D71" s="57">
        <f t="shared" si="7"/>
        <v>666</v>
      </c>
      <c r="E71" s="57">
        <f t="shared" si="7"/>
        <v>813</v>
      </c>
      <c r="F71" s="57">
        <f t="shared" si="7"/>
        <v>2491</v>
      </c>
      <c r="G71" s="57">
        <f t="shared" si="7"/>
        <v>2526</v>
      </c>
      <c r="H71" s="57">
        <f t="shared" si="7"/>
        <v>891</v>
      </c>
      <c r="I71" s="57">
        <f t="shared" si="7"/>
        <v>28</v>
      </c>
      <c r="J71" s="57">
        <f t="shared" si="7"/>
        <v>0</v>
      </c>
      <c r="K71" s="57">
        <f t="shared" si="7"/>
        <v>0</v>
      </c>
      <c r="L71" s="57">
        <f t="shared" si="7"/>
        <v>0</v>
      </c>
      <c r="M71" s="57">
        <f t="shared" si="7"/>
        <v>1</v>
      </c>
      <c r="N71" s="57">
        <f t="shared" si="7"/>
        <v>229</v>
      </c>
      <c r="O71" s="57">
        <f t="shared" si="7"/>
        <v>314</v>
      </c>
      <c r="P71" s="57">
        <f t="shared" si="7"/>
        <v>8038</v>
      </c>
      <c r="Q71" s="129">
        <f t="shared" ref="Q71:Q74" si="8">Q8</f>
        <v>7930</v>
      </c>
      <c r="R71" s="57">
        <f t="shared" ref="R71:R74" si="9">R8</f>
        <v>-79</v>
      </c>
      <c r="S71" s="115">
        <f t="shared" ref="S71:S74" si="10">S8</f>
        <v>-9.8283155013684995E-3</v>
      </c>
      <c r="T71" s="115">
        <f t="shared" si="5"/>
        <v>0.14627019278481246</v>
      </c>
      <c r="U71" s="115">
        <f t="shared" si="6"/>
        <v>0.14686911874874381</v>
      </c>
    </row>
    <row r="72" spans="1:28" x14ac:dyDescent="0.2">
      <c r="A72" s="103">
        <f t="shared" ref="A72:P72" si="11">A9</f>
        <v>3</v>
      </c>
      <c r="B72" s="18" t="str">
        <f t="shared" si="11"/>
        <v>PAPA COLOR</v>
      </c>
      <c r="C72" s="56">
        <f t="shared" si="11"/>
        <v>6335</v>
      </c>
      <c r="D72" s="57">
        <f t="shared" si="11"/>
        <v>1097</v>
      </c>
      <c r="E72" s="57">
        <f t="shared" si="11"/>
        <v>1173</v>
      </c>
      <c r="F72" s="57">
        <f t="shared" si="11"/>
        <v>1805</v>
      </c>
      <c r="G72" s="57">
        <f t="shared" si="11"/>
        <v>1255</v>
      </c>
      <c r="H72" s="57">
        <f t="shared" si="11"/>
        <v>377</v>
      </c>
      <c r="I72" s="57">
        <f t="shared" si="11"/>
        <v>2</v>
      </c>
      <c r="J72" s="57">
        <f t="shared" si="11"/>
        <v>0</v>
      </c>
      <c r="K72" s="57">
        <f t="shared" si="11"/>
        <v>0</v>
      </c>
      <c r="L72" s="57">
        <f t="shared" si="11"/>
        <v>4</v>
      </c>
      <c r="M72" s="57">
        <f t="shared" si="11"/>
        <v>13</v>
      </c>
      <c r="N72" s="57">
        <f t="shared" si="11"/>
        <v>251</v>
      </c>
      <c r="O72" s="57">
        <f t="shared" si="11"/>
        <v>358</v>
      </c>
      <c r="P72" s="57">
        <f t="shared" si="11"/>
        <v>6660</v>
      </c>
      <c r="Q72" s="129">
        <f t="shared" si="8"/>
        <v>6553</v>
      </c>
      <c r="R72" s="57">
        <f t="shared" si="9"/>
        <v>-325</v>
      </c>
      <c r="S72" s="115">
        <f t="shared" si="10"/>
        <v>-4.8798798798798795E-2</v>
      </c>
      <c r="T72" s="115">
        <f t="shared" si="5"/>
        <v>0.11642438387885248</v>
      </c>
      <c r="U72" s="115">
        <f t="shared" si="6"/>
        <v>0.12169051142904128</v>
      </c>
    </row>
    <row r="73" spans="1:28" x14ac:dyDescent="0.2">
      <c r="A73" s="103">
        <f t="shared" ref="A73:P73" si="12">A10</f>
        <v>4</v>
      </c>
      <c r="B73" s="18" t="str">
        <f t="shared" si="12"/>
        <v>CEBADA GRANO</v>
      </c>
      <c r="C73" s="56">
        <f t="shared" si="12"/>
        <v>5763</v>
      </c>
      <c r="D73" s="57">
        <f t="shared" si="12"/>
        <v>0</v>
      </c>
      <c r="E73" s="57">
        <f t="shared" si="12"/>
        <v>40</v>
      </c>
      <c r="F73" s="57">
        <f t="shared" si="12"/>
        <v>415</v>
      </c>
      <c r="G73" s="57">
        <f t="shared" si="12"/>
        <v>2144</v>
      </c>
      <c r="H73" s="57">
        <f t="shared" si="12"/>
        <v>2550</v>
      </c>
      <c r="I73" s="57">
        <f t="shared" si="12"/>
        <v>564</v>
      </c>
      <c r="J73" s="57">
        <f t="shared" si="12"/>
        <v>30</v>
      </c>
      <c r="K73" s="57">
        <f t="shared" si="12"/>
        <v>5</v>
      </c>
      <c r="L73" s="57">
        <f t="shared" si="12"/>
        <v>5</v>
      </c>
      <c r="M73" s="57">
        <f t="shared" si="12"/>
        <v>10</v>
      </c>
      <c r="N73" s="57">
        <f t="shared" si="12"/>
        <v>0</v>
      </c>
      <c r="O73" s="57">
        <f t="shared" si="12"/>
        <v>0</v>
      </c>
      <c r="P73" s="57">
        <f t="shared" si="12"/>
        <v>5913</v>
      </c>
      <c r="Q73" s="129">
        <f t="shared" si="8"/>
        <v>5895</v>
      </c>
      <c r="R73" s="57">
        <f t="shared" si="9"/>
        <v>-150</v>
      </c>
      <c r="S73" s="115">
        <f t="shared" si="10"/>
        <v>-2.5367833587011668E-2</v>
      </c>
      <c r="T73" s="115">
        <f t="shared" si="5"/>
        <v>0.10591219010163012</v>
      </c>
      <c r="U73" s="115">
        <f t="shared" si="6"/>
        <v>0.1080414405525407</v>
      </c>
    </row>
    <row r="74" spans="1:28" x14ac:dyDescent="0.2">
      <c r="A74" s="103">
        <f t="shared" ref="A74:P74" si="13">A11</f>
        <v>5</v>
      </c>
      <c r="B74" s="18" t="str">
        <f t="shared" si="13"/>
        <v>MAIZ AMILACEO</v>
      </c>
      <c r="C74" s="56">
        <f t="shared" si="13"/>
        <v>4873</v>
      </c>
      <c r="D74" s="57">
        <f t="shared" si="13"/>
        <v>0</v>
      </c>
      <c r="E74" s="57">
        <f t="shared" si="13"/>
        <v>286</v>
      </c>
      <c r="F74" s="57">
        <f t="shared" si="13"/>
        <v>1806</v>
      </c>
      <c r="G74" s="57">
        <f t="shared" si="13"/>
        <v>2103</v>
      </c>
      <c r="H74" s="57">
        <f t="shared" si="13"/>
        <v>623</v>
      </c>
      <c r="I74" s="57">
        <f t="shared" si="13"/>
        <v>50</v>
      </c>
      <c r="J74" s="57">
        <f t="shared" si="13"/>
        <v>0</v>
      </c>
      <c r="K74" s="57">
        <f t="shared" si="13"/>
        <v>0</v>
      </c>
      <c r="L74" s="57">
        <f t="shared" si="13"/>
        <v>0</v>
      </c>
      <c r="M74" s="57">
        <f t="shared" si="13"/>
        <v>0</v>
      </c>
      <c r="N74" s="57">
        <f t="shared" si="13"/>
        <v>0</v>
      </c>
      <c r="O74" s="57">
        <f t="shared" si="13"/>
        <v>5</v>
      </c>
      <c r="P74" s="57">
        <f t="shared" si="13"/>
        <v>4901</v>
      </c>
      <c r="Q74" s="129">
        <f t="shared" si="8"/>
        <v>4886</v>
      </c>
      <c r="R74" s="57">
        <f t="shared" si="9"/>
        <v>-28</v>
      </c>
      <c r="S74" s="115">
        <f t="shared" si="10"/>
        <v>-5.7131197714752092E-3</v>
      </c>
      <c r="T74" s="115">
        <f t="shared" si="5"/>
        <v>8.9555804679028905E-2</v>
      </c>
      <c r="U74" s="115">
        <f t="shared" si="6"/>
        <v>8.9550329806866558E-2</v>
      </c>
    </row>
    <row r="75" spans="1:28" x14ac:dyDescent="0.2">
      <c r="A75" s="103">
        <f>A12</f>
        <v>6</v>
      </c>
      <c r="B75" s="18" t="s">
        <v>44</v>
      </c>
      <c r="C75" s="56">
        <f>SUM(C12:C33)</f>
        <v>18778</v>
      </c>
      <c r="D75" s="56">
        <f t="shared" ref="D75:P75" si="14">SUM(D12:D32)</f>
        <v>940</v>
      </c>
      <c r="E75" s="56">
        <f t="shared" si="14"/>
        <v>1585</v>
      </c>
      <c r="F75" s="56">
        <f t="shared" si="14"/>
        <v>5045</v>
      </c>
      <c r="G75" s="56">
        <f t="shared" si="14"/>
        <v>6309</v>
      </c>
      <c r="H75" s="56">
        <f t="shared" si="14"/>
        <v>3285</v>
      </c>
      <c r="I75" s="56">
        <f t="shared" si="14"/>
        <v>604</v>
      </c>
      <c r="J75" s="56">
        <f t="shared" si="14"/>
        <v>46</v>
      </c>
      <c r="K75" s="56">
        <f t="shared" si="14"/>
        <v>41</v>
      </c>
      <c r="L75" s="56">
        <f t="shared" si="14"/>
        <v>40</v>
      </c>
      <c r="M75" s="56">
        <f t="shared" si="14"/>
        <v>37</v>
      </c>
      <c r="N75" s="56">
        <f t="shared" si="14"/>
        <v>349</v>
      </c>
      <c r="O75" s="56">
        <f t="shared" si="14"/>
        <v>497</v>
      </c>
      <c r="P75" s="56">
        <f t="shared" si="14"/>
        <v>18393</v>
      </c>
      <c r="Q75" s="129">
        <f>Q1</f>
        <v>0</v>
      </c>
      <c r="R75" s="57"/>
      <c r="S75" s="115"/>
      <c r="T75" s="115"/>
      <c r="U75" s="115"/>
      <c r="V75" s="56"/>
      <c r="W75" s="56"/>
      <c r="X75" s="109"/>
      <c r="Y75" s="109"/>
      <c r="Z75" s="109"/>
    </row>
    <row r="76" spans="1:28" x14ac:dyDescent="0.2">
      <c r="A76" s="107" t="s">
        <v>1349</v>
      </c>
      <c r="B76" s="105"/>
      <c r="C76" s="106">
        <f>SUBTOTAL(109,Tabla22[ENIS 2022-2023])</f>
        <v>54413</v>
      </c>
      <c r="D76" s="106">
        <f>SUBTOTAL(109,Tabla22[AGO])</f>
        <v>3797</v>
      </c>
      <c r="E76" s="106">
        <f>SUBTOTAL(109,Tabla22[SEP])</f>
        <v>4931</v>
      </c>
      <c r="F76" s="106">
        <f>SUBTOTAL(109,Tabla22[OCT])</f>
        <v>14151</v>
      </c>
      <c r="G76" s="106">
        <f>SUBTOTAL(109,Tabla22[NOV])</f>
        <v>18516</v>
      </c>
      <c r="H76" s="106">
        <f>SUBTOTAL(109,Tabla22[DIC])</f>
        <v>9296</v>
      </c>
      <c r="I76" s="106">
        <f>SUBTOTAL(109,Tabla22[ENE])</f>
        <v>1250</v>
      </c>
      <c r="J76" s="106">
        <f>SUBTOTAL(109,Tabla22[FEB])</f>
        <v>76</v>
      </c>
      <c r="K76" s="106">
        <f>SUBTOTAL(109,Tabla22[MAR])</f>
        <v>46</v>
      </c>
      <c r="L76" s="106">
        <f>SUBTOTAL(109,Tabla22[ABR])</f>
        <v>49</v>
      </c>
      <c r="M76" s="106">
        <f>SUBTOTAL(109,Tabla22[MAY])</f>
        <v>62</v>
      </c>
      <c r="N76" s="106">
        <f>SUBTOTAL(109,Tabla22[JUN])</f>
        <v>933</v>
      </c>
      <c r="O76" s="106">
        <f>SUBTOTAL(109,Tabla22[JUL])</f>
        <v>1306</v>
      </c>
      <c r="P76" s="106">
        <f>SUBTOTAL(109,Tabla22[SUPERFICIE SEMBRADA 2021-2022])</f>
        <v>54729</v>
      </c>
      <c r="Q76" s="130"/>
      <c r="R76" s="104"/>
      <c r="S76" s="119"/>
      <c r="T76" s="119"/>
      <c r="U76" s="119"/>
    </row>
    <row r="77" spans="1:28" ht="41.25" customHeight="1" x14ac:dyDescent="0.2"/>
    <row r="78" spans="1:28" ht="28.5" customHeight="1" x14ac:dyDescent="0.2">
      <c r="V78" s="22"/>
      <c r="W78" s="22"/>
      <c r="X78" s="28"/>
      <c r="Y78" s="28"/>
      <c r="Z78" s="28"/>
    </row>
    <row r="79" spans="1:28" x14ac:dyDescent="0.2">
      <c r="A79" s="139" t="s">
        <v>1324</v>
      </c>
      <c r="B79" s="139"/>
      <c r="C79" s="139"/>
      <c r="D79" s="139"/>
      <c r="E79" s="139"/>
      <c r="F79" s="139"/>
      <c r="G79" s="139"/>
      <c r="H79" s="139"/>
      <c r="I79" s="139"/>
      <c r="J79" s="139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</sheetData>
  <mergeCells count="7">
    <mergeCell ref="A79:J79"/>
    <mergeCell ref="A40:O40"/>
    <mergeCell ref="A2:Z2"/>
    <mergeCell ref="D68:H68"/>
    <mergeCell ref="I68:O68"/>
    <mergeCell ref="D4:H4"/>
    <mergeCell ref="I4:O4"/>
  </mergeCells>
  <phoneticPr fontId="0" type="noConversion"/>
  <printOptions horizontalCentered="1"/>
  <pageMargins left="0.43307086614173229" right="0.11811023622047245" top="0.94488188976377963" bottom="0.47244094488188981" header="0" footer="0.23622047244094491"/>
  <pageSetup paperSize="9" scale="90" orientation="portrait" r:id="rId1"/>
  <headerFooter alignWithMargins="0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685A-542A-48EF-ABB8-7E4B81E555B0}">
  <dimension ref="A2:Z79"/>
  <sheetViews>
    <sheetView showGridLines="0" zoomScaleNormal="100" zoomScaleSheetLayoutView="100" workbookViewId="0">
      <selection activeCell="P34" sqref="P34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8.7109375" style="19" customWidth="1"/>
    <col min="4" max="15" width="5.7109375" style="19" customWidth="1"/>
    <col min="16" max="21" width="19.7109375" style="19" customWidth="1"/>
    <col min="22" max="22" width="10.7109375" style="23" customWidth="1"/>
    <col min="23" max="23" width="10.7109375" style="19" customWidth="1"/>
    <col min="24" max="16384" width="11.42578125" style="21"/>
  </cols>
  <sheetData>
    <row r="2" spans="1:26" x14ac:dyDescent="0.2">
      <c r="A2" s="159" t="s">
        <v>1354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6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</row>
    <row r="4" spans="1:26" ht="13.5" customHeight="1" x14ac:dyDescent="0.2">
      <c r="A4" s="92"/>
      <c r="B4" s="92"/>
      <c r="C4" s="93"/>
      <c r="D4" s="160">
        <v>2022</v>
      </c>
      <c r="E4" s="160"/>
      <c r="F4" s="160"/>
      <c r="G4" s="160"/>
      <c r="H4" s="160"/>
      <c r="I4" s="160">
        <v>2023</v>
      </c>
      <c r="J4" s="160"/>
      <c r="K4" s="160"/>
      <c r="L4" s="160"/>
      <c r="M4" s="160"/>
      <c r="N4" s="160"/>
      <c r="O4" s="160"/>
      <c r="P4" s="92"/>
      <c r="Q4" s="93"/>
      <c r="R4" s="92"/>
      <c r="S4" s="92"/>
      <c r="T4" s="92"/>
      <c r="U4" s="92"/>
    </row>
    <row r="5" spans="1:26" ht="27" customHeight="1" x14ac:dyDescent="0.2">
      <c r="A5" s="87" t="s">
        <v>59</v>
      </c>
      <c r="B5" s="87" t="s">
        <v>10</v>
      </c>
      <c r="C5" s="94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82" t="s">
        <v>1353</v>
      </c>
      <c r="X5" s="18"/>
      <c r="Y5" s="18"/>
      <c r="Z5" s="18"/>
    </row>
    <row r="6" spans="1:26" x14ac:dyDescent="0.2">
      <c r="A6" s="22"/>
      <c r="B6" s="22"/>
      <c r="C6" s="134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6" ht="12.75" customHeight="1" x14ac:dyDescent="0.2">
      <c r="A7" s="32">
        <v>1</v>
      </c>
      <c r="B7" s="18" t="s">
        <v>191</v>
      </c>
      <c r="C7" s="135">
        <v>1722</v>
      </c>
      <c r="D7" s="57">
        <v>189</v>
      </c>
      <c r="E7" s="57">
        <v>312</v>
      </c>
      <c r="F7" s="57">
        <v>667</v>
      </c>
      <c r="G7" s="57">
        <v>462</v>
      </c>
      <c r="H7" s="57">
        <v>57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35</v>
      </c>
      <c r="P7" s="57">
        <v>1737</v>
      </c>
      <c r="Q7" s="129">
        <v>1786</v>
      </c>
      <c r="R7" s="57">
        <f t="shared" ref="R7:R23" si="0">C7-P7</f>
        <v>-15</v>
      </c>
      <c r="S7" s="27">
        <f t="shared" ref="S7:S24" si="1">(C7-P7)/P7</f>
        <v>-8.6355785837651123E-3</v>
      </c>
      <c r="T7" s="27">
        <f t="shared" ref="T7:T23" si="2">C7/$C$24</f>
        <v>0.15711678832116788</v>
      </c>
      <c r="U7" s="27">
        <f t="shared" ref="U7:U23" si="3">P7/$P$24</f>
        <v>0.15283765948086231</v>
      </c>
    </row>
    <row r="8" spans="1:26" ht="12.75" customHeight="1" x14ac:dyDescent="0.2">
      <c r="A8" s="32">
        <v>2</v>
      </c>
      <c r="B8" s="18" t="s">
        <v>190</v>
      </c>
      <c r="C8" s="135">
        <v>1431</v>
      </c>
      <c r="D8" s="57">
        <v>25</v>
      </c>
      <c r="E8" s="57">
        <v>135</v>
      </c>
      <c r="F8" s="57">
        <v>617</v>
      </c>
      <c r="G8" s="57">
        <v>552</v>
      </c>
      <c r="H8" s="57">
        <v>102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1576</v>
      </c>
      <c r="Q8" s="129">
        <v>1641</v>
      </c>
      <c r="R8" s="57">
        <f t="shared" si="0"/>
        <v>-145</v>
      </c>
      <c r="S8" s="27">
        <f t="shared" si="1"/>
        <v>-9.2005076142131978E-2</v>
      </c>
      <c r="T8" s="27">
        <f t="shared" si="2"/>
        <v>0.13056569343065694</v>
      </c>
      <c r="U8" s="27">
        <f t="shared" si="3"/>
        <v>0.13867135943686756</v>
      </c>
    </row>
    <row r="9" spans="1:26" ht="12.75" customHeight="1" x14ac:dyDescent="0.2">
      <c r="A9" s="32">
        <v>3</v>
      </c>
      <c r="B9" s="18" t="s">
        <v>5</v>
      </c>
      <c r="C9" s="135">
        <v>1423</v>
      </c>
      <c r="D9" s="57">
        <v>2</v>
      </c>
      <c r="E9" s="57">
        <v>17</v>
      </c>
      <c r="F9" s="57">
        <v>392</v>
      </c>
      <c r="G9" s="57">
        <v>794</v>
      </c>
      <c r="H9" s="57">
        <v>218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1502</v>
      </c>
      <c r="Q9" s="129">
        <v>1618</v>
      </c>
      <c r="R9" s="57">
        <f t="shared" si="0"/>
        <v>-79</v>
      </c>
      <c r="S9" s="27">
        <f t="shared" si="1"/>
        <v>-5.25965379494008E-2</v>
      </c>
      <c r="T9" s="27">
        <f t="shared" si="2"/>
        <v>0.12983576642335767</v>
      </c>
      <c r="U9" s="27">
        <f t="shared" si="3"/>
        <v>0.13216014078310603</v>
      </c>
    </row>
    <row r="10" spans="1:26" ht="12.75" customHeight="1" x14ac:dyDescent="0.2">
      <c r="A10" s="32">
        <v>4</v>
      </c>
      <c r="B10" s="18" t="s">
        <v>189</v>
      </c>
      <c r="C10" s="135">
        <v>1369</v>
      </c>
      <c r="D10" s="57">
        <v>11</v>
      </c>
      <c r="E10" s="57">
        <v>360</v>
      </c>
      <c r="F10" s="57">
        <v>634</v>
      </c>
      <c r="G10" s="57">
        <v>324</v>
      </c>
      <c r="H10" s="57">
        <v>40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1433</v>
      </c>
      <c r="Q10" s="129">
        <v>1405</v>
      </c>
      <c r="R10" s="57">
        <f t="shared" si="0"/>
        <v>-64</v>
      </c>
      <c r="S10" s="27">
        <f t="shared" si="1"/>
        <v>-4.4661549197487785E-2</v>
      </c>
      <c r="T10" s="27">
        <f t="shared" si="2"/>
        <v>0.1249087591240876</v>
      </c>
      <c r="U10" s="27">
        <f t="shared" si="3"/>
        <v>0.12608886933567973</v>
      </c>
    </row>
    <row r="11" spans="1:26" ht="12.75" customHeight="1" x14ac:dyDescent="0.2">
      <c r="A11" s="32">
        <v>5</v>
      </c>
      <c r="B11" s="18" t="s">
        <v>1</v>
      </c>
      <c r="C11" s="135">
        <v>1217</v>
      </c>
      <c r="D11" s="57">
        <v>10</v>
      </c>
      <c r="E11" s="57">
        <v>46</v>
      </c>
      <c r="F11" s="57">
        <v>227</v>
      </c>
      <c r="G11" s="57">
        <v>528</v>
      </c>
      <c r="H11" s="57">
        <v>391</v>
      </c>
      <c r="I11" s="57">
        <v>15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1200</v>
      </c>
      <c r="Q11" s="129">
        <v>1146</v>
      </c>
      <c r="R11" s="57">
        <f t="shared" si="0"/>
        <v>17</v>
      </c>
      <c r="S11" s="27">
        <f t="shared" si="1"/>
        <v>1.4166666666666666E-2</v>
      </c>
      <c r="T11" s="27">
        <f t="shared" si="2"/>
        <v>0.11104014598540146</v>
      </c>
      <c r="U11" s="27">
        <f t="shared" si="3"/>
        <v>0.10558732952045755</v>
      </c>
    </row>
    <row r="12" spans="1:26" ht="12.75" customHeight="1" x14ac:dyDescent="0.2">
      <c r="A12" s="32">
        <v>6</v>
      </c>
      <c r="B12" s="18" t="s">
        <v>193</v>
      </c>
      <c r="C12" s="135">
        <v>1107</v>
      </c>
      <c r="D12" s="57">
        <v>5</v>
      </c>
      <c r="E12" s="57">
        <v>99</v>
      </c>
      <c r="F12" s="57">
        <v>497</v>
      </c>
      <c r="G12" s="57">
        <v>436</v>
      </c>
      <c r="H12" s="57">
        <v>60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10</v>
      </c>
      <c r="P12" s="57">
        <v>1202</v>
      </c>
      <c r="Q12" s="129">
        <v>1352</v>
      </c>
      <c r="R12" s="57">
        <f t="shared" si="0"/>
        <v>-95</v>
      </c>
      <c r="S12" s="27">
        <f t="shared" si="1"/>
        <v>-7.9034941763727121E-2</v>
      </c>
      <c r="T12" s="27">
        <f t="shared" si="2"/>
        <v>0.1010036496350365</v>
      </c>
      <c r="U12" s="27">
        <f t="shared" si="3"/>
        <v>0.10576330840299164</v>
      </c>
    </row>
    <row r="13" spans="1:26" ht="12.75" customHeight="1" x14ac:dyDescent="0.2">
      <c r="A13" s="32">
        <v>7</v>
      </c>
      <c r="B13" s="18" t="s">
        <v>3</v>
      </c>
      <c r="C13" s="135">
        <v>621</v>
      </c>
      <c r="D13" s="57">
        <v>16</v>
      </c>
      <c r="E13" s="57">
        <v>171</v>
      </c>
      <c r="F13" s="57">
        <v>311</v>
      </c>
      <c r="G13" s="57">
        <v>114</v>
      </c>
      <c r="H13" s="57">
        <v>9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657</v>
      </c>
      <c r="Q13" s="129">
        <v>655</v>
      </c>
      <c r="R13" s="57">
        <f t="shared" si="0"/>
        <v>-36</v>
      </c>
      <c r="S13" s="27">
        <f t="shared" si="1"/>
        <v>-5.4794520547945202E-2</v>
      </c>
      <c r="T13" s="27">
        <f t="shared" si="2"/>
        <v>5.6660583941605842E-2</v>
      </c>
      <c r="U13" s="27">
        <f t="shared" si="3"/>
        <v>5.7809062912450505E-2</v>
      </c>
    </row>
    <row r="14" spans="1:26" ht="12.75" customHeight="1" x14ac:dyDescent="0.2">
      <c r="A14" s="32">
        <v>8</v>
      </c>
      <c r="B14" s="18" t="s">
        <v>192</v>
      </c>
      <c r="C14" s="135">
        <v>523</v>
      </c>
      <c r="D14" s="57">
        <v>0</v>
      </c>
      <c r="E14" s="57">
        <v>4</v>
      </c>
      <c r="F14" s="57">
        <v>192</v>
      </c>
      <c r="G14" s="57">
        <v>249</v>
      </c>
      <c r="H14" s="57">
        <v>67</v>
      </c>
      <c r="I14" s="57">
        <v>11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468</v>
      </c>
      <c r="Q14" s="129">
        <v>504</v>
      </c>
      <c r="R14" s="57">
        <f t="shared" si="0"/>
        <v>55</v>
      </c>
      <c r="S14" s="27">
        <f t="shared" si="1"/>
        <v>0.11752136752136752</v>
      </c>
      <c r="T14" s="27">
        <f t="shared" si="2"/>
        <v>4.771897810218978E-2</v>
      </c>
      <c r="U14" s="27">
        <f t="shared" si="3"/>
        <v>4.1179058512978442E-2</v>
      </c>
    </row>
    <row r="15" spans="1:26" ht="12.75" customHeight="1" x14ac:dyDescent="0.2">
      <c r="A15" s="32">
        <v>9</v>
      </c>
      <c r="B15" s="18" t="s">
        <v>4</v>
      </c>
      <c r="C15" s="135">
        <v>331</v>
      </c>
      <c r="D15" s="57">
        <v>3</v>
      </c>
      <c r="E15" s="57">
        <v>16</v>
      </c>
      <c r="F15" s="57">
        <v>220</v>
      </c>
      <c r="G15" s="57">
        <v>92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352</v>
      </c>
      <c r="Q15" s="129">
        <v>340</v>
      </c>
      <c r="R15" s="57">
        <f t="shared" si="0"/>
        <v>-21</v>
      </c>
      <c r="S15" s="27">
        <f t="shared" si="1"/>
        <v>-5.9659090909090912E-2</v>
      </c>
      <c r="T15" s="27">
        <f t="shared" si="2"/>
        <v>3.02007299270073E-2</v>
      </c>
      <c r="U15" s="27">
        <f t="shared" si="3"/>
        <v>3.0972283326000879E-2</v>
      </c>
    </row>
    <row r="16" spans="1:26" ht="12.75" customHeight="1" x14ac:dyDescent="0.2">
      <c r="A16" s="32">
        <v>10</v>
      </c>
      <c r="B16" s="18" t="s">
        <v>0</v>
      </c>
      <c r="C16" s="135">
        <v>327</v>
      </c>
      <c r="D16" s="57">
        <v>5</v>
      </c>
      <c r="E16" s="57">
        <v>84</v>
      </c>
      <c r="F16" s="57">
        <v>116</v>
      </c>
      <c r="G16" s="57">
        <v>92</v>
      </c>
      <c r="H16" s="57">
        <v>30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356</v>
      </c>
      <c r="Q16" s="129">
        <v>330</v>
      </c>
      <c r="R16" s="57">
        <f t="shared" si="0"/>
        <v>-29</v>
      </c>
      <c r="S16" s="27">
        <f t="shared" si="1"/>
        <v>-8.1460674157303375E-2</v>
      </c>
      <c r="T16" s="27">
        <f t="shared" si="2"/>
        <v>2.9835766423357665E-2</v>
      </c>
      <c r="U16" s="27">
        <f t="shared" si="3"/>
        <v>3.1324241091069072E-2</v>
      </c>
    </row>
    <row r="17" spans="1:23" ht="12.75" customHeight="1" x14ac:dyDescent="0.2">
      <c r="A17" s="32">
        <v>11</v>
      </c>
      <c r="B17" s="18" t="s">
        <v>173</v>
      </c>
      <c r="C17" s="135">
        <v>235</v>
      </c>
      <c r="D17" s="57">
        <v>2</v>
      </c>
      <c r="E17" s="57">
        <v>16</v>
      </c>
      <c r="F17" s="57">
        <v>166</v>
      </c>
      <c r="G17" s="57">
        <v>51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218</v>
      </c>
      <c r="Q17" s="129">
        <v>196</v>
      </c>
      <c r="R17" s="57">
        <f t="shared" si="0"/>
        <v>17</v>
      </c>
      <c r="S17" s="27">
        <f t="shared" si="1"/>
        <v>7.7981651376146793E-2</v>
      </c>
      <c r="T17" s="27">
        <f t="shared" si="2"/>
        <v>2.144160583941606E-2</v>
      </c>
      <c r="U17" s="27">
        <f t="shared" si="3"/>
        <v>1.9181698196216453E-2</v>
      </c>
    </row>
    <row r="18" spans="1:23" ht="12.75" customHeight="1" x14ac:dyDescent="0.2">
      <c r="A18" s="32">
        <v>12</v>
      </c>
      <c r="B18" s="18" t="s">
        <v>174</v>
      </c>
      <c r="C18" s="135">
        <v>185</v>
      </c>
      <c r="D18" s="57">
        <v>2</v>
      </c>
      <c r="E18" s="57">
        <v>13</v>
      </c>
      <c r="F18" s="57">
        <v>128</v>
      </c>
      <c r="G18" s="57">
        <v>42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213</v>
      </c>
      <c r="Q18" s="129">
        <v>180</v>
      </c>
      <c r="R18" s="57">
        <f t="shared" si="0"/>
        <v>-28</v>
      </c>
      <c r="S18" s="27">
        <f t="shared" si="1"/>
        <v>-0.13145539906103287</v>
      </c>
      <c r="T18" s="27">
        <f t="shared" si="2"/>
        <v>1.6879562043795621E-2</v>
      </c>
      <c r="U18" s="27">
        <f t="shared" si="3"/>
        <v>1.8741750989881213E-2</v>
      </c>
    </row>
    <row r="19" spans="1:23" ht="12.75" customHeight="1" x14ac:dyDescent="0.2">
      <c r="A19" s="32">
        <v>13</v>
      </c>
      <c r="B19" s="18" t="s">
        <v>195</v>
      </c>
      <c r="C19" s="135">
        <v>153</v>
      </c>
      <c r="D19" s="57">
        <v>4</v>
      </c>
      <c r="E19" s="57">
        <v>39</v>
      </c>
      <c r="F19" s="57">
        <v>59</v>
      </c>
      <c r="G19" s="57">
        <v>41</v>
      </c>
      <c r="H19" s="57">
        <v>10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140</v>
      </c>
      <c r="Q19" s="129">
        <v>151</v>
      </c>
      <c r="R19" s="57">
        <f t="shared" si="0"/>
        <v>13</v>
      </c>
      <c r="S19" s="27">
        <f t="shared" si="1"/>
        <v>9.285714285714286E-2</v>
      </c>
      <c r="T19" s="27">
        <f t="shared" si="2"/>
        <v>1.395985401459854E-2</v>
      </c>
      <c r="U19" s="27">
        <f t="shared" si="3"/>
        <v>1.2318521777386713E-2</v>
      </c>
    </row>
    <row r="20" spans="1:23" ht="12.75" customHeight="1" x14ac:dyDescent="0.2">
      <c r="A20" s="32">
        <v>14</v>
      </c>
      <c r="B20" s="18" t="s">
        <v>196</v>
      </c>
      <c r="C20" s="135">
        <v>125</v>
      </c>
      <c r="D20" s="57">
        <v>19</v>
      </c>
      <c r="E20" s="57">
        <v>19</v>
      </c>
      <c r="F20" s="57">
        <v>57</v>
      </c>
      <c r="G20" s="57">
        <v>28</v>
      </c>
      <c r="H20" s="57">
        <v>2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152</v>
      </c>
      <c r="Q20" s="129">
        <v>122</v>
      </c>
      <c r="R20" s="57">
        <f t="shared" si="0"/>
        <v>-27</v>
      </c>
      <c r="S20" s="27">
        <f t="shared" si="1"/>
        <v>-0.17763157894736842</v>
      </c>
      <c r="T20" s="27">
        <f t="shared" si="2"/>
        <v>1.1405109489051095E-2</v>
      </c>
      <c r="U20" s="27">
        <f t="shared" si="3"/>
        <v>1.337439507259129E-2</v>
      </c>
    </row>
    <row r="21" spans="1:23" ht="12.75" customHeight="1" x14ac:dyDescent="0.2">
      <c r="A21" s="32">
        <v>15</v>
      </c>
      <c r="B21" s="18" t="s">
        <v>199</v>
      </c>
      <c r="C21" s="135">
        <v>92</v>
      </c>
      <c r="D21" s="57">
        <v>5</v>
      </c>
      <c r="E21" s="57">
        <v>53</v>
      </c>
      <c r="F21" s="57">
        <v>32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2</v>
      </c>
      <c r="P21" s="57">
        <v>58</v>
      </c>
      <c r="Q21" s="129">
        <v>54</v>
      </c>
      <c r="R21" s="57">
        <f t="shared" si="0"/>
        <v>34</v>
      </c>
      <c r="S21" s="27">
        <f t="shared" si="1"/>
        <v>0.58620689655172409</v>
      </c>
      <c r="T21" s="27">
        <f t="shared" si="2"/>
        <v>8.3941605839416063E-3</v>
      </c>
      <c r="U21" s="27">
        <f t="shared" si="3"/>
        <v>5.1033875934887816E-3</v>
      </c>
    </row>
    <row r="22" spans="1:23" ht="12.75" customHeight="1" x14ac:dyDescent="0.2">
      <c r="A22" s="32">
        <v>16</v>
      </c>
      <c r="B22" s="18" t="s">
        <v>194</v>
      </c>
      <c r="C22" s="135">
        <v>86</v>
      </c>
      <c r="D22" s="57">
        <v>9</v>
      </c>
      <c r="E22" s="57">
        <v>19</v>
      </c>
      <c r="F22" s="57">
        <v>32</v>
      </c>
      <c r="G22" s="57">
        <v>21</v>
      </c>
      <c r="H22" s="57">
        <v>4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1</v>
      </c>
      <c r="P22" s="57">
        <v>88</v>
      </c>
      <c r="Q22" s="129">
        <v>71</v>
      </c>
      <c r="R22" s="57">
        <f t="shared" si="0"/>
        <v>-2</v>
      </c>
      <c r="S22" s="27">
        <f t="shared" si="1"/>
        <v>-2.2727272727272728E-2</v>
      </c>
      <c r="T22" s="27">
        <f t="shared" si="2"/>
        <v>7.8467153284671534E-3</v>
      </c>
      <c r="U22" s="27">
        <f t="shared" si="3"/>
        <v>7.7430708315002197E-3</v>
      </c>
    </row>
    <row r="23" spans="1:23" ht="12.75" customHeight="1" x14ac:dyDescent="0.2">
      <c r="A23" s="32">
        <v>17</v>
      </c>
      <c r="B23" s="18" t="s">
        <v>2</v>
      </c>
      <c r="C23" s="135">
        <v>13</v>
      </c>
      <c r="D23" s="57">
        <v>0</v>
      </c>
      <c r="E23" s="57">
        <v>0</v>
      </c>
      <c r="F23" s="57">
        <v>1</v>
      </c>
      <c r="G23" s="57">
        <v>7</v>
      </c>
      <c r="H23" s="57">
        <v>5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13</v>
      </c>
      <c r="Q23" s="129">
        <v>16</v>
      </c>
      <c r="R23" s="57">
        <f t="shared" si="0"/>
        <v>0</v>
      </c>
      <c r="S23" s="27">
        <f t="shared" si="1"/>
        <v>0</v>
      </c>
      <c r="T23" s="27">
        <f t="shared" si="2"/>
        <v>1.1861313868613138E-3</v>
      </c>
      <c r="U23" s="27">
        <f t="shared" si="3"/>
        <v>1.1438627364716233E-3</v>
      </c>
    </row>
    <row r="24" spans="1:23" s="18" customFormat="1" ht="16.5" customHeight="1" x14ac:dyDescent="0.2">
      <c r="A24" s="107" t="s">
        <v>1349</v>
      </c>
      <c r="B24" s="105"/>
      <c r="C24" s="131">
        <f>SUBTOTAL(109,Tabla20[ENIS 2022-2023])</f>
        <v>10960</v>
      </c>
      <c r="D24" s="108">
        <f>SUBTOTAL(109,Tabla20[AGO])</f>
        <v>307</v>
      </c>
      <c r="E24" s="108">
        <f>SUBTOTAL(109,Tabla20[SEP])</f>
        <v>1403</v>
      </c>
      <c r="F24" s="108">
        <f>SUBTOTAL(109,Tabla20[OCT])</f>
        <v>4348</v>
      </c>
      <c r="G24" s="108">
        <f>SUBTOTAL(109,Tabla20[NOV])</f>
        <v>3833</v>
      </c>
      <c r="H24" s="108">
        <f>SUBTOTAL(109,Tabla20[DIC])</f>
        <v>995</v>
      </c>
      <c r="I24" s="108">
        <f>SUBTOTAL(109,Tabla20[ENE])</f>
        <v>26</v>
      </c>
      <c r="J24" s="108">
        <f>SUBTOTAL(109,Tabla20[FEB])</f>
        <v>0</v>
      </c>
      <c r="K24" s="108">
        <f>SUBTOTAL(109,Tabla20[MAR])</f>
        <v>0</v>
      </c>
      <c r="L24" s="108">
        <f>SUBTOTAL(109,Tabla20[ABR])</f>
        <v>0</v>
      </c>
      <c r="M24" s="108">
        <f>SUBTOTAL(109,Tabla20[MAY])</f>
        <v>0</v>
      </c>
      <c r="N24" s="108">
        <f>SUBTOTAL(109,Tabla20[JUN])</f>
        <v>0</v>
      </c>
      <c r="O24" s="108">
        <f>SUBTOTAL(109,Tabla20[JUL])</f>
        <v>48</v>
      </c>
      <c r="P24" s="108">
        <f>SUBTOTAL(109,Tabla20[SUPERFICIE SEMBRADA 2021-2022])</f>
        <v>11365</v>
      </c>
      <c r="Q24" s="131">
        <f>SUBTOTAL(109,Tabla20[ENIS 2021-2022])</f>
        <v>11567</v>
      </c>
      <c r="R24" s="108">
        <f>SUBTOTAL(109,Tabla20[DIF.])</f>
        <v>-405</v>
      </c>
      <c r="S24" s="27">
        <f t="shared" si="1"/>
        <v>-3.5635723713154419E-2</v>
      </c>
      <c r="T24" s="116">
        <f>SUBTOTAL(109,Tabla20[% ENIS])</f>
        <v>0.99999999999999989</v>
      </c>
      <c r="U24" s="116">
        <f>SUBTOTAL(109,Tabla20[%  SUP SEMB])</f>
        <v>0.99999999999999989</v>
      </c>
      <c r="V24" s="27"/>
      <c r="W24" s="27"/>
    </row>
    <row r="25" spans="1:23" x14ac:dyDescent="0.2">
      <c r="A25" s="25"/>
      <c r="B25" s="30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34"/>
      <c r="Q25" s="34"/>
      <c r="R25" s="34"/>
      <c r="S25" s="34"/>
      <c r="T25" s="34"/>
      <c r="U25" s="34"/>
    </row>
    <row r="26" spans="1:23" x14ac:dyDescent="0.2">
      <c r="A26" s="25"/>
      <c r="B26" s="30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34"/>
      <c r="Q26" s="34"/>
      <c r="R26" s="34"/>
      <c r="S26" s="34"/>
      <c r="T26" s="34"/>
      <c r="U26" s="34"/>
    </row>
    <row r="27" spans="1:23" x14ac:dyDescent="0.2">
      <c r="A27" s="25"/>
      <c r="B27" s="30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34"/>
      <c r="Q27" s="34"/>
      <c r="R27" s="34"/>
      <c r="S27" s="34"/>
      <c r="T27" s="34"/>
      <c r="U27" s="34"/>
    </row>
    <row r="28" spans="1:23" x14ac:dyDescent="0.2">
      <c r="A28" s="25"/>
      <c r="B28" s="30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34"/>
      <c r="Q28" s="34"/>
      <c r="R28" s="34"/>
      <c r="S28" s="34"/>
      <c r="T28" s="34"/>
      <c r="U28" s="34"/>
    </row>
    <row r="29" spans="1:23" x14ac:dyDescent="0.2">
      <c r="A29" s="25"/>
      <c r="B29" s="3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34"/>
      <c r="Q29" s="34"/>
      <c r="R29" s="34"/>
      <c r="S29" s="34"/>
      <c r="T29" s="34"/>
      <c r="U29" s="34"/>
    </row>
    <row r="30" spans="1:23" x14ac:dyDescent="0.2">
      <c r="A30" s="25"/>
      <c r="B30" s="3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34"/>
      <c r="Q30" s="34"/>
      <c r="R30" s="34"/>
      <c r="S30" s="34"/>
      <c r="T30" s="34"/>
      <c r="U30" s="34"/>
    </row>
    <row r="31" spans="1:23" x14ac:dyDescent="0.2">
      <c r="A31" s="25"/>
      <c r="B31" s="30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34"/>
      <c r="Q31" s="34"/>
      <c r="R31" s="34"/>
      <c r="S31" s="34"/>
      <c r="T31" s="34"/>
      <c r="U31" s="34"/>
    </row>
    <row r="32" spans="1:23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34"/>
      <c r="Q32" s="34"/>
      <c r="R32" s="34"/>
      <c r="S32" s="34"/>
      <c r="T32" s="34"/>
      <c r="U32" s="34"/>
    </row>
    <row r="33" spans="1:21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34"/>
      <c r="Q33" s="34"/>
      <c r="R33" s="34"/>
      <c r="S33" s="34"/>
      <c r="T33" s="34"/>
      <c r="U33" s="34"/>
    </row>
    <row r="34" spans="1:21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4"/>
      <c r="Q34" s="34"/>
      <c r="R34" s="34"/>
      <c r="S34" s="34"/>
      <c r="T34" s="34"/>
      <c r="U34" s="34"/>
    </row>
    <row r="35" spans="1:21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34"/>
      <c r="Q35" s="34"/>
      <c r="R35" s="34"/>
      <c r="S35" s="34"/>
      <c r="T35" s="34"/>
      <c r="U35" s="34"/>
    </row>
    <row r="36" spans="1:21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4"/>
      <c r="Q36" s="34"/>
      <c r="R36" s="34"/>
      <c r="S36" s="34"/>
      <c r="T36" s="34"/>
      <c r="U36" s="34"/>
    </row>
    <row r="37" spans="1:21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34"/>
      <c r="Q37" s="34"/>
      <c r="R37" s="34"/>
      <c r="S37" s="34"/>
      <c r="T37" s="34"/>
      <c r="U37" s="34"/>
    </row>
    <row r="38" spans="1:21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34"/>
      <c r="Q38" s="34"/>
      <c r="R38" s="34"/>
      <c r="S38" s="34"/>
      <c r="T38" s="34"/>
      <c r="U38" s="34"/>
    </row>
    <row r="39" spans="1:2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34"/>
      <c r="Q39" s="34"/>
      <c r="R39" s="34"/>
      <c r="S39" s="34"/>
      <c r="T39" s="34"/>
      <c r="U39" s="34"/>
    </row>
    <row r="40" spans="1:21" ht="45.75" customHeight="1" x14ac:dyDescent="0.2">
      <c r="A40" s="152" t="s">
        <v>1302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22"/>
      <c r="Q40" s="22"/>
      <c r="R40" s="22"/>
      <c r="S40" s="22"/>
      <c r="T40" s="22"/>
      <c r="U40" s="22"/>
    </row>
    <row r="41" spans="1:21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</row>
    <row r="42" spans="1:21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</row>
    <row r="43" spans="1:21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21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21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21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21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21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1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1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</row>
    <row r="68" spans="1:21" ht="12.75" customHeight="1" x14ac:dyDescent="0.2">
      <c r="A68" s="92"/>
      <c r="B68" s="92"/>
      <c r="C68" s="93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92"/>
      <c r="Q68" s="93"/>
      <c r="R68" s="92"/>
      <c r="S68" s="92"/>
      <c r="T68" s="92"/>
      <c r="U68" s="92"/>
    </row>
    <row r="69" spans="1:21" ht="28.5" customHeight="1" x14ac:dyDescent="0.2">
      <c r="A69" s="87" t="s">
        <v>59</v>
      </c>
      <c r="B69" s="87" t="s">
        <v>10</v>
      </c>
      <c r="C69" s="94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118" t="s">
        <v>187</v>
      </c>
      <c r="S69" s="118" t="s">
        <v>1351</v>
      </c>
      <c r="T69" s="82" t="s">
        <v>1352</v>
      </c>
      <c r="U69" s="82" t="s">
        <v>1353</v>
      </c>
    </row>
    <row r="70" spans="1:21" x14ac:dyDescent="0.2">
      <c r="A70" s="32">
        <f t="shared" ref="A70:P70" si="4">A7</f>
        <v>1</v>
      </c>
      <c r="B70" s="18" t="str">
        <f t="shared" si="4"/>
        <v>PAPA COLOR</v>
      </c>
      <c r="C70" s="56">
        <f t="shared" si="4"/>
        <v>1722</v>
      </c>
      <c r="D70" s="57">
        <f t="shared" si="4"/>
        <v>189</v>
      </c>
      <c r="E70" s="57">
        <f t="shared" si="4"/>
        <v>312</v>
      </c>
      <c r="F70" s="57">
        <f t="shared" si="4"/>
        <v>667</v>
      </c>
      <c r="G70" s="57">
        <f t="shared" si="4"/>
        <v>462</v>
      </c>
      <c r="H70" s="57">
        <f t="shared" si="4"/>
        <v>57</v>
      </c>
      <c r="I70" s="57">
        <f t="shared" si="4"/>
        <v>0</v>
      </c>
      <c r="J70" s="57">
        <f t="shared" si="4"/>
        <v>0</v>
      </c>
      <c r="K70" s="57">
        <f t="shared" si="4"/>
        <v>0</v>
      </c>
      <c r="L70" s="57">
        <f t="shared" si="4"/>
        <v>0</v>
      </c>
      <c r="M70" s="57">
        <f t="shared" si="4"/>
        <v>0</v>
      </c>
      <c r="N70" s="57">
        <f t="shared" si="4"/>
        <v>0</v>
      </c>
      <c r="O70" s="57">
        <f t="shared" si="4"/>
        <v>35</v>
      </c>
      <c r="P70" s="57">
        <f t="shared" si="4"/>
        <v>1737</v>
      </c>
      <c r="Q70" s="129">
        <f t="shared" ref="Q70:U70" si="5">Q7</f>
        <v>1786</v>
      </c>
      <c r="R70" s="57">
        <f t="shared" si="5"/>
        <v>-15</v>
      </c>
      <c r="S70" s="123">
        <f t="shared" si="5"/>
        <v>-8.6355785837651123E-3</v>
      </c>
      <c r="T70" s="123">
        <f t="shared" si="5"/>
        <v>0.15711678832116788</v>
      </c>
      <c r="U70" s="123">
        <f t="shared" si="5"/>
        <v>0.15283765948086231</v>
      </c>
    </row>
    <row r="71" spans="1:21" x14ac:dyDescent="0.2">
      <c r="A71" s="32">
        <f t="shared" ref="A71:U71" si="6">A8</f>
        <v>2</v>
      </c>
      <c r="B71" s="18" t="str">
        <f t="shared" si="6"/>
        <v>PAPA BLANCA</v>
      </c>
      <c r="C71" s="56">
        <f t="shared" si="6"/>
        <v>1431</v>
      </c>
      <c r="D71" s="57">
        <f t="shared" si="6"/>
        <v>25</v>
      </c>
      <c r="E71" s="57">
        <f t="shared" si="6"/>
        <v>135</v>
      </c>
      <c r="F71" s="57">
        <f t="shared" si="6"/>
        <v>617</v>
      </c>
      <c r="G71" s="57">
        <f t="shared" si="6"/>
        <v>552</v>
      </c>
      <c r="H71" s="57">
        <f t="shared" si="6"/>
        <v>102</v>
      </c>
      <c r="I71" s="57">
        <f t="shared" si="6"/>
        <v>0</v>
      </c>
      <c r="J71" s="57">
        <f t="shared" si="6"/>
        <v>0</v>
      </c>
      <c r="K71" s="57">
        <f t="shared" si="6"/>
        <v>0</v>
      </c>
      <c r="L71" s="57">
        <f t="shared" si="6"/>
        <v>0</v>
      </c>
      <c r="M71" s="57">
        <f t="shared" si="6"/>
        <v>0</v>
      </c>
      <c r="N71" s="57">
        <f t="shared" si="6"/>
        <v>0</v>
      </c>
      <c r="O71" s="57">
        <f t="shared" si="6"/>
        <v>0</v>
      </c>
      <c r="P71" s="57">
        <f t="shared" si="6"/>
        <v>1576</v>
      </c>
      <c r="Q71" s="129">
        <f t="shared" si="6"/>
        <v>1641</v>
      </c>
      <c r="R71" s="57">
        <f t="shared" si="6"/>
        <v>-145</v>
      </c>
      <c r="S71" s="123">
        <f t="shared" si="6"/>
        <v>-9.2005076142131978E-2</v>
      </c>
      <c r="T71" s="123">
        <f t="shared" si="6"/>
        <v>0.13056569343065694</v>
      </c>
      <c r="U71" s="123">
        <f t="shared" si="6"/>
        <v>0.13867135943686756</v>
      </c>
    </row>
    <row r="72" spans="1:21" x14ac:dyDescent="0.2">
      <c r="A72" s="32">
        <f t="shared" ref="A72:U72" si="7">A9</f>
        <v>3</v>
      </c>
      <c r="B72" s="18" t="str">
        <f t="shared" si="7"/>
        <v>QUINUA</v>
      </c>
      <c r="C72" s="56">
        <f t="shared" si="7"/>
        <v>1423</v>
      </c>
      <c r="D72" s="57">
        <f t="shared" si="7"/>
        <v>2</v>
      </c>
      <c r="E72" s="57">
        <f t="shared" si="7"/>
        <v>17</v>
      </c>
      <c r="F72" s="57">
        <f t="shared" si="7"/>
        <v>392</v>
      </c>
      <c r="G72" s="57">
        <f t="shared" si="7"/>
        <v>794</v>
      </c>
      <c r="H72" s="57">
        <f t="shared" si="7"/>
        <v>218</v>
      </c>
      <c r="I72" s="57">
        <f t="shared" si="7"/>
        <v>0</v>
      </c>
      <c r="J72" s="57">
        <f t="shared" si="7"/>
        <v>0</v>
      </c>
      <c r="K72" s="57">
        <f t="shared" si="7"/>
        <v>0</v>
      </c>
      <c r="L72" s="57">
        <f t="shared" si="7"/>
        <v>0</v>
      </c>
      <c r="M72" s="57">
        <f t="shared" si="7"/>
        <v>0</v>
      </c>
      <c r="N72" s="57">
        <f t="shared" si="7"/>
        <v>0</v>
      </c>
      <c r="O72" s="57">
        <f t="shared" si="7"/>
        <v>0</v>
      </c>
      <c r="P72" s="57">
        <f t="shared" si="7"/>
        <v>1502</v>
      </c>
      <c r="Q72" s="129">
        <f t="shared" si="7"/>
        <v>1618</v>
      </c>
      <c r="R72" s="57">
        <f t="shared" si="7"/>
        <v>-79</v>
      </c>
      <c r="S72" s="123">
        <f t="shared" si="7"/>
        <v>-5.25965379494008E-2</v>
      </c>
      <c r="T72" s="123">
        <f t="shared" si="7"/>
        <v>0.12983576642335767</v>
      </c>
      <c r="U72" s="123">
        <f t="shared" si="7"/>
        <v>0.13216014078310603</v>
      </c>
    </row>
    <row r="73" spans="1:21" x14ac:dyDescent="0.2">
      <c r="A73" s="32">
        <f t="shared" ref="A73:U73" si="8">A10</f>
        <v>4</v>
      </c>
      <c r="B73" s="18" t="str">
        <f t="shared" si="8"/>
        <v>MAIZ AMILACEO</v>
      </c>
      <c r="C73" s="56">
        <f t="shared" si="8"/>
        <v>1369</v>
      </c>
      <c r="D73" s="57">
        <f t="shared" si="8"/>
        <v>11</v>
      </c>
      <c r="E73" s="57">
        <f t="shared" si="8"/>
        <v>360</v>
      </c>
      <c r="F73" s="57">
        <f t="shared" si="8"/>
        <v>634</v>
      </c>
      <c r="G73" s="57">
        <f t="shared" si="8"/>
        <v>324</v>
      </c>
      <c r="H73" s="57">
        <f t="shared" si="8"/>
        <v>40</v>
      </c>
      <c r="I73" s="57">
        <f t="shared" si="8"/>
        <v>0</v>
      </c>
      <c r="J73" s="57">
        <f t="shared" si="8"/>
        <v>0</v>
      </c>
      <c r="K73" s="57">
        <f t="shared" si="8"/>
        <v>0</v>
      </c>
      <c r="L73" s="57">
        <f t="shared" si="8"/>
        <v>0</v>
      </c>
      <c r="M73" s="57">
        <f t="shared" si="8"/>
        <v>0</v>
      </c>
      <c r="N73" s="57">
        <f t="shared" si="8"/>
        <v>0</v>
      </c>
      <c r="O73" s="57">
        <f t="shared" si="8"/>
        <v>0</v>
      </c>
      <c r="P73" s="57">
        <f t="shared" si="8"/>
        <v>1433</v>
      </c>
      <c r="Q73" s="129">
        <f t="shared" si="8"/>
        <v>1405</v>
      </c>
      <c r="R73" s="57">
        <f t="shared" si="8"/>
        <v>-64</v>
      </c>
      <c r="S73" s="123">
        <f t="shared" si="8"/>
        <v>-4.4661549197487785E-2</v>
      </c>
      <c r="T73" s="123">
        <f t="shared" si="8"/>
        <v>0.1249087591240876</v>
      </c>
      <c r="U73" s="123">
        <f t="shared" si="8"/>
        <v>0.12608886933567973</v>
      </c>
    </row>
    <row r="74" spans="1:21" x14ac:dyDescent="0.2">
      <c r="A74" s="32">
        <f t="shared" ref="A74:U74" si="9">A11</f>
        <v>5</v>
      </c>
      <c r="B74" s="18" t="str">
        <f t="shared" si="9"/>
        <v>CEBADA GRANO</v>
      </c>
      <c r="C74" s="56">
        <f t="shared" si="9"/>
        <v>1217</v>
      </c>
      <c r="D74" s="57">
        <f t="shared" si="9"/>
        <v>10</v>
      </c>
      <c r="E74" s="57">
        <f t="shared" si="9"/>
        <v>46</v>
      </c>
      <c r="F74" s="57">
        <f t="shared" si="9"/>
        <v>227</v>
      </c>
      <c r="G74" s="57">
        <f t="shared" si="9"/>
        <v>528</v>
      </c>
      <c r="H74" s="57">
        <f t="shared" si="9"/>
        <v>391</v>
      </c>
      <c r="I74" s="57">
        <f t="shared" si="9"/>
        <v>15</v>
      </c>
      <c r="J74" s="57">
        <f t="shared" si="9"/>
        <v>0</v>
      </c>
      <c r="K74" s="57">
        <f t="shared" si="9"/>
        <v>0</v>
      </c>
      <c r="L74" s="57">
        <f t="shared" si="9"/>
        <v>0</v>
      </c>
      <c r="M74" s="57">
        <f t="shared" si="9"/>
        <v>0</v>
      </c>
      <c r="N74" s="57">
        <f t="shared" si="9"/>
        <v>0</v>
      </c>
      <c r="O74" s="57">
        <f t="shared" si="9"/>
        <v>0</v>
      </c>
      <c r="P74" s="57">
        <f t="shared" si="9"/>
        <v>1200</v>
      </c>
      <c r="Q74" s="129">
        <f t="shared" si="9"/>
        <v>1146</v>
      </c>
      <c r="R74" s="57">
        <f t="shared" si="9"/>
        <v>17</v>
      </c>
      <c r="S74" s="123">
        <f t="shared" si="9"/>
        <v>1.4166666666666666E-2</v>
      </c>
      <c r="T74" s="123">
        <f t="shared" si="9"/>
        <v>0.11104014598540146</v>
      </c>
      <c r="U74" s="123">
        <f t="shared" si="9"/>
        <v>0.10558732952045755</v>
      </c>
    </row>
    <row r="75" spans="1:21" x14ac:dyDescent="0.2">
      <c r="A75" s="32">
        <f>A12</f>
        <v>6</v>
      </c>
      <c r="B75" s="18" t="s">
        <v>44</v>
      </c>
      <c r="C75" s="56">
        <f t="shared" ref="C75:P75" si="10">SUM(C12:C23)</f>
        <v>3798</v>
      </c>
      <c r="D75" s="56">
        <f t="shared" si="10"/>
        <v>70</v>
      </c>
      <c r="E75" s="56">
        <f t="shared" si="10"/>
        <v>533</v>
      </c>
      <c r="F75" s="56">
        <f t="shared" si="10"/>
        <v>1811</v>
      </c>
      <c r="G75" s="56">
        <f t="shared" si="10"/>
        <v>1173</v>
      </c>
      <c r="H75" s="56">
        <f t="shared" si="10"/>
        <v>187</v>
      </c>
      <c r="I75" s="56">
        <f t="shared" si="10"/>
        <v>11</v>
      </c>
      <c r="J75" s="56">
        <f t="shared" si="10"/>
        <v>0</v>
      </c>
      <c r="K75" s="56">
        <f t="shared" si="10"/>
        <v>0</v>
      </c>
      <c r="L75" s="56">
        <f t="shared" si="10"/>
        <v>0</v>
      </c>
      <c r="M75" s="56">
        <f t="shared" si="10"/>
        <v>0</v>
      </c>
      <c r="N75" s="56">
        <f t="shared" si="10"/>
        <v>0</v>
      </c>
      <c r="O75" s="56">
        <f t="shared" si="10"/>
        <v>13</v>
      </c>
      <c r="P75" s="56">
        <f t="shared" si="10"/>
        <v>3917</v>
      </c>
      <c r="Q75" s="129"/>
      <c r="R75" s="57"/>
      <c r="S75" s="57"/>
      <c r="T75" s="57"/>
      <c r="U75" s="57"/>
    </row>
    <row r="76" spans="1:21" x14ac:dyDescent="0.2">
      <c r="A76" s="104" t="s">
        <v>1349</v>
      </c>
      <c r="B76" s="105"/>
      <c r="C76" s="106">
        <f>SUBTOTAL(109,Tabla11[ENIS 2022-2023])</f>
        <v>10960</v>
      </c>
      <c r="D76" s="106">
        <f>SUBTOTAL(109,Tabla11[AGO])</f>
        <v>307</v>
      </c>
      <c r="E76" s="106">
        <f>SUBTOTAL(109,Tabla11[SEP])</f>
        <v>1403</v>
      </c>
      <c r="F76" s="106">
        <f>SUBTOTAL(109,Tabla11[OCT])</f>
        <v>4348</v>
      </c>
      <c r="G76" s="106">
        <f>SUBTOTAL(109,Tabla11[NOV])</f>
        <v>3833</v>
      </c>
      <c r="H76" s="106">
        <f>SUBTOTAL(109,Tabla11[DIC])</f>
        <v>995</v>
      </c>
      <c r="I76" s="106">
        <f>SUBTOTAL(109,Tabla11[ENE])</f>
        <v>26</v>
      </c>
      <c r="J76" s="106">
        <f>SUBTOTAL(109,Tabla11[FEB])</f>
        <v>0</v>
      </c>
      <c r="K76" s="106">
        <f>SUBTOTAL(109,Tabla11[MAR])</f>
        <v>0</v>
      </c>
      <c r="L76" s="106">
        <f>SUBTOTAL(109,Tabla11[ABR])</f>
        <v>0</v>
      </c>
      <c r="M76" s="106">
        <f>SUBTOTAL(109,Tabla11[MAY])</f>
        <v>0</v>
      </c>
      <c r="N76" s="106">
        <f>SUBTOTAL(109,Tabla11[JUN])</f>
        <v>0</v>
      </c>
      <c r="O76" s="106">
        <f>SUBTOTAL(109,Tabla11[JUL])</f>
        <v>48</v>
      </c>
      <c r="P76" s="106">
        <f>SUBTOTAL(109,Tabla11[SUPERFICIE SEMBRADA 2021-2022])</f>
        <v>11365</v>
      </c>
      <c r="Q76" s="130"/>
      <c r="R76" s="104"/>
      <c r="S76" s="104"/>
      <c r="T76" s="104"/>
      <c r="U76" s="104"/>
    </row>
    <row r="78" spans="1:21" ht="29.25" customHeight="1" x14ac:dyDescent="0.2"/>
    <row r="79" spans="1:21" x14ac:dyDescent="0.2">
      <c r="B79" s="139" t="s">
        <v>1312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22"/>
      <c r="R79" s="22"/>
      <c r="S79" s="22"/>
      <c r="T79" s="22"/>
      <c r="U79" s="22"/>
    </row>
  </sheetData>
  <mergeCells count="7">
    <mergeCell ref="A2:W2"/>
    <mergeCell ref="D68:H68"/>
    <mergeCell ref="I68:O68"/>
    <mergeCell ref="B79:P79"/>
    <mergeCell ref="D4:H4"/>
    <mergeCell ref="I4:O4"/>
    <mergeCell ref="A40:O40"/>
  </mergeCell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63BC-275B-4EA2-9143-B92882F0EFB9}">
  <dimension ref="A1:AG80"/>
  <sheetViews>
    <sheetView showGridLines="0" zoomScaleNormal="100" workbookViewId="0">
      <selection activeCell="A4" sqref="A4:P20"/>
    </sheetView>
  </sheetViews>
  <sheetFormatPr baseColWidth="10" defaultColWidth="11.42578125" defaultRowHeight="12.75" x14ac:dyDescent="0.2"/>
  <cols>
    <col min="1" max="1" width="4.7109375" style="19" customWidth="1"/>
    <col min="2" max="2" width="19.7109375" style="21" customWidth="1"/>
    <col min="3" max="3" width="14.140625" style="19" customWidth="1"/>
    <col min="4" max="15" width="5.7109375" style="19" customWidth="1"/>
    <col min="16" max="21" width="19.7109375" style="19" customWidth="1"/>
    <col min="22" max="22" width="10.7109375" style="23" customWidth="1"/>
    <col min="23" max="23" width="10.7109375" style="19" customWidth="1"/>
    <col min="24" max="16384" width="11.42578125" style="21"/>
  </cols>
  <sheetData>
    <row r="1" spans="1:23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</row>
    <row r="2" spans="1:23" x14ac:dyDescent="0.2">
      <c r="A2" s="161" t="s">
        <v>1355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</row>
    <row r="3" spans="1:23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</row>
    <row r="4" spans="1:23" ht="13.5" customHeight="1" x14ac:dyDescent="0.2">
      <c r="A4" s="82"/>
      <c r="B4" s="88"/>
      <c r="C4" s="82"/>
      <c r="D4" s="160">
        <f>HGA!D4</f>
        <v>2022</v>
      </c>
      <c r="E4" s="160"/>
      <c r="F4" s="160"/>
      <c r="G4" s="160"/>
      <c r="H4" s="160"/>
      <c r="I4" s="160">
        <f>HGA!I4</f>
        <v>2023</v>
      </c>
      <c r="J4" s="160"/>
      <c r="K4" s="160"/>
      <c r="L4" s="160"/>
      <c r="M4" s="160"/>
      <c r="N4" s="160"/>
      <c r="O4" s="160"/>
      <c r="P4" s="77"/>
      <c r="Q4" s="125"/>
      <c r="R4" s="77"/>
      <c r="S4" s="77"/>
      <c r="T4" s="77"/>
      <c r="U4" s="77"/>
    </row>
    <row r="5" spans="1:23" ht="27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82" t="s">
        <v>1353</v>
      </c>
    </row>
    <row r="6" spans="1:23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3" ht="12.75" customHeight="1" x14ac:dyDescent="0.2">
      <c r="A7" s="32">
        <v>1</v>
      </c>
      <c r="B7" s="18" t="s">
        <v>1</v>
      </c>
      <c r="C7" s="56">
        <v>428</v>
      </c>
      <c r="D7" s="57">
        <v>0</v>
      </c>
      <c r="E7" s="57">
        <v>0</v>
      </c>
      <c r="F7" s="57">
        <v>5</v>
      </c>
      <c r="G7" s="57">
        <v>45</v>
      </c>
      <c r="H7" s="57">
        <v>278</v>
      </c>
      <c r="I7" s="57">
        <v>91</v>
      </c>
      <c r="J7" s="57">
        <v>0</v>
      </c>
      <c r="K7" s="57">
        <v>0</v>
      </c>
      <c r="L7" s="57">
        <v>0</v>
      </c>
      <c r="M7" s="57">
        <v>0</v>
      </c>
      <c r="N7" s="57">
        <v>6</v>
      </c>
      <c r="O7" s="57">
        <v>3</v>
      </c>
      <c r="P7" s="57">
        <v>404</v>
      </c>
      <c r="Q7" s="129">
        <v>403</v>
      </c>
      <c r="R7" s="57">
        <f t="shared" ref="R7:R19" si="0">C7-P7</f>
        <v>24</v>
      </c>
      <c r="S7" s="27">
        <f t="shared" ref="S7:S18" si="1">(C7-P7)/P7</f>
        <v>5.9405940594059403E-2</v>
      </c>
      <c r="T7" s="27">
        <f>C7/$C$20</f>
        <v>0.24387464387464389</v>
      </c>
      <c r="U7" s="27">
        <f>P7/$P$20</f>
        <v>0.27747252747252749</v>
      </c>
    </row>
    <row r="8" spans="1:23" ht="12.75" customHeight="1" x14ac:dyDescent="0.2">
      <c r="A8" s="32">
        <v>2</v>
      </c>
      <c r="B8" s="18" t="s">
        <v>189</v>
      </c>
      <c r="C8" s="56">
        <v>339</v>
      </c>
      <c r="D8" s="57">
        <v>0</v>
      </c>
      <c r="E8" s="57">
        <v>32</v>
      </c>
      <c r="F8" s="57">
        <v>246</v>
      </c>
      <c r="G8" s="57">
        <v>61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267</v>
      </c>
      <c r="Q8" s="129">
        <v>318</v>
      </c>
      <c r="R8" s="57">
        <f t="shared" si="0"/>
        <v>72</v>
      </c>
      <c r="S8" s="27">
        <f t="shared" si="1"/>
        <v>0.2696629213483146</v>
      </c>
      <c r="T8" s="27">
        <f t="shared" ref="T8:T18" si="2">C8/$C$20</f>
        <v>0.19316239316239317</v>
      </c>
      <c r="U8" s="27">
        <f t="shared" ref="U8:U18" si="3">P8/$P$20</f>
        <v>0.18337912087912087</v>
      </c>
    </row>
    <row r="9" spans="1:23" ht="12.75" customHeight="1" x14ac:dyDescent="0.2">
      <c r="A9" s="32">
        <v>3</v>
      </c>
      <c r="B9" s="18" t="s">
        <v>190</v>
      </c>
      <c r="C9" s="56">
        <v>236</v>
      </c>
      <c r="D9" s="57">
        <v>0</v>
      </c>
      <c r="E9" s="57">
        <v>0</v>
      </c>
      <c r="F9" s="57">
        <v>0</v>
      </c>
      <c r="G9" s="57">
        <v>38</v>
      </c>
      <c r="H9" s="57">
        <v>154</v>
      </c>
      <c r="I9" s="57">
        <v>44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193</v>
      </c>
      <c r="Q9" s="129">
        <v>228</v>
      </c>
      <c r="R9" s="57">
        <f t="shared" si="0"/>
        <v>43</v>
      </c>
      <c r="S9" s="27">
        <f t="shared" si="1"/>
        <v>0.22279792746113988</v>
      </c>
      <c r="T9" s="27">
        <f t="shared" si="2"/>
        <v>0.13447293447293449</v>
      </c>
      <c r="U9" s="27">
        <f t="shared" si="3"/>
        <v>0.13255494505494506</v>
      </c>
    </row>
    <row r="10" spans="1:23" ht="12.75" customHeight="1" x14ac:dyDescent="0.2">
      <c r="A10" s="32">
        <v>4</v>
      </c>
      <c r="B10" s="18" t="s">
        <v>3</v>
      </c>
      <c r="C10" s="56">
        <v>219</v>
      </c>
      <c r="D10" s="57">
        <v>0</v>
      </c>
      <c r="E10" s="57">
        <v>8</v>
      </c>
      <c r="F10" s="57">
        <v>98</v>
      </c>
      <c r="G10" s="57">
        <v>69</v>
      </c>
      <c r="H10" s="57">
        <v>38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6</v>
      </c>
      <c r="O10" s="57">
        <v>0</v>
      </c>
      <c r="P10" s="57">
        <v>196</v>
      </c>
      <c r="Q10" s="129">
        <v>216</v>
      </c>
      <c r="R10" s="57">
        <f t="shared" si="0"/>
        <v>23</v>
      </c>
      <c r="S10" s="27">
        <f t="shared" si="1"/>
        <v>0.11734693877551021</v>
      </c>
      <c r="T10" s="27">
        <f t="shared" si="2"/>
        <v>0.12478632478632479</v>
      </c>
      <c r="U10" s="27">
        <f t="shared" si="3"/>
        <v>0.13461538461538461</v>
      </c>
    </row>
    <row r="11" spans="1:23" ht="12.75" customHeight="1" x14ac:dyDescent="0.2">
      <c r="A11" s="32">
        <v>5</v>
      </c>
      <c r="B11" s="18" t="s">
        <v>191</v>
      </c>
      <c r="C11" s="56">
        <v>103</v>
      </c>
      <c r="D11" s="57">
        <v>0</v>
      </c>
      <c r="E11" s="57">
        <v>0</v>
      </c>
      <c r="F11" s="57">
        <v>3</v>
      </c>
      <c r="G11" s="57">
        <v>21</v>
      </c>
      <c r="H11" s="57">
        <v>62</v>
      </c>
      <c r="I11" s="57">
        <v>17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98</v>
      </c>
      <c r="Q11" s="129">
        <v>103</v>
      </c>
      <c r="R11" s="57">
        <f t="shared" si="0"/>
        <v>5</v>
      </c>
      <c r="S11" s="27">
        <f t="shared" si="1"/>
        <v>5.1020408163265307E-2</v>
      </c>
      <c r="T11" s="27">
        <f t="shared" si="2"/>
        <v>5.8689458689458691E-2</v>
      </c>
      <c r="U11" s="27">
        <f t="shared" si="3"/>
        <v>6.7307692307692304E-2</v>
      </c>
    </row>
    <row r="12" spans="1:23" ht="12.75" customHeight="1" x14ac:dyDescent="0.2">
      <c r="A12" s="32">
        <v>6</v>
      </c>
      <c r="B12" s="18" t="s">
        <v>193</v>
      </c>
      <c r="C12" s="56">
        <v>91</v>
      </c>
      <c r="D12" s="57">
        <v>0</v>
      </c>
      <c r="E12" s="57">
        <v>0</v>
      </c>
      <c r="F12" s="57">
        <v>4</v>
      </c>
      <c r="G12" s="57">
        <v>31</v>
      </c>
      <c r="H12" s="57">
        <v>54</v>
      </c>
      <c r="I12" s="57">
        <v>2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59</v>
      </c>
      <c r="Q12" s="129">
        <v>78</v>
      </c>
      <c r="R12" s="57">
        <f t="shared" si="0"/>
        <v>32</v>
      </c>
      <c r="S12" s="27">
        <f t="shared" si="1"/>
        <v>0.5423728813559322</v>
      </c>
      <c r="T12" s="27">
        <f t="shared" si="2"/>
        <v>5.185185185185185E-2</v>
      </c>
      <c r="U12" s="27">
        <f t="shared" si="3"/>
        <v>4.0521978021978024E-2</v>
      </c>
    </row>
    <row r="13" spans="1:23" ht="12.75" customHeight="1" x14ac:dyDescent="0.2">
      <c r="A13" s="32">
        <v>7</v>
      </c>
      <c r="B13" s="18" t="s">
        <v>4</v>
      </c>
      <c r="C13" s="56">
        <v>71</v>
      </c>
      <c r="D13" s="57">
        <v>0</v>
      </c>
      <c r="E13" s="57">
        <v>0</v>
      </c>
      <c r="F13" s="57">
        <v>22</v>
      </c>
      <c r="G13" s="57">
        <v>47</v>
      </c>
      <c r="H13" s="57">
        <v>2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41</v>
      </c>
      <c r="Q13" s="129">
        <v>55</v>
      </c>
      <c r="R13" s="57">
        <f t="shared" si="0"/>
        <v>30</v>
      </c>
      <c r="S13" s="27">
        <f t="shared" si="1"/>
        <v>0.73170731707317072</v>
      </c>
      <c r="T13" s="27">
        <f t="shared" si="2"/>
        <v>4.0455840455840456E-2</v>
      </c>
      <c r="U13" s="27">
        <f t="shared" si="3"/>
        <v>2.815934065934066E-2</v>
      </c>
    </row>
    <row r="14" spans="1:23" ht="12.75" customHeight="1" x14ac:dyDescent="0.2">
      <c r="A14" s="32">
        <v>8</v>
      </c>
      <c r="B14" s="18" t="s">
        <v>174</v>
      </c>
      <c r="C14" s="56">
        <v>67</v>
      </c>
      <c r="D14" s="57">
        <v>0</v>
      </c>
      <c r="E14" s="57">
        <v>0</v>
      </c>
      <c r="F14" s="57">
        <v>18</v>
      </c>
      <c r="G14" s="57">
        <v>46</v>
      </c>
      <c r="H14" s="57">
        <v>3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38</v>
      </c>
      <c r="Q14" s="129">
        <v>56</v>
      </c>
      <c r="R14" s="57">
        <f t="shared" si="0"/>
        <v>29</v>
      </c>
      <c r="S14" s="27">
        <f t="shared" si="1"/>
        <v>0.76315789473684215</v>
      </c>
      <c r="T14" s="27">
        <f t="shared" si="2"/>
        <v>3.8176638176638175E-2</v>
      </c>
      <c r="U14" s="27">
        <f t="shared" si="3"/>
        <v>2.60989010989011E-2</v>
      </c>
    </row>
    <row r="15" spans="1:23" ht="12.75" customHeight="1" x14ac:dyDescent="0.2">
      <c r="A15" s="32">
        <v>9</v>
      </c>
      <c r="B15" s="18" t="s">
        <v>192</v>
      </c>
      <c r="C15" s="56">
        <v>59</v>
      </c>
      <c r="D15" s="57">
        <v>0</v>
      </c>
      <c r="E15" s="57">
        <v>0</v>
      </c>
      <c r="F15" s="57">
        <v>12</v>
      </c>
      <c r="G15" s="57">
        <v>36</v>
      </c>
      <c r="H15" s="57">
        <v>11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58</v>
      </c>
      <c r="Q15" s="129">
        <v>63</v>
      </c>
      <c r="R15" s="57">
        <f t="shared" si="0"/>
        <v>1</v>
      </c>
      <c r="S15" s="27">
        <f t="shared" si="1"/>
        <v>1.7241379310344827E-2</v>
      </c>
      <c r="T15" s="27">
        <f t="shared" si="2"/>
        <v>3.3618233618233621E-2</v>
      </c>
      <c r="U15" s="27">
        <f t="shared" si="3"/>
        <v>3.9835164835164832E-2</v>
      </c>
    </row>
    <row r="16" spans="1:23" ht="12.75" customHeight="1" x14ac:dyDescent="0.2">
      <c r="A16" s="32">
        <v>10</v>
      </c>
      <c r="B16" s="18" t="s">
        <v>0</v>
      </c>
      <c r="C16" s="56">
        <v>53</v>
      </c>
      <c r="D16" s="57">
        <v>0</v>
      </c>
      <c r="E16" s="57">
        <v>4</v>
      </c>
      <c r="F16" s="57">
        <v>30</v>
      </c>
      <c r="G16" s="57">
        <v>19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41</v>
      </c>
      <c r="Q16" s="129">
        <v>51</v>
      </c>
      <c r="R16" s="57">
        <f t="shared" si="0"/>
        <v>12</v>
      </c>
      <c r="S16" s="27">
        <f t="shared" si="1"/>
        <v>0.29268292682926828</v>
      </c>
      <c r="T16" s="27">
        <f t="shared" si="2"/>
        <v>3.0199430199430201E-2</v>
      </c>
      <c r="U16" s="27">
        <f t="shared" si="3"/>
        <v>2.815934065934066E-2</v>
      </c>
    </row>
    <row r="17" spans="1:23" ht="12.75" customHeight="1" x14ac:dyDescent="0.2">
      <c r="A17" s="32">
        <v>11</v>
      </c>
      <c r="B17" s="18" t="s">
        <v>173</v>
      </c>
      <c r="C17" s="56">
        <v>48</v>
      </c>
      <c r="D17" s="57">
        <v>0</v>
      </c>
      <c r="E17" s="57">
        <v>0</v>
      </c>
      <c r="F17" s="57">
        <v>12</v>
      </c>
      <c r="G17" s="57">
        <v>35</v>
      </c>
      <c r="H17" s="57">
        <v>1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33</v>
      </c>
      <c r="Q17" s="129">
        <v>46</v>
      </c>
      <c r="R17" s="57">
        <f t="shared" si="0"/>
        <v>15</v>
      </c>
      <c r="S17" s="27">
        <f t="shared" si="1"/>
        <v>0.45454545454545453</v>
      </c>
      <c r="T17" s="27">
        <f t="shared" si="2"/>
        <v>2.735042735042735E-2</v>
      </c>
      <c r="U17" s="27">
        <f t="shared" si="3"/>
        <v>2.2664835164835164E-2</v>
      </c>
    </row>
    <row r="18" spans="1:23" ht="12.75" customHeight="1" x14ac:dyDescent="0.2">
      <c r="A18" s="32">
        <v>12</v>
      </c>
      <c r="B18" s="18" t="s">
        <v>5</v>
      </c>
      <c r="C18" s="56">
        <v>41</v>
      </c>
      <c r="D18" s="57">
        <v>0</v>
      </c>
      <c r="E18" s="57">
        <v>0</v>
      </c>
      <c r="F18" s="57">
        <v>9</v>
      </c>
      <c r="G18" s="57">
        <v>25</v>
      </c>
      <c r="H18" s="57">
        <v>7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28</v>
      </c>
      <c r="Q18" s="129">
        <v>43</v>
      </c>
      <c r="R18" s="57">
        <f t="shared" si="0"/>
        <v>13</v>
      </c>
      <c r="S18" s="27">
        <f t="shared" si="1"/>
        <v>0.4642857142857143</v>
      </c>
      <c r="T18" s="27">
        <f t="shared" si="2"/>
        <v>2.3361823361823363E-2</v>
      </c>
      <c r="U18" s="27">
        <f t="shared" si="3"/>
        <v>1.9230769230769232E-2</v>
      </c>
    </row>
    <row r="19" spans="1:23" ht="12.75" customHeight="1" x14ac:dyDescent="0.2">
      <c r="A19" s="32"/>
      <c r="B19" s="18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129"/>
      <c r="R19" s="57">
        <f t="shared" si="0"/>
        <v>0</v>
      </c>
      <c r="S19" s="27"/>
      <c r="T19" s="27"/>
      <c r="U19" s="27"/>
    </row>
    <row r="20" spans="1:23" ht="16.5" customHeight="1" x14ac:dyDescent="0.2">
      <c r="A20" s="104" t="s">
        <v>1349</v>
      </c>
      <c r="B20" s="105"/>
      <c r="C20" s="106">
        <f>SUBTOTAL(109,Tabla1[ENIS 2022-2023])</f>
        <v>1755</v>
      </c>
      <c r="D20" s="106">
        <f>SUBTOTAL(109,Tabla1[AGO])</f>
        <v>0</v>
      </c>
      <c r="E20" s="106">
        <f>SUBTOTAL(109,Tabla1[SEP])</f>
        <v>44</v>
      </c>
      <c r="F20" s="106">
        <f>SUBTOTAL(109,Tabla1[OCT])</f>
        <v>459</v>
      </c>
      <c r="G20" s="106">
        <f>SUBTOTAL(109,Tabla1[NOV])</f>
        <v>473</v>
      </c>
      <c r="H20" s="106">
        <f>SUBTOTAL(109,Tabla1[DIC])</f>
        <v>610</v>
      </c>
      <c r="I20" s="106">
        <f>SUBTOTAL(109,Tabla1[ENE])</f>
        <v>154</v>
      </c>
      <c r="J20" s="106">
        <f>SUBTOTAL(109,Tabla1[FEB])</f>
        <v>0</v>
      </c>
      <c r="K20" s="106">
        <f>SUBTOTAL(109,Tabla1[MAR])</f>
        <v>0</v>
      </c>
      <c r="L20" s="106">
        <f>SUBTOTAL(109,Tabla1[ABR])</f>
        <v>0</v>
      </c>
      <c r="M20" s="106">
        <f>SUBTOTAL(109,Tabla1[MAY])</f>
        <v>0</v>
      </c>
      <c r="N20" s="106">
        <f>SUBTOTAL(109,Tabla1[JUN])</f>
        <v>12</v>
      </c>
      <c r="O20" s="106">
        <f>SUBTOTAL(109,Tabla1[JUL])</f>
        <v>3</v>
      </c>
      <c r="P20" s="106">
        <f>SUBTOTAL(109,Tabla1[SUPERFICIE SEMBRADA 2021-2022])</f>
        <v>1456</v>
      </c>
      <c r="Q20" s="132">
        <f>SUBTOTAL(109,Tabla1[ENIS 2021-2022])</f>
        <v>1660</v>
      </c>
      <c r="R20" s="106">
        <f>SUBTOTAL(109,Tabla1[DIF.])</f>
        <v>299</v>
      </c>
      <c r="S20" s="119">
        <f>(C20-P20)/P20</f>
        <v>0.20535714285714285</v>
      </c>
      <c r="T20" s="119">
        <f>SUBTOTAL(109,Tabla1[% ENIS])</f>
        <v>1</v>
      </c>
      <c r="U20" s="119">
        <f>SUBTOTAL(109,Tabla1[%  SUP SEMB])</f>
        <v>1</v>
      </c>
      <c r="V20" s="27"/>
      <c r="W20" s="27"/>
    </row>
    <row r="22" spans="1:23" x14ac:dyDescent="0.2">
      <c r="A22" s="25"/>
      <c r="B22" s="30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34"/>
      <c r="Q22" s="34"/>
      <c r="R22" s="34"/>
      <c r="S22" s="34"/>
      <c r="T22" s="34"/>
      <c r="U22" s="34"/>
    </row>
    <row r="23" spans="1:23" x14ac:dyDescent="0.2">
      <c r="A23" s="25"/>
      <c r="B23" s="30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34"/>
      <c r="Q23" s="34"/>
      <c r="R23" s="34"/>
      <c r="S23" s="34"/>
      <c r="T23" s="34"/>
      <c r="U23" s="34"/>
    </row>
    <row r="24" spans="1:23" x14ac:dyDescent="0.2">
      <c r="A24" s="25"/>
      <c r="B24" s="30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34"/>
      <c r="Q24" s="34"/>
      <c r="R24" s="34"/>
      <c r="S24" s="34"/>
      <c r="T24" s="34"/>
      <c r="U24" s="34"/>
    </row>
    <row r="25" spans="1:23" x14ac:dyDescent="0.2">
      <c r="A25" s="25"/>
      <c r="B25" s="30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34"/>
      <c r="Q25" s="34"/>
      <c r="R25" s="34"/>
      <c r="S25" s="34"/>
      <c r="T25" s="34"/>
      <c r="U25" s="34"/>
    </row>
    <row r="26" spans="1:23" x14ac:dyDescent="0.2">
      <c r="A26" s="25"/>
      <c r="B26" s="30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34"/>
      <c r="Q26" s="34"/>
      <c r="R26" s="34"/>
      <c r="S26" s="34"/>
      <c r="T26" s="34"/>
      <c r="U26" s="34"/>
    </row>
    <row r="27" spans="1:23" x14ac:dyDescent="0.2">
      <c r="A27" s="25"/>
      <c r="B27" s="30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34"/>
      <c r="Q27" s="34"/>
      <c r="R27" s="34"/>
      <c r="S27" s="34"/>
      <c r="T27" s="34"/>
      <c r="U27" s="34"/>
    </row>
    <row r="28" spans="1:23" x14ac:dyDescent="0.2">
      <c r="A28" s="25"/>
      <c r="B28" s="30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34"/>
      <c r="Q28" s="34"/>
      <c r="R28" s="34"/>
      <c r="S28" s="34"/>
      <c r="T28" s="34"/>
      <c r="U28" s="34"/>
    </row>
    <row r="29" spans="1:23" x14ac:dyDescent="0.2">
      <c r="A29" s="25"/>
      <c r="B29" s="30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34"/>
      <c r="Q29" s="34"/>
      <c r="R29" s="34"/>
      <c r="S29" s="34"/>
      <c r="T29" s="34"/>
      <c r="U29" s="34"/>
    </row>
    <row r="30" spans="1:23" x14ac:dyDescent="0.2">
      <c r="A30" s="25"/>
      <c r="B30" s="3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34"/>
      <c r="Q30" s="34"/>
      <c r="R30" s="34"/>
      <c r="S30" s="34"/>
      <c r="T30" s="34"/>
      <c r="U30" s="34"/>
    </row>
    <row r="31" spans="1:23" x14ac:dyDescent="0.2">
      <c r="A31" s="25"/>
      <c r="B31" s="30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34"/>
      <c r="Q31" s="34"/>
      <c r="R31" s="34"/>
      <c r="S31" s="34"/>
      <c r="T31" s="34"/>
      <c r="U31" s="34"/>
    </row>
    <row r="32" spans="1:23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34"/>
      <c r="Q32" s="34"/>
      <c r="R32" s="34"/>
      <c r="S32" s="34"/>
      <c r="T32" s="34"/>
      <c r="U32" s="34"/>
    </row>
    <row r="33" spans="1:33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34"/>
      <c r="Q33" s="34"/>
      <c r="R33" s="34"/>
      <c r="S33" s="34"/>
      <c r="T33" s="34"/>
      <c r="U33" s="34"/>
    </row>
    <row r="34" spans="1:33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4"/>
      <c r="Q34" s="34"/>
      <c r="R34" s="34"/>
      <c r="S34" s="34"/>
      <c r="T34" s="34"/>
      <c r="U34" s="34"/>
    </row>
    <row r="35" spans="1:33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34"/>
      <c r="Q35" s="34"/>
      <c r="R35" s="34"/>
      <c r="S35" s="34"/>
      <c r="T35" s="34"/>
      <c r="U35" s="34"/>
    </row>
    <row r="36" spans="1:33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4"/>
      <c r="Q36" s="34"/>
      <c r="R36" s="34"/>
      <c r="S36" s="34"/>
      <c r="T36" s="34"/>
      <c r="U36" s="34"/>
    </row>
    <row r="37" spans="1:33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34"/>
      <c r="Q37" s="34"/>
      <c r="R37" s="34"/>
      <c r="S37" s="34"/>
      <c r="T37" s="34"/>
      <c r="U37" s="34"/>
    </row>
    <row r="38" spans="1:33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34"/>
      <c r="Q38" s="34"/>
      <c r="R38" s="34"/>
      <c r="S38" s="34"/>
      <c r="T38" s="34"/>
      <c r="U38" s="34"/>
    </row>
    <row r="39" spans="1:33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34"/>
      <c r="Q39" s="34"/>
      <c r="R39" s="34"/>
      <c r="S39" s="34"/>
      <c r="T39" s="34"/>
      <c r="U39" s="34"/>
    </row>
    <row r="40" spans="1:33" x14ac:dyDescent="0.2">
      <c r="A40" s="25"/>
      <c r="B40" s="3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34"/>
      <c r="Q40" s="34"/>
      <c r="R40" s="34"/>
      <c r="S40" s="34"/>
      <c r="T40" s="34"/>
      <c r="U40" s="34"/>
    </row>
    <row r="41" spans="1:33" x14ac:dyDescent="0.2">
      <c r="A41" s="152" t="s">
        <v>1303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22"/>
      <c r="Q41" s="22"/>
      <c r="R41" s="22"/>
      <c r="S41" s="22"/>
      <c r="T41" s="22"/>
      <c r="U41" s="22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41"/>
    </row>
    <row r="42" spans="1:33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141"/>
    </row>
    <row r="43" spans="1:33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</row>
    <row r="44" spans="1:33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</row>
    <row r="45" spans="1:33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</row>
    <row r="46" spans="1:33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</row>
    <row r="47" spans="1:33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</row>
    <row r="48" spans="1:33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</row>
    <row r="49" spans="2:21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</row>
    <row r="50" spans="2:21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</row>
    <row r="51" spans="2:21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</row>
    <row r="52" spans="2:21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</row>
    <row r="53" spans="2:21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</row>
    <row r="54" spans="2:21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</row>
    <row r="55" spans="2:21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</row>
    <row r="56" spans="2:21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</row>
    <row r="57" spans="2:21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</row>
    <row r="58" spans="2:21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</row>
    <row r="59" spans="2:21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</row>
    <row r="60" spans="2:21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</row>
    <row r="61" spans="2:21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</row>
    <row r="62" spans="2:21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</row>
    <row r="63" spans="2:21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</row>
    <row r="64" spans="2:21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</row>
    <row r="65" spans="1:21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</row>
    <row r="66" spans="1:21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</row>
    <row r="67" spans="1:2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</row>
    <row r="68" spans="1:21" ht="12.75" customHeight="1" x14ac:dyDescent="0.2">
      <c r="B68" s="18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2"/>
      <c r="Q68" s="22"/>
      <c r="R68" s="22"/>
      <c r="S68" s="22"/>
      <c r="T68" s="22"/>
      <c r="U68" s="22"/>
    </row>
    <row r="69" spans="1:21" x14ac:dyDescent="0.2">
      <c r="A69" s="82"/>
      <c r="B69" s="88"/>
      <c r="C69" s="82"/>
      <c r="D69" s="160">
        <f t="shared" ref="D69:O69" si="4">D4</f>
        <v>2022</v>
      </c>
      <c r="E69" s="160">
        <f t="shared" si="4"/>
        <v>0</v>
      </c>
      <c r="F69" s="160">
        <f t="shared" si="4"/>
        <v>0</v>
      </c>
      <c r="G69" s="160">
        <f t="shared" si="4"/>
        <v>0</v>
      </c>
      <c r="H69" s="160">
        <f t="shared" si="4"/>
        <v>0</v>
      </c>
      <c r="I69" s="160">
        <f t="shared" si="4"/>
        <v>2023</v>
      </c>
      <c r="J69" s="160">
        <f t="shared" si="4"/>
        <v>0</v>
      </c>
      <c r="K69" s="160">
        <f t="shared" si="4"/>
        <v>0</v>
      </c>
      <c r="L69" s="160">
        <f t="shared" si="4"/>
        <v>0</v>
      </c>
      <c r="M69" s="160">
        <f t="shared" si="4"/>
        <v>0</v>
      </c>
      <c r="N69" s="160">
        <f t="shared" si="4"/>
        <v>0</v>
      </c>
      <c r="O69" s="160">
        <f t="shared" si="4"/>
        <v>0</v>
      </c>
      <c r="P69" s="77"/>
      <c r="Q69" s="125"/>
      <c r="R69" s="77"/>
      <c r="S69" s="77"/>
      <c r="T69" s="77"/>
      <c r="U69" s="77"/>
    </row>
    <row r="70" spans="1:21" ht="25.5" x14ac:dyDescent="0.2">
      <c r="A70" s="87" t="s">
        <v>59</v>
      </c>
      <c r="B70" s="89" t="s">
        <v>10</v>
      </c>
      <c r="C70" s="87" t="s">
        <v>1298</v>
      </c>
      <c r="D70" s="90" t="s">
        <v>12</v>
      </c>
      <c r="E70" s="90" t="s">
        <v>13</v>
      </c>
      <c r="F70" s="90" t="s">
        <v>14</v>
      </c>
      <c r="G70" s="90" t="s">
        <v>15</v>
      </c>
      <c r="H70" s="90" t="s">
        <v>16</v>
      </c>
      <c r="I70" s="90" t="s">
        <v>17</v>
      </c>
      <c r="J70" s="90" t="s">
        <v>18</v>
      </c>
      <c r="K70" s="90" t="s">
        <v>19</v>
      </c>
      <c r="L70" s="90" t="s">
        <v>20</v>
      </c>
      <c r="M70" s="90" t="s">
        <v>21</v>
      </c>
      <c r="N70" s="90" t="s">
        <v>22</v>
      </c>
      <c r="O70" s="90" t="s">
        <v>23</v>
      </c>
      <c r="P70" s="91" t="s">
        <v>1328</v>
      </c>
      <c r="Q70" s="126" t="s">
        <v>1299</v>
      </c>
      <c r="R70" s="118" t="s">
        <v>187</v>
      </c>
      <c r="S70" s="118" t="s">
        <v>1351</v>
      </c>
      <c r="T70" s="82" t="s">
        <v>1352</v>
      </c>
      <c r="U70" s="82" t="s">
        <v>1353</v>
      </c>
    </row>
    <row r="71" spans="1:21" x14ac:dyDescent="0.2">
      <c r="A71" s="32">
        <f t="shared" ref="A71:P71" si="5">A7</f>
        <v>1</v>
      </c>
      <c r="B71" s="18" t="str">
        <f t="shared" si="5"/>
        <v>CEBADA GRANO</v>
      </c>
      <c r="C71" s="56">
        <f t="shared" si="5"/>
        <v>428</v>
      </c>
      <c r="D71" s="57">
        <f t="shared" si="5"/>
        <v>0</v>
      </c>
      <c r="E71" s="57">
        <f t="shared" si="5"/>
        <v>0</v>
      </c>
      <c r="F71" s="57">
        <f t="shared" si="5"/>
        <v>5</v>
      </c>
      <c r="G71" s="57">
        <f t="shared" si="5"/>
        <v>45</v>
      </c>
      <c r="H71" s="57">
        <f t="shared" si="5"/>
        <v>278</v>
      </c>
      <c r="I71" s="57">
        <f t="shared" si="5"/>
        <v>91</v>
      </c>
      <c r="J71" s="57">
        <f t="shared" si="5"/>
        <v>0</v>
      </c>
      <c r="K71" s="57">
        <f t="shared" si="5"/>
        <v>0</v>
      </c>
      <c r="L71" s="57">
        <f t="shared" si="5"/>
        <v>0</v>
      </c>
      <c r="M71" s="57">
        <f t="shared" si="5"/>
        <v>0</v>
      </c>
      <c r="N71" s="57">
        <f t="shared" si="5"/>
        <v>6</v>
      </c>
      <c r="O71" s="57">
        <f t="shared" si="5"/>
        <v>3</v>
      </c>
      <c r="P71" s="57">
        <f t="shared" si="5"/>
        <v>404</v>
      </c>
      <c r="Q71" s="129">
        <f t="shared" ref="Q71:U71" si="6">Q7</f>
        <v>403</v>
      </c>
      <c r="R71" s="57">
        <f t="shared" si="6"/>
        <v>24</v>
      </c>
      <c r="S71" s="123">
        <f t="shared" si="6"/>
        <v>5.9405940594059403E-2</v>
      </c>
      <c r="T71" s="123">
        <f t="shared" si="6"/>
        <v>0.24387464387464389</v>
      </c>
      <c r="U71" s="123">
        <f t="shared" si="6"/>
        <v>0.27747252747252749</v>
      </c>
    </row>
    <row r="72" spans="1:21" x14ac:dyDescent="0.2">
      <c r="A72" s="32">
        <f t="shared" ref="A72:P72" si="7">A8</f>
        <v>2</v>
      </c>
      <c r="B72" s="18" t="str">
        <f t="shared" si="7"/>
        <v>MAIZ AMILACEO</v>
      </c>
      <c r="C72" s="56">
        <f t="shared" si="7"/>
        <v>339</v>
      </c>
      <c r="D72" s="57">
        <f t="shared" si="7"/>
        <v>0</v>
      </c>
      <c r="E72" s="57">
        <f t="shared" si="7"/>
        <v>32</v>
      </c>
      <c r="F72" s="57">
        <f t="shared" si="7"/>
        <v>246</v>
      </c>
      <c r="G72" s="57">
        <f t="shared" si="7"/>
        <v>61</v>
      </c>
      <c r="H72" s="57">
        <f t="shared" si="7"/>
        <v>0</v>
      </c>
      <c r="I72" s="57">
        <f t="shared" si="7"/>
        <v>0</v>
      </c>
      <c r="J72" s="57">
        <f t="shared" si="7"/>
        <v>0</v>
      </c>
      <c r="K72" s="57">
        <f t="shared" si="7"/>
        <v>0</v>
      </c>
      <c r="L72" s="57">
        <f t="shared" si="7"/>
        <v>0</v>
      </c>
      <c r="M72" s="57">
        <f t="shared" si="7"/>
        <v>0</v>
      </c>
      <c r="N72" s="57">
        <f t="shared" si="7"/>
        <v>0</v>
      </c>
      <c r="O72" s="57">
        <f t="shared" si="7"/>
        <v>0</v>
      </c>
      <c r="P72" s="57">
        <f t="shared" si="7"/>
        <v>267</v>
      </c>
      <c r="Q72" s="129">
        <f t="shared" ref="Q72:U72" si="8">Q8</f>
        <v>318</v>
      </c>
      <c r="R72" s="57">
        <f t="shared" si="8"/>
        <v>72</v>
      </c>
      <c r="S72" s="123">
        <f t="shared" si="8"/>
        <v>0.2696629213483146</v>
      </c>
      <c r="T72" s="123">
        <f t="shared" si="8"/>
        <v>0.19316239316239317</v>
      </c>
      <c r="U72" s="123">
        <f t="shared" si="8"/>
        <v>0.18337912087912087</v>
      </c>
    </row>
    <row r="73" spans="1:21" x14ac:dyDescent="0.2">
      <c r="A73" s="32">
        <f t="shared" ref="A73:P73" si="9">A9</f>
        <v>3</v>
      </c>
      <c r="B73" s="18" t="str">
        <f t="shared" si="9"/>
        <v>PAPA BLANCA</v>
      </c>
      <c r="C73" s="56">
        <f t="shared" si="9"/>
        <v>236</v>
      </c>
      <c r="D73" s="57">
        <f t="shared" si="9"/>
        <v>0</v>
      </c>
      <c r="E73" s="57">
        <f t="shared" si="9"/>
        <v>0</v>
      </c>
      <c r="F73" s="57">
        <f t="shared" si="9"/>
        <v>0</v>
      </c>
      <c r="G73" s="57">
        <f t="shared" si="9"/>
        <v>38</v>
      </c>
      <c r="H73" s="57">
        <f t="shared" si="9"/>
        <v>154</v>
      </c>
      <c r="I73" s="57">
        <f t="shared" si="9"/>
        <v>44</v>
      </c>
      <c r="J73" s="57">
        <f t="shared" si="9"/>
        <v>0</v>
      </c>
      <c r="K73" s="57">
        <f t="shared" si="9"/>
        <v>0</v>
      </c>
      <c r="L73" s="57">
        <f t="shared" si="9"/>
        <v>0</v>
      </c>
      <c r="M73" s="57">
        <f t="shared" si="9"/>
        <v>0</v>
      </c>
      <c r="N73" s="57">
        <f t="shared" si="9"/>
        <v>0</v>
      </c>
      <c r="O73" s="57">
        <f t="shared" si="9"/>
        <v>0</v>
      </c>
      <c r="P73" s="57">
        <f t="shared" si="9"/>
        <v>193</v>
      </c>
      <c r="Q73" s="129">
        <f t="shared" ref="Q73:U73" si="10">Q9</f>
        <v>228</v>
      </c>
      <c r="R73" s="57">
        <f t="shared" si="10"/>
        <v>43</v>
      </c>
      <c r="S73" s="123">
        <f t="shared" si="10"/>
        <v>0.22279792746113988</v>
      </c>
      <c r="T73" s="123">
        <f t="shared" si="10"/>
        <v>0.13447293447293449</v>
      </c>
      <c r="U73" s="123">
        <f t="shared" si="10"/>
        <v>0.13255494505494506</v>
      </c>
    </row>
    <row r="74" spans="1:21" x14ac:dyDescent="0.2">
      <c r="A74" s="32">
        <f t="shared" ref="A74:P74" si="11">A10</f>
        <v>4</v>
      </c>
      <c r="B74" s="18" t="str">
        <f t="shared" si="11"/>
        <v>HABA GRANO SECO</v>
      </c>
      <c r="C74" s="56">
        <f t="shared" si="11"/>
        <v>219</v>
      </c>
      <c r="D74" s="57">
        <f t="shared" si="11"/>
        <v>0</v>
      </c>
      <c r="E74" s="57">
        <f t="shared" si="11"/>
        <v>8</v>
      </c>
      <c r="F74" s="57">
        <f t="shared" si="11"/>
        <v>98</v>
      </c>
      <c r="G74" s="57">
        <f t="shared" si="11"/>
        <v>69</v>
      </c>
      <c r="H74" s="57">
        <f t="shared" si="11"/>
        <v>38</v>
      </c>
      <c r="I74" s="57">
        <f t="shared" si="11"/>
        <v>0</v>
      </c>
      <c r="J74" s="57">
        <f t="shared" si="11"/>
        <v>0</v>
      </c>
      <c r="K74" s="57">
        <f t="shared" si="11"/>
        <v>0</v>
      </c>
      <c r="L74" s="57">
        <f t="shared" si="11"/>
        <v>0</v>
      </c>
      <c r="M74" s="57">
        <f t="shared" si="11"/>
        <v>0</v>
      </c>
      <c r="N74" s="57">
        <f t="shared" si="11"/>
        <v>6</v>
      </c>
      <c r="O74" s="57">
        <f t="shared" si="11"/>
        <v>0</v>
      </c>
      <c r="P74" s="57">
        <f t="shared" si="11"/>
        <v>196</v>
      </c>
      <c r="Q74" s="129">
        <f t="shared" ref="Q74:U74" si="12">Q10</f>
        <v>216</v>
      </c>
      <c r="R74" s="57">
        <f t="shared" si="12"/>
        <v>23</v>
      </c>
      <c r="S74" s="123">
        <f t="shared" si="12"/>
        <v>0.11734693877551021</v>
      </c>
      <c r="T74" s="123">
        <f t="shared" si="12"/>
        <v>0.12478632478632479</v>
      </c>
      <c r="U74" s="123">
        <f t="shared" si="12"/>
        <v>0.13461538461538461</v>
      </c>
    </row>
    <row r="75" spans="1:21" x14ac:dyDescent="0.2">
      <c r="A75" s="32">
        <f t="shared" ref="A75:P75" si="13">A11</f>
        <v>5</v>
      </c>
      <c r="B75" s="18" t="str">
        <f t="shared" si="13"/>
        <v>PAPA COLOR</v>
      </c>
      <c r="C75" s="56">
        <f t="shared" si="13"/>
        <v>103</v>
      </c>
      <c r="D75" s="57">
        <f t="shared" si="13"/>
        <v>0</v>
      </c>
      <c r="E75" s="57">
        <f t="shared" si="13"/>
        <v>0</v>
      </c>
      <c r="F75" s="57">
        <f t="shared" si="13"/>
        <v>3</v>
      </c>
      <c r="G75" s="57">
        <f t="shared" si="13"/>
        <v>21</v>
      </c>
      <c r="H75" s="57">
        <f t="shared" si="13"/>
        <v>62</v>
      </c>
      <c r="I75" s="57">
        <f t="shared" si="13"/>
        <v>17</v>
      </c>
      <c r="J75" s="57">
        <f t="shared" si="13"/>
        <v>0</v>
      </c>
      <c r="K75" s="57">
        <f t="shared" si="13"/>
        <v>0</v>
      </c>
      <c r="L75" s="57">
        <f t="shared" si="13"/>
        <v>0</v>
      </c>
      <c r="M75" s="57">
        <f t="shared" si="13"/>
        <v>0</v>
      </c>
      <c r="N75" s="57">
        <f t="shared" si="13"/>
        <v>0</v>
      </c>
      <c r="O75" s="57">
        <f t="shared" si="13"/>
        <v>0</v>
      </c>
      <c r="P75" s="57">
        <f t="shared" si="13"/>
        <v>98</v>
      </c>
      <c r="Q75" s="129">
        <f t="shared" ref="Q75:U75" si="14">Q11</f>
        <v>103</v>
      </c>
      <c r="R75" s="57">
        <f t="shared" si="14"/>
        <v>5</v>
      </c>
      <c r="S75" s="123">
        <f t="shared" si="14"/>
        <v>5.1020408163265307E-2</v>
      </c>
      <c r="T75" s="123">
        <f t="shared" si="14"/>
        <v>5.8689458689458691E-2</v>
      </c>
      <c r="U75" s="123">
        <f t="shared" si="14"/>
        <v>6.7307692307692304E-2</v>
      </c>
    </row>
    <row r="76" spans="1:21" x14ac:dyDescent="0.2">
      <c r="A76" s="32">
        <f>A12</f>
        <v>6</v>
      </c>
      <c r="B76" s="18" t="s">
        <v>44</v>
      </c>
      <c r="C76" s="56">
        <f t="shared" ref="C76:P76" si="15">SUM(C12:C18)</f>
        <v>430</v>
      </c>
      <c r="D76" s="56">
        <f t="shared" si="15"/>
        <v>0</v>
      </c>
      <c r="E76" s="56">
        <f t="shared" si="15"/>
        <v>4</v>
      </c>
      <c r="F76" s="56">
        <f t="shared" si="15"/>
        <v>107</v>
      </c>
      <c r="G76" s="56">
        <f t="shared" si="15"/>
        <v>239</v>
      </c>
      <c r="H76" s="56">
        <f t="shared" si="15"/>
        <v>78</v>
      </c>
      <c r="I76" s="56">
        <f t="shared" si="15"/>
        <v>2</v>
      </c>
      <c r="J76" s="56">
        <f t="shared" si="15"/>
        <v>0</v>
      </c>
      <c r="K76" s="56">
        <f t="shared" si="15"/>
        <v>0</v>
      </c>
      <c r="L76" s="56">
        <f t="shared" si="15"/>
        <v>0</v>
      </c>
      <c r="M76" s="56">
        <f t="shared" si="15"/>
        <v>0</v>
      </c>
      <c r="N76" s="56">
        <f t="shared" si="15"/>
        <v>0</v>
      </c>
      <c r="O76" s="56">
        <f t="shared" si="15"/>
        <v>0</v>
      </c>
      <c r="P76" s="56">
        <f t="shared" si="15"/>
        <v>298</v>
      </c>
      <c r="Q76" s="129"/>
      <c r="R76" s="57"/>
      <c r="S76" s="123"/>
      <c r="T76" s="123"/>
      <c r="U76" s="123"/>
    </row>
    <row r="77" spans="1:21" ht="12" customHeight="1" x14ac:dyDescent="0.2">
      <c r="A77" s="104" t="s">
        <v>1349</v>
      </c>
      <c r="B77" s="105"/>
      <c r="C77" s="106">
        <f>SUBTOTAL(109,Tabla12[ENIS 2022-2023])</f>
        <v>1755</v>
      </c>
      <c r="D77" s="106">
        <f>SUBTOTAL(109,Tabla12[AGO])</f>
        <v>0</v>
      </c>
      <c r="E77" s="106">
        <f>SUBTOTAL(109,Tabla12[SEP])</f>
        <v>44</v>
      </c>
      <c r="F77" s="106">
        <f>SUBTOTAL(109,Tabla12[OCT])</f>
        <v>459</v>
      </c>
      <c r="G77" s="106">
        <f>SUBTOTAL(109,Tabla12[NOV])</f>
        <v>473</v>
      </c>
      <c r="H77" s="106">
        <f>SUBTOTAL(109,Tabla12[DIC])</f>
        <v>610</v>
      </c>
      <c r="I77" s="106">
        <f>SUBTOTAL(109,Tabla12[ENE])</f>
        <v>154</v>
      </c>
      <c r="J77" s="106">
        <f>SUBTOTAL(109,Tabla12[FEB])</f>
        <v>0</v>
      </c>
      <c r="K77" s="106">
        <f>SUBTOTAL(109,Tabla12[MAR])</f>
        <v>0</v>
      </c>
      <c r="L77" s="106">
        <f>SUBTOTAL(109,Tabla12[ABR])</f>
        <v>0</v>
      </c>
      <c r="M77" s="106">
        <f>SUBTOTAL(109,Tabla12[MAY])</f>
        <v>0</v>
      </c>
      <c r="N77" s="106">
        <f>SUBTOTAL(109,Tabla12[JUN])</f>
        <v>12</v>
      </c>
      <c r="O77" s="106">
        <f>SUBTOTAL(109,Tabla12[JUL])</f>
        <v>3</v>
      </c>
      <c r="P77" s="106">
        <f>SUBTOTAL(109,Tabla12[SUPERFICIE SEMBRADA 2021-2022])</f>
        <v>1456</v>
      </c>
      <c r="Q77" s="130"/>
      <c r="R77" s="104"/>
      <c r="S77" s="119"/>
      <c r="T77" s="119"/>
      <c r="U77" s="119"/>
    </row>
    <row r="78" spans="1:21" ht="30" customHeight="1" x14ac:dyDescent="0.2"/>
    <row r="80" spans="1:21" x14ac:dyDescent="0.2">
      <c r="B80" s="139" t="s">
        <v>1313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22"/>
      <c r="R80" s="22"/>
      <c r="S80" s="22"/>
      <c r="T80" s="22"/>
      <c r="U80" s="22"/>
    </row>
  </sheetData>
  <mergeCells count="11">
    <mergeCell ref="D69:H69"/>
    <mergeCell ref="I69:O69"/>
    <mergeCell ref="A2:W2"/>
    <mergeCell ref="B80:P80"/>
    <mergeCell ref="AG41:AG42"/>
    <mergeCell ref="A1:O1"/>
    <mergeCell ref="D4:H4"/>
    <mergeCell ref="I4:O4"/>
    <mergeCell ref="V41:Y41"/>
    <mergeCell ref="Z41:AF41"/>
    <mergeCell ref="A41:O4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A666-8470-4435-9ED0-9FC202C37319}">
  <dimension ref="A1:Z79"/>
  <sheetViews>
    <sheetView showGridLines="0" zoomScaleNormal="100" workbookViewId="0">
      <selection activeCell="A4" sqref="A4:P30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4" width="10.7109375" style="19" customWidth="1"/>
    <col min="25" max="25" width="10.7109375" style="23" customWidth="1"/>
    <col min="26" max="26" width="10.7109375" style="19" customWidth="1"/>
    <col min="27" max="16384" width="11.42578125" style="21"/>
  </cols>
  <sheetData>
    <row r="1" spans="1:26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  <c r="V1" s="22"/>
    </row>
    <row r="2" spans="1:26" x14ac:dyDescent="0.2">
      <c r="A2" s="159" t="s">
        <v>1356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</row>
    <row r="4" spans="1:26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  <c r="V4" s="22"/>
      <c r="W4" s="22"/>
      <c r="X4" s="22"/>
    </row>
    <row r="5" spans="1:26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6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29"/>
      <c r="R6" s="57"/>
      <c r="S6" s="27"/>
      <c r="T6" s="27"/>
      <c r="U6" s="27"/>
    </row>
    <row r="7" spans="1:26" ht="12.75" customHeight="1" x14ac:dyDescent="0.2">
      <c r="A7" s="32">
        <v>1</v>
      </c>
      <c r="B7" s="18" t="s">
        <v>189</v>
      </c>
      <c r="C7" s="56">
        <v>2324</v>
      </c>
      <c r="D7" s="57">
        <v>21</v>
      </c>
      <c r="E7" s="57">
        <v>162</v>
      </c>
      <c r="F7" s="57">
        <v>1137</v>
      </c>
      <c r="G7" s="57">
        <v>857</v>
      </c>
      <c r="H7" s="57">
        <v>147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2434</v>
      </c>
      <c r="Q7" s="129">
        <v>2416</v>
      </c>
      <c r="R7" s="57">
        <f>C7-P7</f>
        <v>-110</v>
      </c>
      <c r="S7" s="27">
        <f>(C7-P7)/P7</f>
        <v>-4.5193097781429742E-2</v>
      </c>
      <c r="T7" s="27">
        <f>C7/$C$30</f>
        <v>0.24821104346897363</v>
      </c>
      <c r="U7" s="27">
        <f>P7/$P$30</f>
        <v>0.27741053111465697</v>
      </c>
    </row>
    <row r="8" spans="1:26" ht="12.75" customHeight="1" x14ac:dyDescent="0.2">
      <c r="A8" s="32">
        <v>2</v>
      </c>
      <c r="B8" s="18" t="s">
        <v>193</v>
      </c>
      <c r="C8" s="56">
        <v>881</v>
      </c>
      <c r="D8" s="57">
        <v>124</v>
      </c>
      <c r="E8" s="57">
        <v>246</v>
      </c>
      <c r="F8" s="57">
        <v>379</v>
      </c>
      <c r="G8" s="57">
        <v>93</v>
      </c>
      <c r="H8" s="57">
        <v>1</v>
      </c>
      <c r="I8" s="57">
        <v>0</v>
      </c>
      <c r="J8" s="57">
        <v>0</v>
      </c>
      <c r="K8" s="57">
        <v>0</v>
      </c>
      <c r="L8" s="57">
        <v>0</v>
      </c>
      <c r="M8" s="57">
        <v>6</v>
      </c>
      <c r="N8" s="57">
        <v>12</v>
      </c>
      <c r="O8" s="57">
        <v>20</v>
      </c>
      <c r="P8" s="57">
        <v>999</v>
      </c>
      <c r="Q8" s="129">
        <v>812</v>
      </c>
      <c r="R8" s="57">
        <f t="shared" ref="R8:R29" si="0">C8-P8</f>
        <v>-118</v>
      </c>
      <c r="S8" s="27">
        <f t="shared" ref="S8:S29" si="1">(C8-P8)/P8</f>
        <v>-0.11811811811811812</v>
      </c>
      <c r="T8" s="27">
        <f t="shared" ref="T8:T29" si="2">C8/$C$30</f>
        <v>9.4093773363238278E-2</v>
      </c>
      <c r="U8" s="27">
        <f t="shared" ref="U8:U29" si="3">P8/$P$30</f>
        <v>0.11385912924549806</v>
      </c>
    </row>
    <row r="9" spans="1:26" ht="12.75" customHeight="1" x14ac:dyDescent="0.2">
      <c r="A9" s="32">
        <v>3</v>
      </c>
      <c r="B9" s="18" t="s">
        <v>3</v>
      </c>
      <c r="C9" s="56">
        <v>732</v>
      </c>
      <c r="D9" s="57">
        <v>13</v>
      </c>
      <c r="E9" s="57">
        <v>125</v>
      </c>
      <c r="F9" s="57">
        <v>406</v>
      </c>
      <c r="G9" s="57">
        <v>177</v>
      </c>
      <c r="H9" s="57">
        <v>11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636</v>
      </c>
      <c r="Q9" s="129">
        <v>644</v>
      </c>
      <c r="R9" s="57">
        <f t="shared" si="0"/>
        <v>96</v>
      </c>
      <c r="S9" s="27">
        <f t="shared" si="1"/>
        <v>0.15094339622641509</v>
      </c>
      <c r="T9" s="27">
        <f t="shared" si="2"/>
        <v>7.8180070490227488E-2</v>
      </c>
      <c r="U9" s="27">
        <f t="shared" si="3"/>
        <v>7.2486893093230004E-2</v>
      </c>
    </row>
    <row r="10" spans="1:26" ht="12.75" customHeight="1" x14ac:dyDescent="0.2">
      <c r="A10" s="32">
        <v>4</v>
      </c>
      <c r="B10" s="18" t="s">
        <v>1</v>
      </c>
      <c r="C10" s="56">
        <v>626</v>
      </c>
      <c r="D10" s="57">
        <v>0</v>
      </c>
      <c r="E10" s="57">
        <v>0</v>
      </c>
      <c r="F10" s="57">
        <v>5</v>
      </c>
      <c r="G10" s="57">
        <v>82</v>
      </c>
      <c r="H10" s="57">
        <v>345</v>
      </c>
      <c r="I10" s="57">
        <v>186</v>
      </c>
      <c r="J10" s="57">
        <v>4</v>
      </c>
      <c r="K10" s="57">
        <v>0</v>
      </c>
      <c r="L10" s="57">
        <v>2</v>
      </c>
      <c r="M10" s="57">
        <v>0</v>
      </c>
      <c r="N10" s="57">
        <v>2</v>
      </c>
      <c r="O10" s="57">
        <v>0</v>
      </c>
      <c r="P10" s="57">
        <v>597</v>
      </c>
      <c r="Q10" s="129">
        <v>661</v>
      </c>
      <c r="R10" s="57">
        <f t="shared" si="0"/>
        <v>29</v>
      </c>
      <c r="S10" s="27">
        <f t="shared" si="1"/>
        <v>4.8576214405360134E-2</v>
      </c>
      <c r="T10" s="27">
        <f t="shared" si="2"/>
        <v>6.6858912741642643E-2</v>
      </c>
      <c r="U10" s="27">
        <f t="shared" si="3"/>
        <v>6.8041942101664005E-2</v>
      </c>
    </row>
    <row r="11" spans="1:26" ht="12.75" customHeight="1" x14ac:dyDescent="0.2">
      <c r="A11" s="32">
        <v>5</v>
      </c>
      <c r="B11" s="18" t="s">
        <v>175</v>
      </c>
      <c r="C11" s="56">
        <v>614</v>
      </c>
      <c r="D11" s="57">
        <v>0</v>
      </c>
      <c r="E11" s="57">
        <v>0</v>
      </c>
      <c r="F11" s="57">
        <v>3</v>
      </c>
      <c r="G11" s="57">
        <v>471</v>
      </c>
      <c r="H11" s="57">
        <v>133</v>
      </c>
      <c r="I11" s="57">
        <v>0</v>
      </c>
      <c r="J11" s="57">
        <v>0</v>
      </c>
      <c r="K11" s="57">
        <v>0</v>
      </c>
      <c r="L11" s="57">
        <v>3</v>
      </c>
      <c r="M11" s="57">
        <v>2</v>
      </c>
      <c r="N11" s="57">
        <v>2</v>
      </c>
      <c r="O11" s="57">
        <v>0</v>
      </c>
      <c r="P11" s="57">
        <v>553</v>
      </c>
      <c r="Q11" s="129">
        <v>801</v>
      </c>
      <c r="R11" s="57">
        <f t="shared" si="0"/>
        <v>61</v>
      </c>
      <c r="S11" s="27">
        <f t="shared" si="1"/>
        <v>0.11030741410488246</v>
      </c>
      <c r="T11" s="27">
        <f t="shared" si="2"/>
        <v>6.5577272241802848E-2</v>
      </c>
      <c r="U11" s="27">
        <f t="shared" si="3"/>
        <v>6.3027125598358782E-2</v>
      </c>
    </row>
    <row r="12" spans="1:26" ht="12.75" customHeight="1" x14ac:dyDescent="0.2">
      <c r="A12" s="32">
        <v>6</v>
      </c>
      <c r="B12" s="18" t="s">
        <v>190</v>
      </c>
      <c r="C12" s="56">
        <v>498</v>
      </c>
      <c r="D12" s="57">
        <v>26</v>
      </c>
      <c r="E12" s="57">
        <v>87</v>
      </c>
      <c r="F12" s="57">
        <v>208</v>
      </c>
      <c r="G12" s="57">
        <v>111</v>
      </c>
      <c r="H12" s="57">
        <v>15</v>
      </c>
      <c r="I12" s="57">
        <v>0</v>
      </c>
      <c r="J12" s="57">
        <v>0</v>
      </c>
      <c r="K12" s="57">
        <v>0</v>
      </c>
      <c r="L12" s="57">
        <v>3</v>
      </c>
      <c r="M12" s="57">
        <v>9</v>
      </c>
      <c r="N12" s="57">
        <v>19</v>
      </c>
      <c r="O12" s="57">
        <v>20</v>
      </c>
      <c r="P12" s="57">
        <v>437</v>
      </c>
      <c r="Q12" s="129">
        <v>472</v>
      </c>
      <c r="R12" s="57">
        <f t="shared" si="0"/>
        <v>61</v>
      </c>
      <c r="S12" s="27">
        <f t="shared" si="1"/>
        <v>0.13958810068649885</v>
      </c>
      <c r="T12" s="27">
        <f t="shared" si="2"/>
        <v>5.318808074335149E-2</v>
      </c>
      <c r="U12" s="27">
        <f t="shared" si="3"/>
        <v>4.9806245726008662E-2</v>
      </c>
    </row>
    <row r="13" spans="1:26" ht="12.75" customHeight="1" x14ac:dyDescent="0.2">
      <c r="A13" s="32">
        <v>7</v>
      </c>
      <c r="B13" s="18" t="s">
        <v>0</v>
      </c>
      <c r="C13" s="56">
        <v>482</v>
      </c>
      <c r="D13" s="57">
        <v>0</v>
      </c>
      <c r="E13" s="57">
        <v>2</v>
      </c>
      <c r="F13" s="57">
        <v>66</v>
      </c>
      <c r="G13" s="57">
        <v>131</v>
      </c>
      <c r="H13" s="57">
        <v>173</v>
      </c>
      <c r="I13" s="57">
        <v>103</v>
      </c>
      <c r="J13" s="57">
        <v>2</v>
      </c>
      <c r="K13" s="57">
        <v>0</v>
      </c>
      <c r="L13" s="57">
        <v>2</v>
      </c>
      <c r="M13" s="57">
        <v>3</v>
      </c>
      <c r="N13" s="57">
        <v>0</v>
      </c>
      <c r="O13" s="57">
        <v>0</v>
      </c>
      <c r="P13" s="57">
        <v>550</v>
      </c>
      <c r="Q13" s="129">
        <v>529</v>
      </c>
      <c r="R13" s="57">
        <f t="shared" si="0"/>
        <v>-68</v>
      </c>
      <c r="S13" s="27">
        <f t="shared" si="1"/>
        <v>-0.12363636363636364</v>
      </c>
      <c r="T13" s="27">
        <f t="shared" si="2"/>
        <v>5.1479226743565094E-2</v>
      </c>
      <c r="U13" s="27">
        <f t="shared" si="3"/>
        <v>6.2685206291315243E-2</v>
      </c>
    </row>
    <row r="14" spans="1:26" ht="12.75" customHeight="1" x14ac:dyDescent="0.2">
      <c r="A14" s="32">
        <v>8</v>
      </c>
      <c r="B14" s="18" t="s">
        <v>192</v>
      </c>
      <c r="C14" s="56">
        <v>399</v>
      </c>
      <c r="D14" s="57">
        <v>0</v>
      </c>
      <c r="E14" s="57">
        <v>0</v>
      </c>
      <c r="F14" s="57">
        <v>16</v>
      </c>
      <c r="G14" s="57">
        <v>89</v>
      </c>
      <c r="H14" s="57">
        <v>185</v>
      </c>
      <c r="I14" s="57">
        <v>96</v>
      </c>
      <c r="J14" s="57">
        <v>3</v>
      </c>
      <c r="K14" s="57">
        <v>3</v>
      </c>
      <c r="L14" s="57">
        <v>2</v>
      </c>
      <c r="M14" s="57">
        <v>1</v>
      </c>
      <c r="N14" s="57">
        <v>2</v>
      </c>
      <c r="O14" s="57">
        <v>2</v>
      </c>
      <c r="P14" s="57">
        <v>427</v>
      </c>
      <c r="Q14" s="129">
        <v>507</v>
      </c>
      <c r="R14" s="57">
        <f t="shared" si="0"/>
        <v>-28</v>
      </c>
      <c r="S14" s="27">
        <f t="shared" si="1"/>
        <v>-6.5573770491803282E-2</v>
      </c>
      <c r="T14" s="27">
        <f t="shared" si="2"/>
        <v>4.2614546619673184E-2</v>
      </c>
      <c r="U14" s="27">
        <f t="shared" si="3"/>
        <v>4.8666514702530202E-2</v>
      </c>
    </row>
    <row r="15" spans="1:26" ht="12.75" customHeight="1" x14ac:dyDescent="0.2">
      <c r="A15" s="32">
        <v>9</v>
      </c>
      <c r="B15" s="18" t="s">
        <v>197</v>
      </c>
      <c r="C15" s="56">
        <v>343</v>
      </c>
      <c r="D15" s="57">
        <v>105</v>
      </c>
      <c r="E15" s="57">
        <v>104</v>
      </c>
      <c r="F15" s="57">
        <v>69</v>
      </c>
      <c r="G15" s="57">
        <v>42</v>
      </c>
      <c r="H15" s="57">
        <v>17</v>
      </c>
      <c r="I15" s="57">
        <v>6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267</v>
      </c>
      <c r="Q15" s="129">
        <v>345</v>
      </c>
      <c r="R15" s="57">
        <f t="shared" si="0"/>
        <v>76</v>
      </c>
      <c r="S15" s="27">
        <f t="shared" si="1"/>
        <v>0.28464419475655428</v>
      </c>
      <c r="T15" s="27">
        <f t="shared" si="2"/>
        <v>3.6633557620420802E-2</v>
      </c>
      <c r="U15" s="27">
        <f t="shared" si="3"/>
        <v>3.0430818326874859E-2</v>
      </c>
    </row>
    <row r="16" spans="1:26" ht="12.75" customHeight="1" x14ac:dyDescent="0.2">
      <c r="A16" s="32">
        <v>10</v>
      </c>
      <c r="B16" s="18" t="s">
        <v>195</v>
      </c>
      <c r="C16" s="56">
        <v>331</v>
      </c>
      <c r="D16" s="57">
        <v>49</v>
      </c>
      <c r="E16" s="57">
        <v>141</v>
      </c>
      <c r="F16" s="57">
        <v>92</v>
      </c>
      <c r="G16" s="57">
        <v>25</v>
      </c>
      <c r="H16" s="57">
        <v>4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5</v>
      </c>
      <c r="O16" s="57">
        <v>15</v>
      </c>
      <c r="P16" s="57">
        <v>300</v>
      </c>
      <c r="Q16" s="129">
        <v>349</v>
      </c>
      <c r="R16" s="57">
        <f t="shared" si="0"/>
        <v>31</v>
      </c>
      <c r="S16" s="27">
        <f t="shared" si="1"/>
        <v>0.10333333333333333</v>
      </c>
      <c r="T16" s="27">
        <f t="shared" si="2"/>
        <v>3.5351917120581007E-2</v>
      </c>
      <c r="U16" s="27">
        <f t="shared" si="3"/>
        <v>3.4191930704353772E-2</v>
      </c>
    </row>
    <row r="17" spans="1:25" s="21" customFormat="1" ht="12.75" customHeight="1" x14ac:dyDescent="0.2">
      <c r="A17" s="32">
        <v>11</v>
      </c>
      <c r="B17" s="18" t="s">
        <v>198</v>
      </c>
      <c r="C17" s="56">
        <v>284</v>
      </c>
      <c r="D17" s="57">
        <v>130</v>
      </c>
      <c r="E17" s="57">
        <v>104</v>
      </c>
      <c r="F17" s="57">
        <v>49</v>
      </c>
      <c r="G17" s="57">
        <v>1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/>
      <c r="Q17" s="129">
        <v>245</v>
      </c>
      <c r="R17" s="57">
        <f t="shared" si="0"/>
        <v>284</v>
      </c>
      <c r="S17" s="27" t="e">
        <f>(C17-P17)/P17</f>
        <v>#DIV/0!</v>
      </c>
      <c r="T17" s="27">
        <f t="shared" si="2"/>
        <v>3.0332158496208479E-2</v>
      </c>
      <c r="U17" s="27">
        <f t="shared" si="3"/>
        <v>0</v>
      </c>
    </row>
    <row r="18" spans="1:25" ht="12.75" customHeight="1" x14ac:dyDescent="0.2">
      <c r="A18" s="32">
        <v>12</v>
      </c>
      <c r="B18" s="18" t="s">
        <v>194</v>
      </c>
      <c r="C18" s="56">
        <v>283</v>
      </c>
      <c r="D18" s="57">
        <v>22</v>
      </c>
      <c r="E18" s="57">
        <v>17</v>
      </c>
      <c r="F18" s="57">
        <v>24</v>
      </c>
      <c r="G18" s="57">
        <v>18</v>
      </c>
      <c r="H18" s="57">
        <v>29</v>
      </c>
      <c r="I18" s="57">
        <v>3</v>
      </c>
      <c r="J18" s="57">
        <v>2</v>
      </c>
      <c r="K18" s="57">
        <v>11</v>
      </c>
      <c r="L18" s="57">
        <v>21</v>
      </c>
      <c r="M18" s="57">
        <v>33</v>
      </c>
      <c r="N18" s="57">
        <v>58</v>
      </c>
      <c r="O18" s="57">
        <v>45</v>
      </c>
      <c r="P18" s="57">
        <v>202</v>
      </c>
      <c r="Q18" s="129">
        <v>324</v>
      </c>
      <c r="R18" s="57">
        <f t="shared" si="0"/>
        <v>81</v>
      </c>
      <c r="S18" s="27">
        <f t="shared" si="1"/>
        <v>0.40099009900990101</v>
      </c>
      <c r="T18" s="27">
        <f t="shared" si="2"/>
        <v>3.022535512122183E-2</v>
      </c>
      <c r="U18" s="27">
        <f t="shared" si="3"/>
        <v>2.3022566674264874E-2</v>
      </c>
    </row>
    <row r="19" spans="1:25" ht="12.75" customHeight="1" x14ac:dyDescent="0.2">
      <c r="A19" s="32">
        <v>13</v>
      </c>
      <c r="B19" s="18" t="s">
        <v>2</v>
      </c>
      <c r="C19" s="56">
        <v>281</v>
      </c>
      <c r="D19" s="57">
        <v>0</v>
      </c>
      <c r="E19" s="57">
        <v>18</v>
      </c>
      <c r="F19" s="57">
        <v>89</v>
      </c>
      <c r="G19" s="57">
        <v>128</v>
      </c>
      <c r="H19" s="57">
        <v>45</v>
      </c>
      <c r="I19" s="57">
        <v>1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321</v>
      </c>
      <c r="Q19" s="129">
        <v>352</v>
      </c>
      <c r="R19" s="57">
        <f t="shared" si="0"/>
        <v>-40</v>
      </c>
      <c r="S19" s="27">
        <f t="shared" si="1"/>
        <v>-0.12461059190031153</v>
      </c>
      <c r="T19" s="27">
        <f t="shared" si="2"/>
        <v>3.001174837124853E-2</v>
      </c>
      <c r="U19" s="27">
        <f t="shared" si="3"/>
        <v>3.6585365853658534E-2</v>
      </c>
    </row>
    <row r="20" spans="1:25" ht="12.75" customHeight="1" x14ac:dyDescent="0.2">
      <c r="A20" s="32">
        <v>14</v>
      </c>
      <c r="B20" s="18" t="s">
        <v>4</v>
      </c>
      <c r="C20" s="56">
        <v>273</v>
      </c>
      <c r="D20" s="57">
        <v>75</v>
      </c>
      <c r="E20" s="57">
        <v>92</v>
      </c>
      <c r="F20" s="57">
        <v>63</v>
      </c>
      <c r="G20" s="57">
        <v>6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3</v>
      </c>
      <c r="N20" s="57">
        <v>14</v>
      </c>
      <c r="O20" s="57">
        <v>20</v>
      </c>
      <c r="P20" s="57">
        <v>186</v>
      </c>
      <c r="Q20" s="129">
        <v>185</v>
      </c>
      <c r="R20" s="57">
        <f t="shared" si="0"/>
        <v>87</v>
      </c>
      <c r="S20" s="27">
        <f t="shared" si="1"/>
        <v>0.46774193548387094</v>
      </c>
      <c r="T20" s="27">
        <f t="shared" si="2"/>
        <v>2.9157321371355335E-2</v>
      </c>
      <c r="U20" s="27">
        <f t="shared" si="3"/>
        <v>2.1198997036699339E-2</v>
      </c>
    </row>
    <row r="21" spans="1:25" ht="12.75" customHeight="1" x14ac:dyDescent="0.2">
      <c r="A21" s="32">
        <v>15</v>
      </c>
      <c r="B21" s="18" t="s">
        <v>173</v>
      </c>
      <c r="C21" s="56">
        <v>246</v>
      </c>
      <c r="D21" s="57">
        <v>70</v>
      </c>
      <c r="E21" s="57">
        <v>87</v>
      </c>
      <c r="F21" s="57">
        <v>63</v>
      </c>
      <c r="G21" s="57">
        <v>7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7</v>
      </c>
      <c r="O21" s="57">
        <v>12</v>
      </c>
      <c r="P21" s="57">
        <v>182</v>
      </c>
      <c r="Q21" s="129">
        <v>199</v>
      </c>
      <c r="R21" s="57">
        <f t="shared" si="0"/>
        <v>64</v>
      </c>
      <c r="S21" s="27">
        <f t="shared" si="1"/>
        <v>0.35164835164835168</v>
      </c>
      <c r="T21" s="27">
        <f t="shared" si="2"/>
        <v>2.6273630246715796E-2</v>
      </c>
      <c r="U21" s="27">
        <f t="shared" si="3"/>
        <v>2.0743104627307954E-2</v>
      </c>
    </row>
    <row r="22" spans="1:25" ht="12.75" customHeight="1" x14ac:dyDescent="0.2">
      <c r="A22" s="32">
        <v>16</v>
      </c>
      <c r="B22" s="18" t="s">
        <v>5</v>
      </c>
      <c r="C22" s="56">
        <v>176</v>
      </c>
      <c r="D22" s="57">
        <v>0</v>
      </c>
      <c r="E22" s="57">
        <v>4</v>
      </c>
      <c r="F22" s="57">
        <v>41</v>
      </c>
      <c r="G22" s="57">
        <v>71</v>
      </c>
      <c r="H22" s="57">
        <v>55</v>
      </c>
      <c r="I22" s="57">
        <v>5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174</v>
      </c>
      <c r="Q22" s="129">
        <v>187</v>
      </c>
      <c r="R22" s="57">
        <f t="shared" si="0"/>
        <v>2</v>
      </c>
      <c r="S22" s="27">
        <f t="shared" si="1"/>
        <v>1.1494252873563218E-2</v>
      </c>
      <c r="T22" s="27">
        <f t="shared" si="2"/>
        <v>1.8797393997650326E-2</v>
      </c>
      <c r="U22" s="27">
        <f t="shared" si="3"/>
        <v>1.9831319808525188E-2</v>
      </c>
    </row>
    <row r="23" spans="1:25" ht="12.75" customHeight="1" x14ac:dyDescent="0.2">
      <c r="A23" s="32">
        <v>17</v>
      </c>
      <c r="B23" s="18" t="s">
        <v>191</v>
      </c>
      <c r="C23" s="56">
        <v>175</v>
      </c>
      <c r="D23" s="57">
        <v>24</v>
      </c>
      <c r="E23" s="57">
        <v>45</v>
      </c>
      <c r="F23" s="57">
        <v>52</v>
      </c>
      <c r="G23" s="57">
        <v>7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4</v>
      </c>
      <c r="N23" s="57">
        <v>18</v>
      </c>
      <c r="O23" s="57">
        <v>25</v>
      </c>
      <c r="P23" s="57">
        <v>184</v>
      </c>
      <c r="Q23" s="129">
        <v>230</v>
      </c>
      <c r="R23" s="57">
        <f t="shared" si="0"/>
        <v>-9</v>
      </c>
      <c r="S23" s="27">
        <f t="shared" si="1"/>
        <v>-4.8913043478260872E-2</v>
      </c>
      <c r="T23" s="27">
        <f t="shared" si="2"/>
        <v>1.8690590622663678E-2</v>
      </c>
      <c r="U23" s="27">
        <f t="shared" si="3"/>
        <v>2.0971050832003648E-2</v>
      </c>
    </row>
    <row r="24" spans="1:25" ht="12.75" customHeight="1" x14ac:dyDescent="0.2">
      <c r="A24" s="32">
        <v>18</v>
      </c>
      <c r="B24" s="18" t="s">
        <v>174</v>
      </c>
      <c r="C24" s="56">
        <v>150</v>
      </c>
      <c r="D24" s="57">
        <v>45</v>
      </c>
      <c r="E24" s="57">
        <v>59</v>
      </c>
      <c r="F24" s="57">
        <v>39</v>
      </c>
      <c r="G24" s="57">
        <v>5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2</v>
      </c>
      <c r="P24" s="57">
        <v>131</v>
      </c>
      <c r="Q24" s="129">
        <v>136</v>
      </c>
      <c r="R24" s="57">
        <f t="shared" si="0"/>
        <v>19</v>
      </c>
      <c r="S24" s="27">
        <f t="shared" si="1"/>
        <v>0.14503816793893129</v>
      </c>
      <c r="T24" s="27">
        <f t="shared" si="2"/>
        <v>1.6020506247997435E-2</v>
      </c>
      <c r="U24" s="27">
        <f t="shared" si="3"/>
        <v>1.4930476407567814E-2</v>
      </c>
    </row>
    <row r="25" spans="1:25" ht="12.75" customHeight="1" x14ac:dyDescent="0.2">
      <c r="A25" s="32">
        <v>19</v>
      </c>
      <c r="B25" s="18" t="s">
        <v>196</v>
      </c>
      <c r="C25" s="56">
        <v>145</v>
      </c>
      <c r="D25" s="57">
        <v>16</v>
      </c>
      <c r="E25" s="57">
        <v>46</v>
      </c>
      <c r="F25" s="57">
        <v>46</v>
      </c>
      <c r="G25" s="57">
        <v>4</v>
      </c>
      <c r="H25" s="57">
        <v>3</v>
      </c>
      <c r="I25" s="57">
        <v>2</v>
      </c>
      <c r="J25" s="57">
        <v>0</v>
      </c>
      <c r="K25" s="57">
        <v>0</v>
      </c>
      <c r="L25" s="57">
        <v>0</v>
      </c>
      <c r="M25" s="57">
        <v>2</v>
      </c>
      <c r="N25" s="57">
        <v>7</v>
      </c>
      <c r="O25" s="57">
        <v>19</v>
      </c>
      <c r="P25" s="57">
        <v>133</v>
      </c>
      <c r="Q25" s="129">
        <v>148</v>
      </c>
      <c r="R25" s="57">
        <f t="shared" si="0"/>
        <v>12</v>
      </c>
      <c r="S25" s="27">
        <f t="shared" si="1"/>
        <v>9.0225563909774431E-2</v>
      </c>
      <c r="T25" s="27">
        <f t="shared" si="2"/>
        <v>1.5486489373064188E-2</v>
      </c>
      <c r="U25" s="27">
        <f t="shared" si="3"/>
        <v>1.5158422612263505E-2</v>
      </c>
    </row>
    <row r="26" spans="1:25" ht="12.75" customHeight="1" x14ac:dyDescent="0.2">
      <c r="A26" s="32">
        <v>20</v>
      </c>
      <c r="B26" s="18" t="s">
        <v>6</v>
      </c>
      <c r="C26" s="56">
        <v>48</v>
      </c>
      <c r="D26" s="57">
        <v>6</v>
      </c>
      <c r="E26" s="57">
        <v>5</v>
      </c>
      <c r="F26" s="57">
        <v>3</v>
      </c>
      <c r="G26" s="57">
        <v>8</v>
      </c>
      <c r="H26" s="57">
        <v>5</v>
      </c>
      <c r="I26" s="57">
        <v>4</v>
      </c>
      <c r="J26" s="57">
        <v>5</v>
      </c>
      <c r="K26" s="57">
        <v>3</v>
      </c>
      <c r="L26" s="57">
        <v>4</v>
      </c>
      <c r="M26" s="57">
        <v>0</v>
      </c>
      <c r="N26" s="57">
        <v>1</v>
      </c>
      <c r="O26" s="57">
        <v>4</v>
      </c>
      <c r="P26" s="57">
        <v>16</v>
      </c>
      <c r="Q26" s="129">
        <v>57</v>
      </c>
      <c r="R26" s="57">
        <f t="shared" si="0"/>
        <v>32</v>
      </c>
      <c r="S26" s="27">
        <f t="shared" si="1"/>
        <v>2</v>
      </c>
      <c r="T26" s="27">
        <f t="shared" si="2"/>
        <v>5.1265619993591796E-3</v>
      </c>
      <c r="U26" s="27">
        <f t="shared" si="3"/>
        <v>1.8235696375655346E-3</v>
      </c>
    </row>
    <row r="27" spans="1:25" ht="12.75" customHeight="1" x14ac:dyDescent="0.2">
      <c r="A27" s="32">
        <v>21</v>
      </c>
      <c r="B27" s="18" t="s">
        <v>7</v>
      </c>
      <c r="C27" s="56">
        <v>47</v>
      </c>
      <c r="D27" s="57">
        <v>4</v>
      </c>
      <c r="E27" s="57">
        <v>7</v>
      </c>
      <c r="F27" s="57">
        <v>9</v>
      </c>
      <c r="G27" s="57">
        <v>2</v>
      </c>
      <c r="H27" s="57">
        <v>6</v>
      </c>
      <c r="I27" s="57">
        <v>5</v>
      </c>
      <c r="J27" s="57">
        <v>5</v>
      </c>
      <c r="K27" s="57">
        <v>5</v>
      </c>
      <c r="L27" s="57">
        <v>0</v>
      </c>
      <c r="M27" s="57">
        <v>0</v>
      </c>
      <c r="N27" s="57">
        <v>1</v>
      </c>
      <c r="O27" s="57">
        <v>3</v>
      </c>
      <c r="P27" s="57">
        <v>30</v>
      </c>
      <c r="Q27" s="129">
        <v>57</v>
      </c>
      <c r="R27" s="57">
        <f t="shared" si="0"/>
        <v>17</v>
      </c>
      <c r="S27" s="27">
        <f t="shared" si="1"/>
        <v>0.56666666666666665</v>
      </c>
      <c r="T27" s="27">
        <f t="shared" si="2"/>
        <v>5.0197586243725303E-3</v>
      </c>
      <c r="U27" s="27">
        <f t="shared" si="3"/>
        <v>3.4191930704353772E-3</v>
      </c>
    </row>
    <row r="28" spans="1:25" ht="12.75" customHeight="1" x14ac:dyDescent="0.2">
      <c r="A28" s="32">
        <v>22</v>
      </c>
      <c r="B28" s="18" t="s">
        <v>200</v>
      </c>
      <c r="C28" s="56">
        <v>20</v>
      </c>
      <c r="D28" s="57">
        <v>1</v>
      </c>
      <c r="E28" s="57">
        <v>3</v>
      </c>
      <c r="F28" s="57">
        <v>2</v>
      </c>
      <c r="G28" s="57">
        <v>1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2</v>
      </c>
      <c r="N28" s="57">
        <v>4</v>
      </c>
      <c r="O28" s="57">
        <v>7</v>
      </c>
      <c r="P28" s="57">
        <v>11</v>
      </c>
      <c r="Q28" s="129">
        <v>31</v>
      </c>
      <c r="R28" s="57">
        <f t="shared" si="0"/>
        <v>9</v>
      </c>
      <c r="S28" s="27">
        <f t="shared" si="1"/>
        <v>0.81818181818181823</v>
      </c>
      <c r="T28" s="27">
        <f t="shared" si="2"/>
        <v>2.1360674997329917E-3</v>
      </c>
      <c r="U28" s="27">
        <f t="shared" si="3"/>
        <v>1.2537041258263049E-3</v>
      </c>
    </row>
    <row r="29" spans="1:25" ht="12.75" customHeight="1" x14ac:dyDescent="0.2">
      <c r="A29" s="32">
        <v>23</v>
      </c>
      <c r="B29" s="18" t="s">
        <v>199</v>
      </c>
      <c r="C29" s="56">
        <v>5</v>
      </c>
      <c r="D29" s="57">
        <v>0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4</v>
      </c>
      <c r="Q29" s="129">
        <v>6</v>
      </c>
      <c r="R29" s="57">
        <f t="shared" si="0"/>
        <v>1</v>
      </c>
      <c r="S29" s="27">
        <f t="shared" si="1"/>
        <v>0.25</v>
      </c>
      <c r="T29" s="27">
        <f t="shared" si="2"/>
        <v>5.3401687493324793E-4</v>
      </c>
      <c r="U29" s="27">
        <f t="shared" si="3"/>
        <v>4.5589240939138365E-4</v>
      </c>
    </row>
    <row r="30" spans="1:25" ht="16.5" customHeight="1" x14ac:dyDescent="0.2">
      <c r="A30" s="104" t="s">
        <v>1349</v>
      </c>
      <c r="B30" s="105"/>
      <c r="C30" s="106">
        <f>SUBTOTAL(109,Tabla2[ENIS 2022-2023])</f>
        <v>9363</v>
      </c>
      <c r="D30" s="106">
        <f>SUBTOTAL(109,Tabla2[AGO])</f>
        <v>731</v>
      </c>
      <c r="E30" s="106">
        <f>SUBTOTAL(109,Tabla2[SEP])</f>
        <v>1355</v>
      </c>
      <c r="F30" s="106">
        <f>SUBTOTAL(109,Tabla2[OCT])</f>
        <v>2862</v>
      </c>
      <c r="G30" s="106">
        <f>SUBTOTAL(109,Tabla2[NOV])</f>
        <v>2337</v>
      </c>
      <c r="H30" s="106">
        <f>SUBTOTAL(109,Tabla2[DIC])</f>
        <v>1175</v>
      </c>
      <c r="I30" s="106">
        <f>SUBTOTAL(109,Tabla2[ENE])</f>
        <v>412</v>
      </c>
      <c r="J30" s="106">
        <f>SUBTOTAL(109,Tabla2[FEB])</f>
        <v>21</v>
      </c>
      <c r="K30" s="106">
        <f>SUBTOTAL(109,Tabla2[MAR])</f>
        <v>22</v>
      </c>
      <c r="L30" s="106">
        <f>SUBTOTAL(109,Tabla2[ABR])</f>
        <v>37</v>
      </c>
      <c r="M30" s="106">
        <f>SUBTOTAL(109,Tabla2[MAY])</f>
        <v>65</v>
      </c>
      <c r="N30" s="106">
        <f>SUBTOTAL(109,Tabla2[JUN])</f>
        <v>152</v>
      </c>
      <c r="O30" s="106">
        <f>SUBTOTAL(109,Tabla2[JUL])</f>
        <v>194</v>
      </c>
      <c r="P30" s="106">
        <f>SUBTOTAL(109,Tabla2[SUPERFICIE SEMBRADA 2021-2022])</f>
        <v>8774</v>
      </c>
      <c r="Q30" s="132">
        <f>SUBTOTAL(109,Tabla2[ENIS 2021-2022])</f>
        <v>9693</v>
      </c>
      <c r="R30" s="106">
        <f>SUBTOTAL(109,Tabla2[DIF.])</f>
        <v>589</v>
      </c>
      <c r="S30" s="119">
        <f>(C30-P30)/P30</f>
        <v>6.7130157282881242E-2</v>
      </c>
      <c r="T30" s="119">
        <f>SUBTOTAL(109,Tabla2[% ENIS])</f>
        <v>0.99999999999999989</v>
      </c>
      <c r="U30" s="119">
        <f>SUBTOTAL(109,Tabla2[%  SUP SEMB])</f>
        <v>1.0000000000000002</v>
      </c>
      <c r="V30" s="56"/>
      <c r="W30" s="29"/>
      <c r="Y30" s="59"/>
    </row>
    <row r="31" spans="1:25" x14ac:dyDescent="0.2">
      <c r="V31" s="34"/>
      <c r="X31" s="28"/>
    </row>
    <row r="32" spans="1:25" x14ac:dyDescent="0.2">
      <c r="A32" s="25"/>
      <c r="B32" s="3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34"/>
      <c r="Q32" s="34"/>
      <c r="R32" s="34"/>
      <c r="S32" s="34"/>
      <c r="T32" s="34"/>
      <c r="U32" s="34"/>
      <c r="V32" s="34"/>
      <c r="X32" s="28"/>
    </row>
    <row r="33" spans="1:24" x14ac:dyDescent="0.2">
      <c r="A33" s="25"/>
      <c r="B33" s="3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34"/>
      <c r="Q33" s="34"/>
      <c r="R33" s="34"/>
      <c r="S33" s="34"/>
      <c r="T33" s="34"/>
      <c r="U33" s="34"/>
      <c r="V33" s="34"/>
      <c r="X33" s="28"/>
    </row>
    <row r="34" spans="1:24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4"/>
      <c r="Q34" s="34"/>
      <c r="R34" s="34"/>
      <c r="S34" s="34"/>
      <c r="T34" s="34"/>
      <c r="U34" s="34"/>
      <c r="V34" s="34"/>
      <c r="X34" s="28"/>
    </row>
    <row r="35" spans="1:24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34"/>
      <c r="Q35" s="34"/>
      <c r="R35" s="34"/>
      <c r="S35" s="34"/>
      <c r="T35" s="34"/>
      <c r="U35" s="34"/>
      <c r="V35" s="34"/>
      <c r="X35" s="28"/>
    </row>
    <row r="36" spans="1:24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4"/>
      <c r="Q36" s="34"/>
      <c r="R36" s="34"/>
      <c r="S36" s="34"/>
      <c r="T36" s="34"/>
      <c r="U36" s="34"/>
      <c r="V36" s="34"/>
      <c r="X36" s="28"/>
    </row>
    <row r="37" spans="1:24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34"/>
      <c r="Q37" s="34"/>
      <c r="R37" s="34"/>
      <c r="S37" s="34"/>
      <c r="T37" s="34"/>
      <c r="U37" s="34"/>
      <c r="V37" s="34"/>
      <c r="X37" s="28"/>
    </row>
    <row r="38" spans="1:24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34"/>
      <c r="Q38" s="34"/>
      <c r="R38" s="34"/>
      <c r="S38" s="34"/>
      <c r="T38" s="34"/>
      <c r="U38" s="34"/>
      <c r="V38" s="34"/>
      <c r="X38" s="28"/>
    </row>
    <row r="39" spans="1:24" ht="43.5" customHeight="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34"/>
      <c r="Q39" s="34"/>
      <c r="R39" s="34"/>
      <c r="S39" s="34"/>
      <c r="T39" s="34"/>
      <c r="U39" s="34"/>
      <c r="V39" s="22"/>
      <c r="W39" s="28"/>
      <c r="X39" s="28"/>
    </row>
    <row r="40" spans="1:24" x14ac:dyDescent="0.2">
      <c r="A40" s="152" t="s">
        <v>1304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22"/>
      <c r="Q40" s="22"/>
      <c r="R40" s="22"/>
      <c r="S40" s="22"/>
      <c r="T40" s="22"/>
      <c r="U40" s="22"/>
      <c r="V40" s="22"/>
      <c r="W40" s="28"/>
      <c r="X40" s="28"/>
    </row>
    <row r="41" spans="1:24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  <c r="V41" s="22"/>
      <c r="W41" s="28"/>
      <c r="X41" s="28"/>
    </row>
    <row r="42" spans="1:24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  <c r="V42" s="22"/>
      <c r="W42" s="28"/>
      <c r="X42" s="28"/>
    </row>
    <row r="43" spans="1:24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  <c r="V43" s="22"/>
      <c r="W43" s="28"/>
      <c r="X43" s="28"/>
    </row>
    <row r="44" spans="1:24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  <c r="V44" s="22"/>
      <c r="W44" s="28"/>
      <c r="X44" s="28"/>
    </row>
    <row r="45" spans="1:24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  <c r="V45" s="22"/>
      <c r="W45" s="28"/>
      <c r="X45" s="28"/>
    </row>
    <row r="46" spans="1:24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  <c r="V46" s="22"/>
      <c r="W46" s="28"/>
      <c r="X46" s="28"/>
    </row>
    <row r="47" spans="1:24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  <c r="V47" s="22"/>
      <c r="W47" s="28"/>
      <c r="X47" s="28"/>
    </row>
    <row r="48" spans="1:24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  <c r="V48" s="22"/>
      <c r="W48" s="28"/>
      <c r="X48" s="28"/>
    </row>
    <row r="49" spans="2:24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  <c r="V49" s="22"/>
      <c r="W49" s="28"/>
      <c r="X49" s="28"/>
    </row>
    <row r="50" spans="2:24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  <c r="V50" s="22"/>
      <c r="W50" s="28"/>
      <c r="X50" s="28"/>
    </row>
    <row r="51" spans="2:24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  <c r="V51" s="22"/>
      <c r="W51" s="28"/>
      <c r="X51" s="28"/>
    </row>
    <row r="52" spans="2:24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  <c r="V52" s="22"/>
      <c r="W52" s="28"/>
      <c r="X52" s="28"/>
    </row>
    <row r="53" spans="2:24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  <c r="V53" s="22"/>
      <c r="W53" s="28"/>
      <c r="X53" s="28"/>
    </row>
    <row r="54" spans="2:24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  <c r="V54" s="22"/>
      <c r="W54" s="28"/>
      <c r="X54" s="28"/>
    </row>
    <row r="55" spans="2:24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  <c r="V55" s="22"/>
      <c r="W55" s="28"/>
      <c r="X55" s="28"/>
    </row>
    <row r="56" spans="2:24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  <c r="V56" s="22"/>
      <c r="W56" s="28"/>
      <c r="X56" s="28"/>
    </row>
    <row r="57" spans="2:24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  <c r="V57" s="22"/>
      <c r="W57" s="28"/>
      <c r="X57" s="28"/>
    </row>
    <row r="58" spans="2:24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  <c r="V58" s="22"/>
      <c r="W58" s="28"/>
      <c r="X58" s="28"/>
    </row>
    <row r="59" spans="2:24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  <c r="V59" s="22"/>
      <c r="W59" s="28"/>
      <c r="X59" s="28"/>
    </row>
    <row r="60" spans="2:24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  <c r="V60" s="22"/>
      <c r="W60" s="28"/>
      <c r="X60" s="28"/>
    </row>
    <row r="61" spans="2:24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  <c r="V61" s="22"/>
      <c r="W61" s="28"/>
      <c r="X61" s="28"/>
    </row>
    <row r="62" spans="2:24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  <c r="V62" s="22"/>
      <c r="W62" s="28"/>
      <c r="X62" s="28"/>
    </row>
    <row r="63" spans="2:24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  <c r="V63" s="22"/>
      <c r="W63" s="28"/>
      <c r="X63" s="28"/>
    </row>
    <row r="64" spans="2:24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  <c r="V64" s="22"/>
      <c r="W64" s="28"/>
      <c r="X64" s="28"/>
    </row>
    <row r="65" spans="1:24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  <c r="V65" s="22"/>
      <c r="W65" s="28"/>
      <c r="X65" s="28"/>
    </row>
    <row r="66" spans="1:24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  <c r="V66" s="22"/>
      <c r="W66" s="28"/>
      <c r="X66" s="28"/>
    </row>
    <row r="67" spans="1:24" ht="12.75" customHeight="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  <c r="V67" s="22"/>
      <c r="W67" s="28"/>
      <c r="X67" s="28"/>
    </row>
    <row r="68" spans="1:24" ht="28.5" customHeight="1" x14ac:dyDescent="0.2">
      <c r="A68" s="82"/>
      <c r="B68" s="88"/>
      <c r="C68" s="82"/>
      <c r="D68" s="160">
        <f t="shared" ref="D68:O68" si="4">D4</f>
        <v>2022</v>
      </c>
      <c r="E68" s="160">
        <f t="shared" si="4"/>
        <v>0</v>
      </c>
      <c r="F68" s="160">
        <f t="shared" si="4"/>
        <v>0</v>
      </c>
      <c r="G68" s="160">
        <f t="shared" si="4"/>
        <v>0</v>
      </c>
      <c r="H68" s="160">
        <f t="shared" si="4"/>
        <v>0</v>
      </c>
      <c r="I68" s="160">
        <f t="shared" si="4"/>
        <v>2023</v>
      </c>
      <c r="J68" s="160">
        <f t="shared" si="4"/>
        <v>0</v>
      </c>
      <c r="K68" s="160">
        <f t="shared" si="4"/>
        <v>0</v>
      </c>
      <c r="L68" s="160">
        <f t="shared" si="4"/>
        <v>0</v>
      </c>
      <c r="M68" s="160">
        <f t="shared" si="4"/>
        <v>0</v>
      </c>
      <c r="N68" s="160">
        <f t="shared" si="4"/>
        <v>0</v>
      </c>
      <c r="O68" s="160">
        <f t="shared" si="4"/>
        <v>0</v>
      </c>
      <c r="P68" s="77"/>
      <c r="Q68" s="125"/>
      <c r="R68" s="77"/>
      <c r="S68" s="77"/>
      <c r="T68" s="77"/>
      <c r="U68" s="77"/>
    </row>
    <row r="69" spans="1:24" ht="25.5" x14ac:dyDescent="0.2">
      <c r="A69" s="87" t="s">
        <v>59</v>
      </c>
      <c r="B69" s="89" t="s">
        <v>10</v>
      </c>
      <c r="C69" s="87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118" t="s">
        <v>187</v>
      </c>
      <c r="S69" s="118" t="s">
        <v>1351</v>
      </c>
      <c r="T69" s="82" t="s">
        <v>1352</v>
      </c>
      <c r="U69" s="82" t="s">
        <v>1353</v>
      </c>
      <c r="V69" s="57">
        <f>Q7</f>
        <v>2416</v>
      </c>
      <c r="X69" s="28" t="e">
        <f>C70*100/#REF!</f>
        <v>#REF!</v>
      </c>
    </row>
    <row r="70" spans="1:24" x14ac:dyDescent="0.2">
      <c r="A70" s="32">
        <f t="shared" ref="A70:P70" si="5">A7</f>
        <v>1</v>
      </c>
      <c r="B70" s="18" t="str">
        <f t="shared" si="5"/>
        <v>MAIZ AMILACEO</v>
      </c>
      <c r="C70" s="56">
        <f t="shared" si="5"/>
        <v>2324</v>
      </c>
      <c r="D70" s="57">
        <f t="shared" si="5"/>
        <v>21</v>
      </c>
      <c r="E70" s="57">
        <f t="shared" si="5"/>
        <v>162</v>
      </c>
      <c r="F70" s="57">
        <f t="shared" si="5"/>
        <v>1137</v>
      </c>
      <c r="G70" s="57">
        <f t="shared" si="5"/>
        <v>857</v>
      </c>
      <c r="H70" s="57">
        <f t="shared" si="5"/>
        <v>147</v>
      </c>
      <c r="I70" s="57">
        <f t="shared" si="5"/>
        <v>0</v>
      </c>
      <c r="J70" s="57">
        <f t="shared" si="5"/>
        <v>0</v>
      </c>
      <c r="K70" s="57">
        <f t="shared" si="5"/>
        <v>0</v>
      </c>
      <c r="L70" s="57">
        <f t="shared" si="5"/>
        <v>0</v>
      </c>
      <c r="M70" s="57">
        <f t="shared" si="5"/>
        <v>0</v>
      </c>
      <c r="N70" s="57">
        <f t="shared" si="5"/>
        <v>0</v>
      </c>
      <c r="O70" s="57">
        <f t="shared" si="5"/>
        <v>0</v>
      </c>
      <c r="P70" s="57">
        <f t="shared" si="5"/>
        <v>2434</v>
      </c>
      <c r="Q70" s="129">
        <f t="shared" ref="Q70:U70" si="6">Q7</f>
        <v>2416</v>
      </c>
      <c r="R70" s="57">
        <f t="shared" si="6"/>
        <v>-110</v>
      </c>
      <c r="S70" s="57">
        <f t="shared" si="6"/>
        <v>-4.5193097781429742E-2</v>
      </c>
      <c r="T70" s="57">
        <f t="shared" si="6"/>
        <v>0.24821104346897363</v>
      </c>
      <c r="U70" s="57">
        <f t="shared" si="6"/>
        <v>0.27741053111465697</v>
      </c>
      <c r="V70" s="57">
        <f>Q8</f>
        <v>812</v>
      </c>
      <c r="X70" s="28" t="e">
        <f>C71*100/#REF!</f>
        <v>#REF!</v>
      </c>
    </row>
    <row r="71" spans="1:24" x14ac:dyDescent="0.2">
      <c r="A71" s="32">
        <f t="shared" ref="A71:P71" si="7">A8</f>
        <v>2</v>
      </c>
      <c r="B71" s="18" t="str">
        <f t="shared" si="7"/>
        <v>PAPA NATIVA</v>
      </c>
      <c r="C71" s="56">
        <f t="shared" si="7"/>
        <v>881</v>
      </c>
      <c r="D71" s="57">
        <f t="shared" si="7"/>
        <v>124</v>
      </c>
      <c r="E71" s="57">
        <f t="shared" si="7"/>
        <v>246</v>
      </c>
      <c r="F71" s="57">
        <f t="shared" si="7"/>
        <v>379</v>
      </c>
      <c r="G71" s="57">
        <f t="shared" si="7"/>
        <v>93</v>
      </c>
      <c r="H71" s="57">
        <f t="shared" si="7"/>
        <v>1</v>
      </c>
      <c r="I71" s="57">
        <f t="shared" si="7"/>
        <v>0</v>
      </c>
      <c r="J71" s="57">
        <f t="shared" si="7"/>
        <v>0</v>
      </c>
      <c r="K71" s="57">
        <f t="shared" si="7"/>
        <v>0</v>
      </c>
      <c r="L71" s="57">
        <f t="shared" si="7"/>
        <v>0</v>
      </c>
      <c r="M71" s="57">
        <f t="shared" si="7"/>
        <v>6</v>
      </c>
      <c r="N71" s="57">
        <f t="shared" si="7"/>
        <v>12</v>
      </c>
      <c r="O71" s="57">
        <f t="shared" si="7"/>
        <v>20</v>
      </c>
      <c r="P71" s="57">
        <f t="shared" si="7"/>
        <v>999</v>
      </c>
      <c r="Q71" s="129">
        <f t="shared" ref="Q71:U71" si="8">Q8</f>
        <v>812</v>
      </c>
      <c r="R71" s="57">
        <f t="shared" si="8"/>
        <v>-118</v>
      </c>
      <c r="S71" s="57">
        <f t="shared" si="8"/>
        <v>-0.11811811811811812</v>
      </c>
      <c r="T71" s="57">
        <f t="shared" si="8"/>
        <v>9.4093773363238278E-2</v>
      </c>
      <c r="U71" s="57">
        <f t="shared" si="8"/>
        <v>0.11385912924549806</v>
      </c>
      <c r="V71" s="57">
        <f>Q9</f>
        <v>644</v>
      </c>
      <c r="X71" s="28" t="e">
        <f>C72*100/#REF!</f>
        <v>#REF!</v>
      </c>
    </row>
    <row r="72" spans="1:24" x14ac:dyDescent="0.2">
      <c r="A72" s="32">
        <f t="shared" ref="A72:P72" si="9">A9</f>
        <v>3</v>
      </c>
      <c r="B72" s="18" t="str">
        <f t="shared" si="9"/>
        <v>HABA GRANO SECO</v>
      </c>
      <c r="C72" s="56">
        <f t="shared" si="9"/>
        <v>732</v>
      </c>
      <c r="D72" s="57">
        <f t="shared" si="9"/>
        <v>13</v>
      </c>
      <c r="E72" s="57">
        <f t="shared" si="9"/>
        <v>125</v>
      </c>
      <c r="F72" s="57">
        <f t="shared" si="9"/>
        <v>406</v>
      </c>
      <c r="G72" s="57">
        <f t="shared" si="9"/>
        <v>177</v>
      </c>
      <c r="H72" s="57">
        <f t="shared" si="9"/>
        <v>11</v>
      </c>
      <c r="I72" s="57">
        <f t="shared" si="9"/>
        <v>0</v>
      </c>
      <c r="J72" s="57">
        <f t="shared" si="9"/>
        <v>0</v>
      </c>
      <c r="K72" s="57">
        <f t="shared" si="9"/>
        <v>0</v>
      </c>
      <c r="L72" s="57">
        <f t="shared" si="9"/>
        <v>0</v>
      </c>
      <c r="M72" s="57">
        <f t="shared" si="9"/>
        <v>0</v>
      </c>
      <c r="N72" s="57">
        <f t="shared" si="9"/>
        <v>0</v>
      </c>
      <c r="O72" s="57">
        <f t="shared" si="9"/>
        <v>0</v>
      </c>
      <c r="P72" s="57">
        <f t="shared" si="9"/>
        <v>636</v>
      </c>
      <c r="Q72" s="129">
        <f t="shared" ref="Q72:U72" si="10">Q9</f>
        <v>644</v>
      </c>
      <c r="R72" s="57">
        <f t="shared" si="10"/>
        <v>96</v>
      </c>
      <c r="S72" s="57">
        <f t="shared" si="10"/>
        <v>0.15094339622641509</v>
      </c>
      <c r="T72" s="57">
        <f t="shared" si="10"/>
        <v>7.8180070490227488E-2</v>
      </c>
      <c r="U72" s="57">
        <f t="shared" si="10"/>
        <v>7.2486893093230004E-2</v>
      </c>
      <c r="V72" s="57">
        <f>Q10</f>
        <v>661</v>
      </c>
      <c r="X72" s="28" t="e">
        <f>C73*100/#REF!</f>
        <v>#REF!</v>
      </c>
    </row>
    <row r="73" spans="1:24" x14ac:dyDescent="0.2">
      <c r="A73" s="32">
        <f t="shared" ref="A73:P73" si="11">A10</f>
        <v>4</v>
      </c>
      <c r="B73" s="18" t="str">
        <f t="shared" si="11"/>
        <v>CEBADA GRANO</v>
      </c>
      <c r="C73" s="56">
        <f t="shared" si="11"/>
        <v>626</v>
      </c>
      <c r="D73" s="57">
        <f t="shared" si="11"/>
        <v>0</v>
      </c>
      <c r="E73" s="57">
        <f t="shared" si="11"/>
        <v>0</v>
      </c>
      <c r="F73" s="57">
        <f t="shared" si="11"/>
        <v>5</v>
      </c>
      <c r="G73" s="57">
        <f t="shared" si="11"/>
        <v>82</v>
      </c>
      <c r="H73" s="57">
        <f t="shared" si="11"/>
        <v>345</v>
      </c>
      <c r="I73" s="57">
        <f t="shared" si="11"/>
        <v>186</v>
      </c>
      <c r="J73" s="57">
        <f t="shared" si="11"/>
        <v>4</v>
      </c>
      <c r="K73" s="57">
        <f t="shared" si="11"/>
        <v>0</v>
      </c>
      <c r="L73" s="57">
        <f t="shared" si="11"/>
        <v>2</v>
      </c>
      <c r="M73" s="57">
        <f t="shared" si="11"/>
        <v>0</v>
      </c>
      <c r="N73" s="57">
        <f t="shared" si="11"/>
        <v>2</v>
      </c>
      <c r="O73" s="57">
        <f t="shared" si="11"/>
        <v>0</v>
      </c>
      <c r="P73" s="57">
        <f t="shared" si="11"/>
        <v>597</v>
      </c>
      <c r="Q73" s="129">
        <f t="shared" ref="Q73:U73" si="12">Q10</f>
        <v>661</v>
      </c>
      <c r="R73" s="57">
        <f t="shared" si="12"/>
        <v>29</v>
      </c>
      <c r="S73" s="57">
        <f t="shared" si="12"/>
        <v>4.8576214405360134E-2</v>
      </c>
      <c r="T73" s="57">
        <f t="shared" si="12"/>
        <v>6.6858912741642643E-2</v>
      </c>
      <c r="U73" s="57">
        <f t="shared" si="12"/>
        <v>6.8041942101664005E-2</v>
      </c>
      <c r="V73" s="57">
        <f>Q11</f>
        <v>801</v>
      </c>
      <c r="X73" s="28" t="e">
        <f>C74*100/#REF!</f>
        <v>#REF!</v>
      </c>
    </row>
    <row r="74" spans="1:24" x14ac:dyDescent="0.2">
      <c r="A74" s="32">
        <f t="shared" ref="A74:P74" si="13">A11</f>
        <v>5</v>
      </c>
      <c r="B74" s="18" t="str">
        <f t="shared" si="13"/>
        <v>MAIZ MORADO</v>
      </c>
      <c r="C74" s="56">
        <f t="shared" si="13"/>
        <v>614</v>
      </c>
      <c r="D74" s="57">
        <f t="shared" si="13"/>
        <v>0</v>
      </c>
      <c r="E74" s="57">
        <f t="shared" si="13"/>
        <v>0</v>
      </c>
      <c r="F74" s="57">
        <f t="shared" si="13"/>
        <v>3</v>
      </c>
      <c r="G74" s="57">
        <f t="shared" si="13"/>
        <v>471</v>
      </c>
      <c r="H74" s="57">
        <f t="shared" si="13"/>
        <v>133</v>
      </c>
      <c r="I74" s="57">
        <f t="shared" si="13"/>
        <v>0</v>
      </c>
      <c r="J74" s="57">
        <f t="shared" si="13"/>
        <v>0</v>
      </c>
      <c r="K74" s="57">
        <f t="shared" si="13"/>
        <v>0</v>
      </c>
      <c r="L74" s="57">
        <f t="shared" si="13"/>
        <v>3</v>
      </c>
      <c r="M74" s="57">
        <f t="shared" si="13"/>
        <v>2</v>
      </c>
      <c r="N74" s="57">
        <f t="shared" si="13"/>
        <v>2</v>
      </c>
      <c r="O74" s="57">
        <f t="shared" si="13"/>
        <v>0</v>
      </c>
      <c r="P74" s="57">
        <f t="shared" si="13"/>
        <v>553</v>
      </c>
      <c r="Q74" s="129">
        <f t="shared" ref="Q74:U74" si="14">Q11</f>
        <v>801</v>
      </c>
      <c r="R74" s="57">
        <f t="shared" si="14"/>
        <v>61</v>
      </c>
      <c r="S74" s="57">
        <f t="shared" si="14"/>
        <v>0.11030741410488246</v>
      </c>
      <c r="T74" s="57">
        <f t="shared" si="14"/>
        <v>6.5577272241802848E-2</v>
      </c>
      <c r="U74" s="57">
        <f t="shared" si="14"/>
        <v>6.3027125598358782E-2</v>
      </c>
      <c r="V74" s="56">
        <f>SUM(Q12:Q29)</f>
        <v>4359</v>
      </c>
      <c r="X74" s="28" t="e">
        <f>C75*100/#REF!</f>
        <v>#REF!</v>
      </c>
    </row>
    <row r="75" spans="1:24" x14ac:dyDescent="0.2">
      <c r="A75" s="32">
        <f>A12</f>
        <v>6</v>
      </c>
      <c r="B75" s="18" t="s">
        <v>44</v>
      </c>
      <c r="C75" s="56">
        <f t="shared" ref="C75:P75" si="15">SUM(C12:C29)</f>
        <v>4186</v>
      </c>
      <c r="D75" s="56">
        <f t="shared" si="15"/>
        <v>573</v>
      </c>
      <c r="E75" s="56">
        <f t="shared" si="15"/>
        <v>822</v>
      </c>
      <c r="F75" s="56">
        <f t="shared" si="15"/>
        <v>932</v>
      </c>
      <c r="G75" s="56">
        <f t="shared" si="15"/>
        <v>657</v>
      </c>
      <c r="H75" s="56">
        <f t="shared" si="15"/>
        <v>538</v>
      </c>
      <c r="I75" s="56">
        <f t="shared" si="15"/>
        <v>226</v>
      </c>
      <c r="J75" s="56">
        <f t="shared" si="15"/>
        <v>17</v>
      </c>
      <c r="K75" s="56">
        <f t="shared" si="15"/>
        <v>22</v>
      </c>
      <c r="L75" s="56">
        <f t="shared" si="15"/>
        <v>32</v>
      </c>
      <c r="M75" s="56">
        <f t="shared" si="15"/>
        <v>57</v>
      </c>
      <c r="N75" s="56">
        <f t="shared" si="15"/>
        <v>136</v>
      </c>
      <c r="O75" s="56">
        <f t="shared" si="15"/>
        <v>174</v>
      </c>
      <c r="P75" s="56">
        <f t="shared" si="15"/>
        <v>3555</v>
      </c>
      <c r="Q75" s="129"/>
      <c r="R75" s="57"/>
      <c r="S75" s="57"/>
      <c r="T75" s="57"/>
      <c r="U75" s="57"/>
    </row>
    <row r="76" spans="1:24" x14ac:dyDescent="0.2">
      <c r="A76" s="106">
        <f>SUBTOTAL(109,Tabla13[N°])</f>
        <v>21</v>
      </c>
      <c r="B76" s="106">
        <f>SUBTOTAL(109,Tabla13[CULTIVO])</f>
        <v>0</v>
      </c>
      <c r="C76" s="106">
        <f>SUBTOTAL(109,Tabla13[ENIS 2022-2023])</f>
        <v>9363</v>
      </c>
      <c r="D76" s="106">
        <f>SUBTOTAL(109,Tabla13[AGO])</f>
        <v>731</v>
      </c>
      <c r="E76" s="106">
        <f>SUBTOTAL(109,Tabla13[SEP])</f>
        <v>1355</v>
      </c>
      <c r="F76" s="106">
        <f>SUBTOTAL(109,Tabla13[OCT])</f>
        <v>2862</v>
      </c>
      <c r="G76" s="106">
        <f>SUBTOTAL(109,Tabla13[NOV])</f>
        <v>2337</v>
      </c>
      <c r="H76" s="106">
        <f>SUBTOTAL(109,Tabla13[DIC])</f>
        <v>1175</v>
      </c>
      <c r="I76" s="106">
        <f>SUBTOTAL(109,Tabla13[ENE])</f>
        <v>412</v>
      </c>
      <c r="J76" s="106">
        <f>SUBTOTAL(109,Tabla13[FEB])</f>
        <v>21</v>
      </c>
      <c r="K76" s="106">
        <f>SUBTOTAL(109,Tabla13[MAR])</f>
        <v>22</v>
      </c>
      <c r="L76" s="106">
        <f>SUBTOTAL(109,Tabla13[ABR])</f>
        <v>37</v>
      </c>
      <c r="M76" s="106">
        <f>SUBTOTAL(109,Tabla13[MAY])</f>
        <v>65</v>
      </c>
      <c r="N76" s="106">
        <f>SUBTOTAL(109,Tabla13[JUN])</f>
        <v>152</v>
      </c>
      <c r="O76" s="106">
        <f>SUBTOTAL(109,Tabla13[JUL])</f>
        <v>194</v>
      </c>
      <c r="P76" s="106">
        <f>SUBTOTAL(109,Tabla13[SUPERFICIE SEMBRADA 2021-2022])</f>
        <v>8774</v>
      </c>
      <c r="Q76" s="130"/>
      <c r="R76" s="104"/>
      <c r="S76" s="104"/>
      <c r="T76" s="104"/>
      <c r="U76" s="104"/>
    </row>
    <row r="77" spans="1:24" ht="25.5" customHeight="1" x14ac:dyDescent="0.2"/>
    <row r="79" spans="1:24" x14ac:dyDescent="0.2">
      <c r="B79" s="139" t="s">
        <v>1314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22"/>
      <c r="R79" s="22"/>
      <c r="S79" s="22"/>
      <c r="T79" s="22"/>
      <c r="U79" s="22"/>
    </row>
  </sheetData>
  <mergeCells count="8">
    <mergeCell ref="B79:P79"/>
    <mergeCell ref="A1:O1"/>
    <mergeCell ref="D4:H4"/>
    <mergeCell ref="I4:O4"/>
    <mergeCell ref="A40:O40"/>
    <mergeCell ref="D68:H68"/>
    <mergeCell ref="I68:O68"/>
    <mergeCell ref="A2:Z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E353-3CA1-473A-A26E-168C6F9BDA5F}">
  <dimension ref="A1:Z79"/>
  <sheetViews>
    <sheetView showGridLines="0" zoomScaleNormal="100" workbookViewId="0">
      <selection activeCell="A4" sqref="A4:P32"/>
    </sheetView>
  </sheetViews>
  <sheetFormatPr baseColWidth="10" defaultColWidth="11.42578125" defaultRowHeight="12.75" x14ac:dyDescent="0.2"/>
  <cols>
    <col min="1" max="1" width="5" style="19" customWidth="1"/>
    <col min="2" max="2" width="24.7109375" style="21" customWidth="1"/>
    <col min="3" max="3" width="15.5703125" style="19" customWidth="1"/>
    <col min="4" max="15" width="5.7109375" style="19" customWidth="1"/>
    <col min="16" max="21" width="19.7109375" style="19" customWidth="1"/>
    <col min="22" max="24" width="10.7109375" style="21" customWidth="1"/>
    <col min="25" max="25" width="10.7109375" style="20" customWidth="1"/>
    <col min="26" max="26" width="10.7109375" style="21" customWidth="1"/>
    <col min="27" max="16384" width="11.42578125" style="21"/>
  </cols>
  <sheetData>
    <row r="1" spans="1:26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22"/>
      <c r="Q1" s="22"/>
      <c r="R1" s="22"/>
      <c r="S1" s="22"/>
      <c r="T1" s="22"/>
      <c r="U1" s="22"/>
      <c r="V1" s="18"/>
    </row>
    <row r="2" spans="1:26" x14ac:dyDescent="0.2">
      <c r="A2" s="159" t="s">
        <v>1357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ht="13.5" customHeight="1" x14ac:dyDescent="0.2">
      <c r="A3" s="24"/>
      <c r="B3" s="24"/>
      <c r="C3" s="25"/>
      <c r="D3" s="25"/>
      <c r="E3" s="25"/>
      <c r="F3" s="24"/>
      <c r="G3" s="24"/>
      <c r="H3" s="24"/>
      <c r="I3" s="25"/>
      <c r="J3" s="25"/>
      <c r="K3" s="25"/>
      <c r="L3" s="25"/>
      <c r="M3" s="25"/>
      <c r="N3" s="25"/>
      <c r="O3" s="25"/>
    </row>
    <row r="4" spans="1:26" ht="13.5" customHeight="1" x14ac:dyDescent="0.2">
      <c r="A4" s="82"/>
      <c r="B4" s="88"/>
      <c r="C4" s="82"/>
      <c r="D4" s="160">
        <f>HGA!D4</f>
        <v>2022</v>
      </c>
      <c r="E4" s="160">
        <f>HGA!E4</f>
        <v>0</v>
      </c>
      <c r="F4" s="160">
        <f>HGA!F4</f>
        <v>0</v>
      </c>
      <c r="G4" s="160">
        <f>HGA!G4</f>
        <v>0</v>
      </c>
      <c r="H4" s="160">
        <f>HGA!H4</f>
        <v>0</v>
      </c>
      <c r="I4" s="160">
        <f>HGA!I4</f>
        <v>2023</v>
      </c>
      <c r="J4" s="160">
        <f>HGA!J4</f>
        <v>0</v>
      </c>
      <c r="K4" s="160">
        <f>HGA!K4</f>
        <v>0</v>
      </c>
      <c r="L4" s="160">
        <f>HGA!L4</f>
        <v>0</v>
      </c>
      <c r="M4" s="160">
        <f>HGA!M4</f>
        <v>0</v>
      </c>
      <c r="N4" s="160">
        <f>HGA!N4</f>
        <v>0</v>
      </c>
      <c r="O4" s="160">
        <f>HGA!O4</f>
        <v>0</v>
      </c>
      <c r="P4" s="77"/>
      <c r="Q4" s="125"/>
      <c r="R4" s="77"/>
      <c r="S4" s="77"/>
      <c r="T4" s="77"/>
      <c r="U4" s="77"/>
      <c r="V4" s="18"/>
      <c r="W4" s="18"/>
      <c r="X4" s="18"/>
    </row>
    <row r="5" spans="1:26" ht="32.25" customHeight="1" x14ac:dyDescent="0.2">
      <c r="A5" s="87" t="s">
        <v>59</v>
      </c>
      <c r="B5" s="89" t="s">
        <v>10</v>
      </c>
      <c r="C5" s="87" t="s">
        <v>1298</v>
      </c>
      <c r="D5" s="90" t="s">
        <v>12</v>
      </c>
      <c r="E5" s="90" t="s">
        <v>13</v>
      </c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 t="s">
        <v>20</v>
      </c>
      <c r="M5" s="90" t="s">
        <v>21</v>
      </c>
      <c r="N5" s="90" t="s">
        <v>22</v>
      </c>
      <c r="O5" s="90" t="s">
        <v>23</v>
      </c>
      <c r="P5" s="91" t="s">
        <v>1328</v>
      </c>
      <c r="Q5" s="126" t="s">
        <v>1299</v>
      </c>
      <c r="R5" s="82" t="s">
        <v>187</v>
      </c>
      <c r="S5" s="82" t="s">
        <v>1351</v>
      </c>
      <c r="T5" s="82" t="s">
        <v>1352</v>
      </c>
      <c r="U5" s="118" t="s">
        <v>1353</v>
      </c>
    </row>
    <row r="6" spans="1:26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76"/>
      <c r="Q6" s="133"/>
      <c r="R6" s="121"/>
      <c r="S6" s="124"/>
      <c r="T6" s="124"/>
      <c r="U6" s="124"/>
    </row>
    <row r="7" spans="1:26" ht="12.75" customHeight="1" x14ac:dyDescent="0.2">
      <c r="A7" s="32">
        <v>1</v>
      </c>
      <c r="B7" s="66" t="s">
        <v>189</v>
      </c>
      <c r="C7" s="67">
        <v>2084</v>
      </c>
      <c r="D7" s="121">
        <v>100</v>
      </c>
      <c r="E7" s="121">
        <v>323</v>
      </c>
      <c r="F7" s="121">
        <v>428</v>
      </c>
      <c r="G7" s="121">
        <v>695</v>
      </c>
      <c r="H7" s="121">
        <v>466</v>
      </c>
      <c r="I7" s="121">
        <v>72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57">
        <v>2164</v>
      </c>
      <c r="Q7" s="133">
        <v>2221</v>
      </c>
      <c r="R7" s="121">
        <f t="shared" ref="R7:R31" si="0">C7-P7</f>
        <v>-80</v>
      </c>
      <c r="S7" s="124">
        <f t="shared" ref="S7:S32" si="1">(C7-P7)/P7</f>
        <v>-3.6968576709796676E-2</v>
      </c>
      <c r="T7" s="124">
        <f t="shared" ref="T7:T31" si="2">C7/$C$32</f>
        <v>0.19110499770747363</v>
      </c>
      <c r="U7" s="124">
        <f t="shared" ref="U7:U31" si="3">P7/$P$32</f>
        <v>0.19787856620336503</v>
      </c>
    </row>
    <row r="8" spans="1:26" ht="12.75" customHeight="1" x14ac:dyDescent="0.2">
      <c r="A8" s="32">
        <v>2</v>
      </c>
      <c r="B8" s="66" t="s">
        <v>193</v>
      </c>
      <c r="C8" s="67">
        <v>1567</v>
      </c>
      <c r="D8" s="121">
        <v>117</v>
      </c>
      <c r="E8" s="121">
        <v>371</v>
      </c>
      <c r="F8" s="121">
        <v>547</v>
      </c>
      <c r="G8" s="121">
        <v>321</v>
      </c>
      <c r="H8" s="121">
        <v>28</v>
      </c>
      <c r="I8" s="121">
        <v>0</v>
      </c>
      <c r="J8" s="121">
        <v>0</v>
      </c>
      <c r="K8" s="121">
        <v>40</v>
      </c>
      <c r="L8" s="121">
        <v>9</v>
      </c>
      <c r="M8" s="121">
        <v>27</v>
      </c>
      <c r="N8" s="121">
        <v>57</v>
      </c>
      <c r="O8" s="121">
        <v>50</v>
      </c>
      <c r="P8" s="57">
        <v>1794</v>
      </c>
      <c r="Q8" s="133">
        <v>2222</v>
      </c>
      <c r="R8" s="121">
        <f t="shared" si="0"/>
        <v>-227</v>
      </c>
      <c r="S8" s="124">
        <f t="shared" si="1"/>
        <v>-0.12653288740245261</v>
      </c>
      <c r="T8" s="124">
        <f t="shared" si="2"/>
        <v>0.14369555249885374</v>
      </c>
      <c r="U8" s="124">
        <f t="shared" si="3"/>
        <v>0.16404535479151428</v>
      </c>
    </row>
    <row r="9" spans="1:26" ht="12.75" customHeight="1" x14ac:dyDescent="0.2">
      <c r="A9" s="32">
        <v>3</v>
      </c>
      <c r="B9" s="66" t="s">
        <v>192</v>
      </c>
      <c r="C9" s="67">
        <v>862</v>
      </c>
      <c r="D9" s="121">
        <v>2</v>
      </c>
      <c r="E9" s="121">
        <v>0</v>
      </c>
      <c r="F9" s="121">
        <v>0</v>
      </c>
      <c r="G9" s="121">
        <v>79</v>
      </c>
      <c r="H9" s="121">
        <v>447</v>
      </c>
      <c r="I9" s="121">
        <v>334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57">
        <v>883</v>
      </c>
      <c r="Q9" s="133">
        <v>2223</v>
      </c>
      <c r="R9" s="121">
        <f t="shared" si="0"/>
        <v>-21</v>
      </c>
      <c r="S9" s="124">
        <f t="shared" si="1"/>
        <v>-2.3782559456398639E-2</v>
      </c>
      <c r="T9" s="124">
        <f t="shared" si="2"/>
        <v>7.9046309032553871E-2</v>
      </c>
      <c r="U9" s="124">
        <f t="shared" si="3"/>
        <v>8.0742501828822241E-2</v>
      </c>
    </row>
    <row r="10" spans="1:26" ht="12.75" customHeight="1" x14ac:dyDescent="0.2">
      <c r="A10" s="32">
        <v>4</v>
      </c>
      <c r="B10" s="66" t="s">
        <v>190</v>
      </c>
      <c r="C10" s="67">
        <v>846</v>
      </c>
      <c r="D10" s="121">
        <v>24</v>
      </c>
      <c r="E10" s="121">
        <v>82</v>
      </c>
      <c r="F10" s="121">
        <v>237</v>
      </c>
      <c r="G10" s="121">
        <v>227</v>
      </c>
      <c r="H10" s="121">
        <v>71</v>
      </c>
      <c r="I10" s="121">
        <v>24</v>
      </c>
      <c r="J10" s="121">
        <v>0</v>
      </c>
      <c r="K10" s="121">
        <v>0</v>
      </c>
      <c r="L10" s="121">
        <v>0</v>
      </c>
      <c r="M10" s="121">
        <v>36</v>
      </c>
      <c r="N10" s="121">
        <v>95</v>
      </c>
      <c r="O10" s="121">
        <v>50</v>
      </c>
      <c r="P10" s="57">
        <v>973</v>
      </c>
      <c r="Q10" s="133">
        <v>2224</v>
      </c>
      <c r="R10" s="121">
        <f t="shared" si="0"/>
        <v>-127</v>
      </c>
      <c r="S10" s="124">
        <f t="shared" si="1"/>
        <v>-0.13052415210688592</v>
      </c>
      <c r="T10" s="124">
        <f t="shared" si="2"/>
        <v>7.757909215955984E-2</v>
      </c>
      <c r="U10" s="124">
        <f t="shared" si="3"/>
        <v>8.8972201901975134E-2</v>
      </c>
    </row>
    <row r="11" spans="1:26" ht="12.75" customHeight="1" x14ac:dyDescent="0.2">
      <c r="A11" s="32">
        <v>5</v>
      </c>
      <c r="B11" s="66" t="s">
        <v>2</v>
      </c>
      <c r="C11" s="67">
        <v>667</v>
      </c>
      <c r="D11" s="121">
        <v>0</v>
      </c>
      <c r="E11" s="121">
        <v>7</v>
      </c>
      <c r="F11" s="121">
        <v>89</v>
      </c>
      <c r="G11" s="121">
        <v>190</v>
      </c>
      <c r="H11" s="121">
        <v>238</v>
      </c>
      <c r="I11" s="121">
        <v>141</v>
      </c>
      <c r="J11" s="121">
        <v>0</v>
      </c>
      <c r="K11" s="121">
        <v>0</v>
      </c>
      <c r="L11" s="121">
        <v>0</v>
      </c>
      <c r="M11" s="121">
        <v>2</v>
      </c>
      <c r="N11" s="121">
        <v>0</v>
      </c>
      <c r="O11" s="121">
        <v>0</v>
      </c>
      <c r="P11" s="57">
        <v>707</v>
      </c>
      <c r="Q11" s="133">
        <v>2225</v>
      </c>
      <c r="R11" s="121">
        <f t="shared" si="0"/>
        <v>-40</v>
      </c>
      <c r="S11" s="124">
        <f t="shared" si="1"/>
        <v>-5.6577086280056574E-2</v>
      </c>
      <c r="T11" s="124">
        <f t="shared" si="2"/>
        <v>6.116460339293902E-2</v>
      </c>
      <c r="U11" s="124">
        <f t="shared" si="3"/>
        <v>6.4648866130212146E-2</v>
      </c>
    </row>
    <row r="12" spans="1:26" ht="12.75" customHeight="1" x14ac:dyDescent="0.2">
      <c r="A12" s="32">
        <v>6</v>
      </c>
      <c r="B12" s="66" t="s">
        <v>3</v>
      </c>
      <c r="C12" s="67">
        <v>625</v>
      </c>
      <c r="D12" s="121">
        <v>26</v>
      </c>
      <c r="E12" s="121">
        <v>125</v>
      </c>
      <c r="F12" s="121">
        <v>189</v>
      </c>
      <c r="G12" s="121">
        <v>176</v>
      </c>
      <c r="H12" s="121">
        <v>81</v>
      </c>
      <c r="I12" s="121">
        <v>21</v>
      </c>
      <c r="J12" s="121">
        <v>0</v>
      </c>
      <c r="K12" s="121">
        <v>0</v>
      </c>
      <c r="L12" s="121">
        <v>0</v>
      </c>
      <c r="M12" s="121">
        <v>0</v>
      </c>
      <c r="N12" s="121">
        <v>7</v>
      </c>
      <c r="O12" s="121">
        <v>0</v>
      </c>
      <c r="P12" s="57">
        <v>652</v>
      </c>
      <c r="Q12" s="133">
        <v>2226</v>
      </c>
      <c r="R12" s="121">
        <f t="shared" si="0"/>
        <v>-27</v>
      </c>
      <c r="S12" s="124">
        <f t="shared" si="1"/>
        <v>-4.1411042944785273E-2</v>
      </c>
      <c r="T12" s="124">
        <f t="shared" si="2"/>
        <v>5.7313159101329662E-2</v>
      </c>
      <c r="U12" s="124">
        <f t="shared" si="3"/>
        <v>5.9619604974396487E-2</v>
      </c>
    </row>
    <row r="13" spans="1:26" ht="12.75" customHeight="1" x14ac:dyDescent="0.2">
      <c r="A13" s="32">
        <v>7</v>
      </c>
      <c r="B13" s="66" t="s">
        <v>197</v>
      </c>
      <c r="C13" s="67">
        <v>564</v>
      </c>
      <c r="D13" s="121">
        <v>228</v>
      </c>
      <c r="E13" s="121">
        <v>178</v>
      </c>
      <c r="F13" s="121">
        <v>105</v>
      </c>
      <c r="G13" s="121">
        <v>5</v>
      </c>
      <c r="H13" s="121">
        <v>43</v>
      </c>
      <c r="I13" s="121">
        <v>5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57">
        <v>318</v>
      </c>
      <c r="Q13" s="133">
        <v>2227</v>
      </c>
      <c r="R13" s="121">
        <f t="shared" si="0"/>
        <v>246</v>
      </c>
      <c r="S13" s="124">
        <f t="shared" si="1"/>
        <v>0.77358490566037741</v>
      </c>
      <c r="T13" s="124">
        <f t="shared" si="2"/>
        <v>5.1719394773039891E-2</v>
      </c>
      <c r="U13" s="124">
        <f t="shared" si="3"/>
        <v>2.9078273591806876E-2</v>
      </c>
    </row>
    <row r="14" spans="1:26" ht="12.75" customHeight="1" x14ac:dyDescent="0.2">
      <c r="A14" s="32">
        <v>8</v>
      </c>
      <c r="B14" s="66" t="s">
        <v>5</v>
      </c>
      <c r="C14" s="67">
        <v>531</v>
      </c>
      <c r="D14" s="121">
        <v>0</v>
      </c>
      <c r="E14" s="121">
        <v>9</v>
      </c>
      <c r="F14" s="121">
        <v>97</v>
      </c>
      <c r="G14" s="121">
        <v>193</v>
      </c>
      <c r="H14" s="121">
        <v>114</v>
      </c>
      <c r="I14" s="121">
        <v>8</v>
      </c>
      <c r="J14" s="121">
        <v>0</v>
      </c>
      <c r="K14" s="121">
        <v>0</v>
      </c>
      <c r="L14" s="121">
        <v>0</v>
      </c>
      <c r="M14" s="121">
        <v>31</v>
      </c>
      <c r="N14" s="121">
        <v>62</v>
      </c>
      <c r="O14" s="121">
        <v>17</v>
      </c>
      <c r="P14" s="57">
        <v>457</v>
      </c>
      <c r="Q14" s="133">
        <v>2228</v>
      </c>
      <c r="R14" s="121">
        <f t="shared" si="0"/>
        <v>74</v>
      </c>
      <c r="S14" s="124">
        <f t="shared" si="1"/>
        <v>0.16192560175054704</v>
      </c>
      <c r="T14" s="124">
        <f t="shared" si="2"/>
        <v>4.8693259972489682E-2</v>
      </c>
      <c r="U14" s="124">
        <f t="shared" si="3"/>
        <v>4.1788588149231892E-2</v>
      </c>
    </row>
    <row r="15" spans="1:26" ht="12.75" customHeight="1" x14ac:dyDescent="0.2">
      <c r="A15" s="32">
        <v>9</v>
      </c>
      <c r="B15" s="66" t="s">
        <v>198</v>
      </c>
      <c r="C15" s="67">
        <v>523</v>
      </c>
      <c r="D15" s="121">
        <v>236</v>
      </c>
      <c r="E15" s="121">
        <v>206</v>
      </c>
      <c r="F15" s="121">
        <v>81</v>
      </c>
      <c r="G15" s="121">
        <v>0</v>
      </c>
      <c r="H15" s="121">
        <v>0</v>
      </c>
      <c r="I15" s="121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57">
        <v>277</v>
      </c>
      <c r="Q15" s="133">
        <v>2229</v>
      </c>
      <c r="R15" s="121">
        <f t="shared" si="0"/>
        <v>246</v>
      </c>
      <c r="S15" s="124">
        <f t="shared" si="1"/>
        <v>0.88808664259927794</v>
      </c>
      <c r="T15" s="124">
        <f t="shared" si="2"/>
        <v>4.7959651535992666E-2</v>
      </c>
      <c r="U15" s="124">
        <f t="shared" si="3"/>
        <v>2.5329188002926117E-2</v>
      </c>
    </row>
    <row r="16" spans="1:26" ht="12.75" customHeight="1" x14ac:dyDescent="0.2">
      <c r="A16" s="32">
        <v>10</v>
      </c>
      <c r="B16" s="66" t="s">
        <v>0</v>
      </c>
      <c r="C16" s="67">
        <v>453</v>
      </c>
      <c r="D16" s="121">
        <v>5</v>
      </c>
      <c r="E16" s="121">
        <v>17</v>
      </c>
      <c r="F16" s="121">
        <v>100</v>
      </c>
      <c r="G16" s="121">
        <v>185</v>
      </c>
      <c r="H16" s="121">
        <v>117</v>
      </c>
      <c r="I16" s="121">
        <v>28</v>
      </c>
      <c r="J16" s="121">
        <v>0</v>
      </c>
      <c r="K16" s="121">
        <v>0</v>
      </c>
      <c r="L16" s="121">
        <v>0</v>
      </c>
      <c r="M16" s="121">
        <v>1</v>
      </c>
      <c r="N16" s="121">
        <v>0</v>
      </c>
      <c r="O16" s="121">
        <v>0</v>
      </c>
      <c r="P16" s="57">
        <v>391</v>
      </c>
      <c r="Q16" s="133">
        <v>2230</v>
      </c>
      <c r="R16" s="121">
        <f t="shared" si="0"/>
        <v>62</v>
      </c>
      <c r="S16" s="124">
        <f t="shared" si="1"/>
        <v>0.15856777493606139</v>
      </c>
      <c r="T16" s="124">
        <f t="shared" si="2"/>
        <v>4.154057771664374E-2</v>
      </c>
      <c r="U16" s="124">
        <f t="shared" si="3"/>
        <v>3.5753474762253108E-2</v>
      </c>
    </row>
    <row r="17" spans="1:26" ht="12.75" customHeight="1" x14ac:dyDescent="0.2">
      <c r="A17" s="32">
        <v>11</v>
      </c>
      <c r="B17" s="66" t="s">
        <v>1</v>
      </c>
      <c r="C17" s="67">
        <v>422</v>
      </c>
      <c r="D17" s="121">
        <v>0</v>
      </c>
      <c r="E17" s="121">
        <v>0</v>
      </c>
      <c r="F17" s="121">
        <v>0</v>
      </c>
      <c r="G17" s="121">
        <v>63</v>
      </c>
      <c r="H17" s="121">
        <v>233</v>
      </c>
      <c r="I17" s="121">
        <v>126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57">
        <v>537</v>
      </c>
      <c r="Q17" s="133">
        <v>2231</v>
      </c>
      <c r="R17" s="121">
        <f t="shared" si="0"/>
        <v>-115</v>
      </c>
      <c r="S17" s="124">
        <f t="shared" si="1"/>
        <v>-0.21415270018621974</v>
      </c>
      <c r="T17" s="124">
        <f t="shared" si="2"/>
        <v>3.8697845025217788E-2</v>
      </c>
      <c r="U17" s="124">
        <f t="shared" si="3"/>
        <v>4.9103877103145573E-2</v>
      </c>
    </row>
    <row r="18" spans="1:26" ht="12.75" customHeight="1" x14ac:dyDescent="0.2">
      <c r="A18" s="32">
        <v>12</v>
      </c>
      <c r="B18" s="66" t="s">
        <v>4</v>
      </c>
      <c r="C18" s="67">
        <v>388</v>
      </c>
      <c r="D18" s="121">
        <v>46</v>
      </c>
      <c r="E18" s="121">
        <v>65</v>
      </c>
      <c r="F18" s="121">
        <v>129</v>
      </c>
      <c r="G18" s="121">
        <v>61</v>
      </c>
      <c r="H18" s="121">
        <v>7</v>
      </c>
      <c r="I18" s="121">
        <v>0</v>
      </c>
      <c r="J18" s="121">
        <v>0</v>
      </c>
      <c r="K18" s="121">
        <v>0</v>
      </c>
      <c r="L18" s="121">
        <v>0</v>
      </c>
      <c r="M18" s="121">
        <v>34</v>
      </c>
      <c r="N18" s="121">
        <v>17</v>
      </c>
      <c r="O18" s="121">
        <v>29</v>
      </c>
      <c r="P18" s="57">
        <v>459</v>
      </c>
      <c r="Q18" s="133">
        <v>2232</v>
      </c>
      <c r="R18" s="121">
        <f t="shared" si="0"/>
        <v>-71</v>
      </c>
      <c r="S18" s="124">
        <f t="shared" si="1"/>
        <v>-0.15468409586056645</v>
      </c>
      <c r="T18" s="124">
        <f t="shared" si="2"/>
        <v>3.5580009170105453E-2</v>
      </c>
      <c r="U18" s="124">
        <f t="shared" si="3"/>
        <v>4.1971470373079738E-2</v>
      </c>
    </row>
    <row r="19" spans="1:26" ht="12.75" customHeight="1" x14ac:dyDescent="0.2">
      <c r="A19" s="32">
        <v>13</v>
      </c>
      <c r="B19" s="66" t="s">
        <v>173</v>
      </c>
      <c r="C19" s="67">
        <v>224</v>
      </c>
      <c r="D19" s="121">
        <v>81</v>
      </c>
      <c r="E19" s="121">
        <v>57</v>
      </c>
      <c r="F19" s="121">
        <v>44</v>
      </c>
      <c r="G19" s="121">
        <v>22</v>
      </c>
      <c r="H19" s="121">
        <v>6</v>
      </c>
      <c r="I19" s="121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6</v>
      </c>
      <c r="O19" s="121">
        <v>8</v>
      </c>
      <c r="P19" s="57">
        <v>297</v>
      </c>
      <c r="Q19" s="133">
        <v>2233</v>
      </c>
      <c r="R19" s="121">
        <f t="shared" si="0"/>
        <v>-73</v>
      </c>
      <c r="S19" s="124">
        <f t="shared" si="1"/>
        <v>-0.24579124579124578</v>
      </c>
      <c r="T19" s="124">
        <f t="shared" si="2"/>
        <v>2.0541036221916553E-2</v>
      </c>
      <c r="U19" s="124">
        <f t="shared" si="3"/>
        <v>2.7158010241404535E-2</v>
      </c>
    </row>
    <row r="20" spans="1:26" ht="12.75" customHeight="1" x14ac:dyDescent="0.2">
      <c r="A20" s="32">
        <v>14</v>
      </c>
      <c r="B20" s="66" t="s">
        <v>194</v>
      </c>
      <c r="C20" s="67">
        <v>221</v>
      </c>
      <c r="D20" s="121">
        <v>37</v>
      </c>
      <c r="E20" s="121">
        <v>11</v>
      </c>
      <c r="F20" s="121">
        <v>16</v>
      </c>
      <c r="G20" s="121">
        <v>44</v>
      </c>
      <c r="H20" s="121">
        <v>17</v>
      </c>
      <c r="I20" s="121">
        <v>6</v>
      </c>
      <c r="J20" s="121">
        <v>0</v>
      </c>
      <c r="K20" s="121">
        <v>0</v>
      </c>
      <c r="L20" s="121">
        <v>5</v>
      </c>
      <c r="M20" s="121">
        <v>6</v>
      </c>
      <c r="N20" s="121">
        <v>43</v>
      </c>
      <c r="O20" s="121">
        <v>36</v>
      </c>
      <c r="P20" s="57">
        <v>190</v>
      </c>
      <c r="Q20" s="133">
        <v>2234</v>
      </c>
      <c r="R20" s="121">
        <f t="shared" si="0"/>
        <v>31</v>
      </c>
      <c r="S20" s="124">
        <f t="shared" si="1"/>
        <v>0.16315789473684211</v>
      </c>
      <c r="T20" s="124">
        <f t="shared" si="2"/>
        <v>2.0265933058230171E-2</v>
      </c>
      <c r="U20" s="124">
        <f t="shared" si="3"/>
        <v>1.7373811265544988E-2</v>
      </c>
    </row>
    <row r="21" spans="1:26" ht="12.75" customHeight="1" x14ac:dyDescent="0.2">
      <c r="A21" s="32">
        <v>15</v>
      </c>
      <c r="B21" s="66" t="s">
        <v>195</v>
      </c>
      <c r="C21" s="67">
        <v>206</v>
      </c>
      <c r="D21" s="121">
        <v>35</v>
      </c>
      <c r="E21" s="121">
        <v>16</v>
      </c>
      <c r="F21" s="121">
        <v>33</v>
      </c>
      <c r="G21" s="121">
        <v>33</v>
      </c>
      <c r="H21" s="121">
        <v>17</v>
      </c>
      <c r="I21" s="121">
        <v>8</v>
      </c>
      <c r="J21" s="121">
        <v>0</v>
      </c>
      <c r="K21" s="121">
        <v>0</v>
      </c>
      <c r="L21" s="121">
        <v>0</v>
      </c>
      <c r="M21" s="121">
        <v>5</v>
      </c>
      <c r="N21" s="121">
        <v>19</v>
      </c>
      <c r="O21" s="121">
        <v>40</v>
      </c>
      <c r="P21" s="57">
        <v>186</v>
      </c>
      <c r="Q21" s="133">
        <v>2235</v>
      </c>
      <c r="R21" s="121">
        <f t="shared" si="0"/>
        <v>20</v>
      </c>
      <c r="S21" s="124">
        <f t="shared" si="1"/>
        <v>0.10752688172043011</v>
      </c>
      <c r="T21" s="124">
        <f t="shared" si="2"/>
        <v>1.8890417239798257E-2</v>
      </c>
      <c r="U21" s="124">
        <f t="shared" si="3"/>
        <v>1.7008046817849305E-2</v>
      </c>
    </row>
    <row r="22" spans="1:26" ht="12.75" customHeight="1" x14ac:dyDescent="0.2">
      <c r="A22" s="32">
        <v>16</v>
      </c>
      <c r="B22" s="66" t="s">
        <v>191</v>
      </c>
      <c r="C22" s="67">
        <v>177</v>
      </c>
      <c r="D22" s="121">
        <v>43</v>
      </c>
      <c r="E22" s="121">
        <v>29</v>
      </c>
      <c r="F22" s="121">
        <v>47</v>
      </c>
      <c r="G22" s="121">
        <v>36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6</v>
      </c>
      <c r="O22" s="121">
        <v>16</v>
      </c>
      <c r="P22" s="57">
        <v>186</v>
      </c>
      <c r="Q22" s="133">
        <v>2236</v>
      </c>
      <c r="R22" s="121">
        <f t="shared" si="0"/>
        <v>-9</v>
      </c>
      <c r="S22" s="124">
        <f t="shared" si="1"/>
        <v>-4.8387096774193547E-2</v>
      </c>
      <c r="T22" s="124">
        <f t="shared" si="2"/>
        <v>1.6231086657496563E-2</v>
      </c>
      <c r="U22" s="124">
        <f t="shared" si="3"/>
        <v>1.7008046817849305E-2</v>
      </c>
    </row>
    <row r="23" spans="1:26" ht="12.75" customHeight="1" x14ac:dyDescent="0.2">
      <c r="A23" s="32">
        <v>17</v>
      </c>
      <c r="B23" s="66" t="s">
        <v>174</v>
      </c>
      <c r="C23" s="67">
        <v>145</v>
      </c>
      <c r="D23" s="121">
        <v>20</v>
      </c>
      <c r="E23" s="121">
        <v>66</v>
      </c>
      <c r="F23" s="121">
        <v>34</v>
      </c>
      <c r="G23" s="121">
        <v>11</v>
      </c>
      <c r="H23" s="121">
        <v>2</v>
      </c>
      <c r="I23" s="121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4</v>
      </c>
      <c r="O23" s="121">
        <v>8</v>
      </c>
      <c r="P23" s="57">
        <v>179</v>
      </c>
      <c r="Q23" s="133">
        <v>2237</v>
      </c>
      <c r="R23" s="121">
        <f t="shared" si="0"/>
        <v>-34</v>
      </c>
      <c r="S23" s="124">
        <f t="shared" si="1"/>
        <v>-0.18994413407821228</v>
      </c>
      <c r="T23" s="124">
        <f t="shared" si="2"/>
        <v>1.3296652911508482E-2</v>
      </c>
      <c r="U23" s="124">
        <f t="shared" si="3"/>
        <v>1.6367959034381856E-2</v>
      </c>
    </row>
    <row r="24" spans="1:26" ht="12.75" customHeight="1" x14ac:dyDescent="0.2">
      <c r="A24" s="32">
        <v>18</v>
      </c>
      <c r="B24" s="66" t="s">
        <v>196</v>
      </c>
      <c r="C24" s="67">
        <v>134</v>
      </c>
      <c r="D24" s="121">
        <v>24</v>
      </c>
      <c r="E24" s="121">
        <v>13</v>
      </c>
      <c r="F24" s="121">
        <v>37</v>
      </c>
      <c r="G24" s="121">
        <v>21</v>
      </c>
      <c r="H24" s="121">
        <v>13</v>
      </c>
      <c r="I24" s="121">
        <v>4</v>
      </c>
      <c r="J24" s="121">
        <v>0</v>
      </c>
      <c r="K24" s="121">
        <v>0</v>
      </c>
      <c r="L24" s="121">
        <v>0</v>
      </c>
      <c r="M24" s="121">
        <v>0</v>
      </c>
      <c r="N24" s="121">
        <v>7</v>
      </c>
      <c r="O24" s="121">
        <v>15</v>
      </c>
      <c r="P24" s="57">
        <v>131</v>
      </c>
      <c r="Q24" s="133">
        <v>2238</v>
      </c>
      <c r="R24" s="121">
        <f t="shared" si="0"/>
        <v>3</v>
      </c>
      <c r="S24" s="124">
        <f t="shared" si="1"/>
        <v>2.2900763358778626E-2</v>
      </c>
      <c r="T24" s="124">
        <f t="shared" si="2"/>
        <v>1.228794131132508E-2</v>
      </c>
      <c r="U24" s="124">
        <f t="shared" si="3"/>
        <v>1.1978785662033651E-2</v>
      </c>
    </row>
    <row r="25" spans="1:26" ht="12.75" customHeight="1" x14ac:dyDescent="0.2">
      <c r="A25" s="32">
        <v>19</v>
      </c>
      <c r="B25" s="66" t="s">
        <v>200</v>
      </c>
      <c r="C25" s="67">
        <v>84</v>
      </c>
      <c r="D25" s="121">
        <v>9</v>
      </c>
      <c r="E25" s="121">
        <v>7</v>
      </c>
      <c r="F25" s="121">
        <v>17</v>
      </c>
      <c r="G25" s="121">
        <v>15</v>
      </c>
      <c r="H25" s="121">
        <v>19</v>
      </c>
      <c r="I25" s="121">
        <v>2</v>
      </c>
      <c r="J25" s="121">
        <v>1</v>
      </c>
      <c r="K25" s="121">
        <v>1</v>
      </c>
      <c r="L25" s="121">
        <v>0</v>
      </c>
      <c r="M25" s="121">
        <v>0</v>
      </c>
      <c r="N25" s="121">
        <v>3</v>
      </c>
      <c r="O25" s="121">
        <v>10</v>
      </c>
      <c r="P25" s="57">
        <v>70</v>
      </c>
      <c r="Q25" s="133">
        <v>2239</v>
      </c>
      <c r="R25" s="121">
        <f t="shared" si="0"/>
        <v>14</v>
      </c>
      <c r="S25" s="124">
        <f t="shared" si="1"/>
        <v>0.2</v>
      </c>
      <c r="T25" s="124">
        <f t="shared" si="2"/>
        <v>7.7028885832187066E-3</v>
      </c>
      <c r="U25" s="124">
        <f t="shared" si="3"/>
        <v>6.4008778346744694E-3</v>
      </c>
    </row>
    <row r="26" spans="1:26" ht="12.75" customHeight="1" x14ac:dyDescent="0.2">
      <c r="A26" s="32">
        <v>20</v>
      </c>
      <c r="B26" s="66" t="s">
        <v>7</v>
      </c>
      <c r="C26" s="67">
        <v>65</v>
      </c>
      <c r="D26" s="121">
        <v>2</v>
      </c>
      <c r="E26" s="121">
        <v>2</v>
      </c>
      <c r="F26" s="121">
        <v>13</v>
      </c>
      <c r="G26" s="121">
        <v>22</v>
      </c>
      <c r="H26" s="121">
        <v>22</v>
      </c>
      <c r="I26" s="121">
        <v>4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57">
        <v>0</v>
      </c>
      <c r="Q26" s="133">
        <v>2240</v>
      </c>
      <c r="R26" s="121">
        <f t="shared" si="0"/>
        <v>65</v>
      </c>
      <c r="S26" s="124" t="e">
        <f t="shared" si="1"/>
        <v>#DIV/0!</v>
      </c>
      <c r="T26" s="124">
        <f t="shared" si="2"/>
        <v>5.9605685465382854E-3</v>
      </c>
      <c r="U26" s="124">
        <f t="shared" si="3"/>
        <v>0</v>
      </c>
      <c r="Y26" s="21"/>
    </row>
    <row r="27" spans="1:26" ht="12.75" customHeight="1" x14ac:dyDescent="0.2">
      <c r="A27" s="32">
        <v>21</v>
      </c>
      <c r="B27" s="66" t="s">
        <v>175</v>
      </c>
      <c r="C27" s="67">
        <v>56</v>
      </c>
      <c r="D27" s="121">
        <v>5</v>
      </c>
      <c r="E27" s="121">
        <v>6</v>
      </c>
      <c r="F27" s="121">
        <v>17</v>
      </c>
      <c r="G27" s="121">
        <v>20</v>
      </c>
      <c r="H27" s="121">
        <v>7</v>
      </c>
      <c r="I27" s="121">
        <v>1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57">
        <v>57</v>
      </c>
      <c r="Q27" s="133">
        <v>2241</v>
      </c>
      <c r="R27" s="121">
        <f t="shared" si="0"/>
        <v>-1</v>
      </c>
      <c r="S27" s="124">
        <f t="shared" si="1"/>
        <v>-1.7543859649122806E-2</v>
      </c>
      <c r="T27" s="124">
        <f t="shared" si="2"/>
        <v>5.1352590554791383E-3</v>
      </c>
      <c r="U27" s="124">
        <f t="shared" si="3"/>
        <v>5.2121433796634966E-3</v>
      </c>
    </row>
    <row r="28" spans="1:26" ht="12.75" customHeight="1" x14ac:dyDescent="0.2">
      <c r="A28" s="32">
        <v>22</v>
      </c>
      <c r="B28" s="66" t="s">
        <v>8</v>
      </c>
      <c r="C28" s="67">
        <v>24</v>
      </c>
      <c r="D28" s="121">
        <v>12</v>
      </c>
      <c r="E28" s="121">
        <v>11</v>
      </c>
      <c r="F28" s="121">
        <v>1</v>
      </c>
      <c r="G28" s="121">
        <v>0</v>
      </c>
      <c r="H28" s="121">
        <v>0</v>
      </c>
      <c r="I28" s="121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57">
        <v>0</v>
      </c>
      <c r="Q28" s="133">
        <v>2242</v>
      </c>
      <c r="R28" s="121">
        <f t="shared" si="0"/>
        <v>24</v>
      </c>
      <c r="S28" s="124" t="e">
        <f t="shared" si="1"/>
        <v>#DIV/0!</v>
      </c>
      <c r="T28" s="124">
        <f t="shared" si="2"/>
        <v>2.2008253094910591E-3</v>
      </c>
      <c r="U28" s="124">
        <f t="shared" si="3"/>
        <v>0</v>
      </c>
      <c r="Y28" s="21"/>
    </row>
    <row r="29" spans="1:26" ht="12.75" customHeight="1" x14ac:dyDescent="0.2">
      <c r="A29" s="32">
        <v>23</v>
      </c>
      <c r="B29" s="66" t="s">
        <v>199</v>
      </c>
      <c r="C29" s="67">
        <v>23</v>
      </c>
      <c r="D29" s="121">
        <v>4</v>
      </c>
      <c r="E29" s="121">
        <v>5</v>
      </c>
      <c r="F29" s="121">
        <v>7</v>
      </c>
      <c r="G29" s="121">
        <v>1</v>
      </c>
      <c r="H29" s="121">
        <v>3</v>
      </c>
      <c r="I29" s="121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3</v>
      </c>
      <c r="P29" s="57">
        <v>22</v>
      </c>
      <c r="Q29" s="133">
        <v>2243</v>
      </c>
      <c r="R29" s="121">
        <f t="shared" si="0"/>
        <v>1</v>
      </c>
      <c r="S29" s="124">
        <f t="shared" si="1"/>
        <v>4.5454545454545456E-2</v>
      </c>
      <c r="T29" s="124">
        <f t="shared" si="2"/>
        <v>2.1091242549289317E-3</v>
      </c>
      <c r="U29" s="124">
        <f t="shared" si="3"/>
        <v>2.0117044623262619E-3</v>
      </c>
    </row>
    <row r="30" spans="1:26" ht="12.75" customHeight="1" x14ac:dyDescent="0.2">
      <c r="A30" s="32">
        <v>24</v>
      </c>
      <c r="B30" s="66" t="s">
        <v>201</v>
      </c>
      <c r="C30" s="67">
        <v>8</v>
      </c>
      <c r="D30" s="121">
        <v>0</v>
      </c>
      <c r="E30" s="121">
        <v>0</v>
      </c>
      <c r="F30" s="121">
        <v>1</v>
      </c>
      <c r="G30" s="121">
        <v>7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57">
        <v>3</v>
      </c>
      <c r="Q30" s="133">
        <v>2244</v>
      </c>
      <c r="R30" s="121">
        <f t="shared" si="0"/>
        <v>5</v>
      </c>
      <c r="S30" s="124">
        <f t="shared" si="1"/>
        <v>1.6666666666666667</v>
      </c>
      <c r="T30" s="124">
        <f t="shared" si="2"/>
        <v>7.336084364970197E-4</v>
      </c>
      <c r="U30" s="124">
        <f t="shared" si="3"/>
        <v>2.7432333577176297E-4</v>
      </c>
    </row>
    <row r="31" spans="1:26" ht="12.75" customHeight="1" x14ac:dyDescent="0.2">
      <c r="A31" s="32" t="s">
        <v>179</v>
      </c>
      <c r="B31" s="66" t="s">
        <v>61</v>
      </c>
      <c r="C31" s="67">
        <v>6</v>
      </c>
      <c r="D31" s="121">
        <v>2</v>
      </c>
      <c r="E31" s="121">
        <v>1</v>
      </c>
      <c r="F31" s="121">
        <v>3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21">
        <v>0</v>
      </c>
      <c r="P31" s="57">
        <v>3</v>
      </c>
      <c r="Q31" s="133">
        <v>2245</v>
      </c>
      <c r="R31" s="121">
        <f t="shared" si="0"/>
        <v>3</v>
      </c>
      <c r="S31" s="124">
        <f t="shared" si="1"/>
        <v>1</v>
      </c>
      <c r="T31" s="124">
        <f t="shared" si="2"/>
        <v>5.5020632737276477E-4</v>
      </c>
      <c r="U31" s="124">
        <f t="shared" si="3"/>
        <v>2.7432333577176297E-4</v>
      </c>
    </row>
    <row r="32" spans="1:26" ht="16.5" customHeight="1" x14ac:dyDescent="0.2">
      <c r="A32" s="104" t="s">
        <v>1349</v>
      </c>
      <c r="B32" s="120"/>
      <c r="C32" s="106">
        <f>SUBTOTAL(109,Tabla4[ENIS 2022-2023])</f>
        <v>10905</v>
      </c>
      <c r="D32" s="106">
        <f>SUBTOTAL(109,Tabla4[AGO])</f>
        <v>1058</v>
      </c>
      <c r="E32" s="106">
        <f>SUBTOTAL(109,Tabla4[SEP])</f>
        <v>1607</v>
      </c>
      <c r="F32" s="106">
        <f>SUBTOTAL(109,Tabla4[OCT])</f>
        <v>2272</v>
      </c>
      <c r="G32" s="106">
        <f>SUBTOTAL(109,Tabla4[NOV])</f>
        <v>2427</v>
      </c>
      <c r="H32" s="106">
        <f>SUBTOTAL(109,Tabla4[DIC])</f>
        <v>1951</v>
      </c>
      <c r="I32" s="106">
        <f>SUBTOTAL(109,Tabla4[ENE])</f>
        <v>784</v>
      </c>
      <c r="J32" s="106">
        <f>SUBTOTAL(109,Tabla4[FEB])</f>
        <v>1</v>
      </c>
      <c r="K32" s="106">
        <f>SUBTOTAL(109,Tabla4[MAR])</f>
        <v>41</v>
      </c>
      <c r="L32" s="106">
        <f>SUBTOTAL(109,Tabla4[ABR])</f>
        <v>14</v>
      </c>
      <c r="M32" s="106">
        <f>SUBTOTAL(109,Tabla4[MAY])</f>
        <v>142</v>
      </c>
      <c r="N32" s="106">
        <f>SUBTOTAL(109,Tabla4[JUN])</f>
        <v>326</v>
      </c>
      <c r="O32" s="106">
        <f>SUBTOTAL(109,Tabla4[JUL])</f>
        <v>282</v>
      </c>
      <c r="P32" s="106">
        <f>SUBTOTAL(109,Tabla4[SUPERFICIE SEMBRADA 2021-2022])</f>
        <v>10936</v>
      </c>
      <c r="Q32" s="132">
        <f>SUBTOTAL(109,Tabla4[ENIS 2021-2022])</f>
        <v>55825</v>
      </c>
      <c r="R32" s="106">
        <f>SUBTOTAL(109,Tabla4[DIF.])</f>
        <v>-31</v>
      </c>
      <c r="S32" s="110">
        <f t="shared" si="1"/>
        <v>-2.834674469641551E-3</v>
      </c>
      <c r="T32" s="119">
        <f>SUBTOTAL(109,Tabla4[% ENIS])</f>
        <v>0.99999999999999978</v>
      </c>
      <c r="U32" s="119">
        <f>SUBTOTAL(109,Tabla4[%  SUP SEMB])</f>
        <v>0.99999999999999978</v>
      </c>
      <c r="V32" s="97"/>
      <c r="W32" s="34"/>
      <c r="Y32" s="27"/>
      <c r="Z32" s="27"/>
    </row>
    <row r="33" spans="1:24" x14ac:dyDescent="0.2">
      <c r="V33" s="40"/>
      <c r="X33" s="26"/>
    </row>
    <row r="34" spans="1:24" x14ac:dyDescent="0.2">
      <c r="A34" s="25"/>
      <c r="B34" s="30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4"/>
      <c r="Q34" s="34"/>
      <c r="R34" s="34"/>
      <c r="S34" s="34"/>
      <c r="T34" s="34"/>
      <c r="U34" s="34"/>
      <c r="V34" s="40"/>
      <c r="X34" s="26"/>
    </row>
    <row r="35" spans="1:24" x14ac:dyDescent="0.2">
      <c r="A35" s="25"/>
      <c r="B35" s="3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34"/>
      <c r="Q35" s="34"/>
      <c r="R35" s="34"/>
      <c r="S35" s="34"/>
      <c r="T35" s="34"/>
      <c r="U35" s="34"/>
      <c r="V35" s="40"/>
      <c r="X35" s="26"/>
    </row>
    <row r="36" spans="1:24" x14ac:dyDescent="0.2">
      <c r="A36" s="25"/>
      <c r="B36" s="3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4"/>
      <c r="Q36" s="34"/>
      <c r="R36" s="34"/>
      <c r="S36" s="34"/>
      <c r="T36" s="34"/>
      <c r="U36" s="34"/>
      <c r="V36" s="40"/>
      <c r="X36" s="26"/>
    </row>
    <row r="37" spans="1:24" x14ac:dyDescent="0.2">
      <c r="A37" s="25"/>
      <c r="B37" s="3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34"/>
      <c r="Q37" s="34"/>
      <c r="R37" s="34"/>
      <c r="S37" s="34"/>
      <c r="T37" s="34"/>
      <c r="U37" s="34"/>
      <c r="V37" s="40"/>
      <c r="X37" s="26"/>
    </row>
    <row r="38" spans="1:24" x14ac:dyDescent="0.2">
      <c r="A38" s="25"/>
      <c r="B38" s="3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34"/>
      <c r="Q38" s="34"/>
      <c r="R38" s="34"/>
      <c r="S38" s="34"/>
      <c r="T38" s="34"/>
      <c r="U38" s="34"/>
      <c r="V38" s="40"/>
      <c r="X38" s="26"/>
    </row>
    <row r="39" spans="1:24" ht="43.5" customHeight="1" x14ac:dyDescent="0.2">
      <c r="A39" s="25"/>
      <c r="B39" s="3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34"/>
      <c r="Q39" s="34"/>
      <c r="R39" s="34"/>
      <c r="S39" s="34"/>
      <c r="T39" s="34"/>
      <c r="U39" s="34"/>
      <c r="V39" s="18"/>
      <c r="W39" s="26"/>
      <c r="X39" s="26"/>
    </row>
    <row r="40" spans="1:24" x14ac:dyDescent="0.2">
      <c r="A40" s="152" t="s">
        <v>1305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22"/>
      <c r="Q40" s="22"/>
      <c r="R40" s="22"/>
      <c r="S40" s="22"/>
      <c r="T40" s="22"/>
      <c r="U40" s="22"/>
      <c r="V40" s="18"/>
      <c r="W40" s="26"/>
      <c r="X40" s="26"/>
    </row>
    <row r="41" spans="1:24" x14ac:dyDescent="0.2">
      <c r="B41" s="18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2"/>
      <c r="Q41" s="22"/>
      <c r="R41" s="22"/>
      <c r="S41" s="22"/>
      <c r="T41" s="22"/>
      <c r="U41" s="22"/>
      <c r="V41" s="18"/>
      <c r="W41" s="26"/>
      <c r="X41" s="26"/>
    </row>
    <row r="42" spans="1:24" x14ac:dyDescent="0.2">
      <c r="B42" s="18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22"/>
      <c r="Q42" s="22"/>
      <c r="R42" s="22"/>
      <c r="S42" s="22"/>
      <c r="T42" s="22"/>
      <c r="U42" s="22"/>
      <c r="V42" s="18"/>
      <c r="W42" s="26"/>
      <c r="X42" s="26"/>
    </row>
    <row r="43" spans="1:24" x14ac:dyDescent="0.2">
      <c r="B43" s="18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2"/>
      <c r="Q43" s="22"/>
      <c r="R43" s="22"/>
      <c r="S43" s="22"/>
      <c r="T43" s="22"/>
      <c r="U43" s="22"/>
      <c r="V43" s="18"/>
      <c r="W43" s="26"/>
      <c r="X43" s="26"/>
    </row>
    <row r="44" spans="1:24" x14ac:dyDescent="0.2">
      <c r="B44" s="18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22"/>
      <c r="Q44" s="22"/>
      <c r="R44" s="22"/>
      <c r="S44" s="22"/>
      <c r="T44" s="22"/>
      <c r="U44" s="22"/>
      <c r="V44" s="18"/>
      <c r="W44" s="26"/>
      <c r="X44" s="26"/>
    </row>
    <row r="45" spans="1:24" x14ac:dyDescent="0.2">
      <c r="B45" s="18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2"/>
      <c r="Q45" s="22"/>
      <c r="R45" s="22"/>
      <c r="S45" s="22"/>
      <c r="T45" s="22"/>
      <c r="U45" s="22"/>
      <c r="V45" s="18"/>
      <c r="W45" s="26"/>
      <c r="X45" s="26"/>
    </row>
    <row r="46" spans="1:24" x14ac:dyDescent="0.2">
      <c r="B46" s="18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22"/>
      <c r="Q46" s="22"/>
      <c r="R46" s="22"/>
      <c r="S46" s="22"/>
      <c r="T46" s="22"/>
      <c r="U46" s="22"/>
      <c r="V46" s="18"/>
      <c r="W46" s="26"/>
      <c r="X46" s="26"/>
    </row>
    <row r="47" spans="1:24" x14ac:dyDescent="0.2">
      <c r="B47" s="18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2"/>
      <c r="Q47" s="22"/>
      <c r="R47" s="22"/>
      <c r="S47" s="22"/>
      <c r="T47" s="22"/>
      <c r="U47" s="22"/>
      <c r="V47" s="18"/>
      <c r="W47" s="26"/>
      <c r="X47" s="26"/>
    </row>
    <row r="48" spans="1:24" x14ac:dyDescent="0.2">
      <c r="B48" s="18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22"/>
      <c r="Q48" s="22"/>
      <c r="R48" s="22"/>
      <c r="S48" s="22"/>
      <c r="T48" s="22"/>
      <c r="U48" s="22"/>
      <c r="V48" s="18"/>
      <c r="W48" s="26"/>
      <c r="X48" s="26"/>
    </row>
    <row r="49" spans="2:24" x14ac:dyDescent="0.2">
      <c r="B49" s="18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2"/>
      <c r="Q49" s="22"/>
      <c r="R49" s="22"/>
      <c r="S49" s="22"/>
      <c r="T49" s="22"/>
      <c r="U49" s="22"/>
      <c r="V49" s="18"/>
      <c r="W49" s="26"/>
      <c r="X49" s="26"/>
    </row>
    <row r="50" spans="2:24" x14ac:dyDescent="0.2">
      <c r="B50" s="18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22"/>
      <c r="Q50" s="22"/>
      <c r="R50" s="22"/>
      <c r="S50" s="22"/>
      <c r="T50" s="22"/>
      <c r="U50" s="22"/>
      <c r="V50" s="18"/>
      <c r="W50" s="26"/>
      <c r="X50" s="26"/>
    </row>
    <row r="51" spans="2:24" x14ac:dyDescent="0.2">
      <c r="B51" s="18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2"/>
      <c r="Q51" s="22"/>
      <c r="R51" s="22"/>
      <c r="S51" s="22"/>
      <c r="T51" s="22"/>
      <c r="U51" s="22"/>
      <c r="V51" s="18"/>
      <c r="W51" s="26"/>
      <c r="X51" s="26"/>
    </row>
    <row r="52" spans="2:24" x14ac:dyDescent="0.2">
      <c r="B52" s="18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22"/>
      <c r="Q52" s="22"/>
      <c r="R52" s="22"/>
      <c r="S52" s="22"/>
      <c r="T52" s="22"/>
      <c r="U52" s="22"/>
      <c r="V52" s="18"/>
      <c r="W52" s="26"/>
      <c r="X52" s="26"/>
    </row>
    <row r="53" spans="2:24" x14ac:dyDescent="0.2">
      <c r="B53" s="18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2"/>
      <c r="Q53" s="22"/>
      <c r="R53" s="22"/>
      <c r="S53" s="22"/>
      <c r="T53" s="22"/>
      <c r="U53" s="22"/>
      <c r="V53" s="18"/>
      <c r="W53" s="26"/>
      <c r="X53" s="26"/>
    </row>
    <row r="54" spans="2:24" x14ac:dyDescent="0.2">
      <c r="B54" s="18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22"/>
      <c r="Q54" s="22"/>
      <c r="R54" s="22"/>
      <c r="S54" s="22"/>
      <c r="T54" s="22"/>
      <c r="U54" s="22"/>
      <c r="V54" s="18"/>
      <c r="W54" s="26"/>
      <c r="X54" s="26"/>
    </row>
    <row r="55" spans="2:24" x14ac:dyDescent="0.2">
      <c r="B55" s="18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2"/>
      <c r="Q55" s="22"/>
      <c r="R55" s="22"/>
      <c r="S55" s="22"/>
      <c r="T55" s="22"/>
      <c r="U55" s="22"/>
      <c r="V55" s="18"/>
      <c r="W55" s="26"/>
      <c r="X55" s="26"/>
    </row>
    <row r="56" spans="2:24" x14ac:dyDescent="0.2">
      <c r="B56" s="18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2"/>
      <c r="Q56" s="22"/>
      <c r="R56" s="22"/>
      <c r="S56" s="22"/>
      <c r="T56" s="22"/>
      <c r="U56" s="22"/>
      <c r="V56" s="18"/>
      <c r="W56" s="26"/>
      <c r="X56" s="26"/>
    </row>
    <row r="57" spans="2:24" x14ac:dyDescent="0.2">
      <c r="B57" s="18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2"/>
      <c r="Q57" s="22"/>
      <c r="R57" s="22"/>
      <c r="S57" s="22"/>
      <c r="T57" s="22"/>
      <c r="U57" s="22"/>
      <c r="V57" s="18"/>
      <c r="W57" s="26"/>
      <c r="X57" s="26"/>
    </row>
    <row r="58" spans="2:24" x14ac:dyDescent="0.2">
      <c r="B58" s="18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22"/>
      <c r="Q58" s="22"/>
      <c r="R58" s="22"/>
      <c r="S58" s="22"/>
      <c r="T58" s="22"/>
      <c r="U58" s="22"/>
      <c r="V58" s="18"/>
      <c r="W58" s="26"/>
      <c r="X58" s="26"/>
    </row>
    <row r="59" spans="2:24" x14ac:dyDescent="0.2">
      <c r="B59" s="18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2"/>
      <c r="Q59" s="22"/>
      <c r="R59" s="22"/>
      <c r="S59" s="22"/>
      <c r="T59" s="22"/>
      <c r="U59" s="22"/>
      <c r="V59" s="18"/>
      <c r="W59" s="26"/>
      <c r="X59" s="26"/>
    </row>
    <row r="60" spans="2:24" x14ac:dyDescent="0.2">
      <c r="B60" s="18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22"/>
      <c r="Q60" s="22"/>
      <c r="R60" s="22"/>
      <c r="S60" s="22"/>
      <c r="T60" s="22"/>
      <c r="U60" s="22"/>
      <c r="V60" s="18"/>
      <c r="W60" s="26"/>
      <c r="X60" s="26"/>
    </row>
    <row r="61" spans="2:24" x14ac:dyDescent="0.2">
      <c r="B61" s="18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2"/>
      <c r="Q61" s="22"/>
      <c r="R61" s="22"/>
      <c r="S61" s="22"/>
      <c r="T61" s="22"/>
      <c r="U61" s="22"/>
      <c r="V61" s="18"/>
      <c r="W61" s="26"/>
      <c r="X61" s="26"/>
    </row>
    <row r="62" spans="2:24" x14ac:dyDescent="0.2">
      <c r="B62" s="18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22"/>
      <c r="Q62" s="22"/>
      <c r="R62" s="22"/>
      <c r="S62" s="22"/>
      <c r="T62" s="22"/>
      <c r="U62" s="22"/>
      <c r="V62" s="18"/>
      <c r="W62" s="26"/>
      <c r="X62" s="26"/>
    </row>
    <row r="63" spans="2:24" x14ac:dyDescent="0.2">
      <c r="B63" s="18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2"/>
      <c r="Q63" s="22"/>
      <c r="R63" s="22"/>
      <c r="S63" s="22"/>
      <c r="T63" s="22"/>
      <c r="U63" s="22"/>
      <c r="V63" s="18"/>
      <c r="W63" s="26"/>
      <c r="X63" s="26"/>
    </row>
    <row r="64" spans="2:24" x14ac:dyDescent="0.2">
      <c r="B64" s="18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22"/>
      <c r="Q64" s="22"/>
      <c r="R64" s="22"/>
      <c r="S64" s="22"/>
      <c r="T64" s="22"/>
      <c r="U64" s="22"/>
      <c r="V64" s="18"/>
      <c r="W64" s="26"/>
      <c r="X64" s="26"/>
    </row>
    <row r="65" spans="1:24" x14ac:dyDescent="0.2">
      <c r="B65" s="18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2"/>
      <c r="Q65" s="22"/>
      <c r="R65" s="22"/>
      <c r="S65" s="22"/>
      <c r="T65" s="22"/>
      <c r="U65" s="22"/>
      <c r="V65" s="18"/>
      <c r="W65" s="26"/>
      <c r="X65" s="26"/>
    </row>
    <row r="66" spans="1:24" x14ac:dyDescent="0.2">
      <c r="B66" s="18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22"/>
      <c r="Q66" s="22"/>
      <c r="R66" s="22"/>
      <c r="S66" s="22"/>
      <c r="T66" s="22"/>
      <c r="U66" s="22"/>
      <c r="V66" s="18"/>
      <c r="W66" s="26"/>
      <c r="X66" s="26"/>
    </row>
    <row r="67" spans="1:24" ht="12.75" customHeight="1" x14ac:dyDescent="0.2">
      <c r="B67" s="18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2"/>
      <c r="Q67" s="22"/>
      <c r="R67" s="22"/>
      <c r="S67" s="22"/>
      <c r="T67" s="22"/>
      <c r="U67" s="22"/>
      <c r="V67" s="18"/>
      <c r="W67" s="26"/>
      <c r="X67" s="26"/>
    </row>
    <row r="68" spans="1:24" ht="28.5" customHeight="1" x14ac:dyDescent="0.2">
      <c r="A68" s="82"/>
      <c r="B68" s="88"/>
      <c r="C68" s="82"/>
      <c r="D68" s="160">
        <f>HGA!D4</f>
        <v>2022</v>
      </c>
      <c r="E68" s="160">
        <f>HGA!E4</f>
        <v>0</v>
      </c>
      <c r="F68" s="160">
        <f>HGA!F4</f>
        <v>0</v>
      </c>
      <c r="G68" s="160">
        <f>HGA!G4</f>
        <v>0</v>
      </c>
      <c r="H68" s="160">
        <f>HGA!H4</f>
        <v>0</v>
      </c>
      <c r="I68" s="160">
        <f>HGA!I4</f>
        <v>2023</v>
      </c>
      <c r="J68" s="160">
        <f>HGA!J4</f>
        <v>0</v>
      </c>
      <c r="K68" s="160">
        <f>HGA!K4</f>
        <v>0</v>
      </c>
      <c r="L68" s="160">
        <f>HGA!L4</f>
        <v>0</v>
      </c>
      <c r="M68" s="160">
        <f>HGA!M4</f>
        <v>0</v>
      </c>
      <c r="N68" s="160">
        <f>HGA!N4</f>
        <v>0</v>
      </c>
      <c r="O68" s="160">
        <f>HGA!O4</f>
        <v>0</v>
      </c>
      <c r="P68" s="77"/>
      <c r="Q68" s="125"/>
      <c r="R68" s="77"/>
      <c r="S68" s="77"/>
      <c r="T68" s="77"/>
      <c r="U68" s="77"/>
    </row>
    <row r="69" spans="1:24" ht="25.5" x14ac:dyDescent="0.2">
      <c r="A69" s="87" t="s">
        <v>59</v>
      </c>
      <c r="B69" s="89" t="s">
        <v>10</v>
      </c>
      <c r="C69" s="87" t="s">
        <v>1298</v>
      </c>
      <c r="D69" s="90" t="s">
        <v>12</v>
      </c>
      <c r="E69" s="90" t="s">
        <v>13</v>
      </c>
      <c r="F69" s="90" t="s">
        <v>14</v>
      </c>
      <c r="G69" s="90" t="s">
        <v>15</v>
      </c>
      <c r="H69" s="90" t="s">
        <v>16</v>
      </c>
      <c r="I69" s="90" t="s">
        <v>17</v>
      </c>
      <c r="J69" s="90" t="s">
        <v>18</v>
      </c>
      <c r="K69" s="90" t="s">
        <v>19</v>
      </c>
      <c r="L69" s="90" t="s">
        <v>20</v>
      </c>
      <c r="M69" s="90" t="s">
        <v>21</v>
      </c>
      <c r="N69" s="90" t="s">
        <v>22</v>
      </c>
      <c r="O69" s="90" t="s">
        <v>23</v>
      </c>
      <c r="P69" s="91" t="s">
        <v>1328</v>
      </c>
      <c r="Q69" s="126" t="s">
        <v>1299</v>
      </c>
      <c r="R69" s="118" t="s">
        <v>187</v>
      </c>
      <c r="S69" s="118" t="s">
        <v>1351</v>
      </c>
      <c r="T69" s="82" t="s">
        <v>1352</v>
      </c>
      <c r="U69" s="82" t="s">
        <v>1353</v>
      </c>
      <c r="V69" s="96">
        <f>Q7</f>
        <v>2221</v>
      </c>
      <c r="X69" s="26" t="e">
        <f>C70*100/#REF!</f>
        <v>#REF!</v>
      </c>
    </row>
    <row r="70" spans="1:24" x14ac:dyDescent="0.2">
      <c r="A70" s="32">
        <f t="shared" ref="A70:P70" si="4">A7</f>
        <v>1</v>
      </c>
      <c r="B70" s="18" t="str">
        <f t="shared" si="4"/>
        <v>MAIZ AMILACEO</v>
      </c>
      <c r="C70" s="56">
        <f t="shared" si="4"/>
        <v>2084</v>
      </c>
      <c r="D70" s="57">
        <f t="shared" si="4"/>
        <v>100</v>
      </c>
      <c r="E70" s="57">
        <f t="shared" si="4"/>
        <v>323</v>
      </c>
      <c r="F70" s="57">
        <f t="shared" si="4"/>
        <v>428</v>
      </c>
      <c r="G70" s="57">
        <f t="shared" si="4"/>
        <v>695</v>
      </c>
      <c r="H70" s="57">
        <f t="shared" si="4"/>
        <v>466</v>
      </c>
      <c r="I70" s="57">
        <f t="shared" si="4"/>
        <v>72</v>
      </c>
      <c r="J70" s="57">
        <f t="shared" si="4"/>
        <v>0</v>
      </c>
      <c r="K70" s="57">
        <f t="shared" si="4"/>
        <v>0</v>
      </c>
      <c r="L70" s="57">
        <f t="shared" si="4"/>
        <v>0</v>
      </c>
      <c r="M70" s="57">
        <f t="shared" si="4"/>
        <v>0</v>
      </c>
      <c r="N70" s="57">
        <f t="shared" si="4"/>
        <v>0</v>
      </c>
      <c r="O70" s="57">
        <f t="shared" si="4"/>
        <v>0</v>
      </c>
      <c r="P70" s="57">
        <f t="shared" si="4"/>
        <v>2164</v>
      </c>
      <c r="Q70" s="129">
        <f t="shared" ref="Q70:U70" si="5">Q7</f>
        <v>2221</v>
      </c>
      <c r="R70" s="57">
        <f t="shared" si="5"/>
        <v>-80</v>
      </c>
      <c r="S70" s="123">
        <f t="shared" si="5"/>
        <v>-3.6968576709796676E-2</v>
      </c>
      <c r="T70" s="123">
        <f t="shared" si="5"/>
        <v>0.19110499770747363</v>
      </c>
      <c r="U70" s="123">
        <f t="shared" si="5"/>
        <v>0.19787856620336503</v>
      </c>
      <c r="V70" s="96">
        <f>Q8</f>
        <v>2222</v>
      </c>
      <c r="X70" s="26" t="e">
        <f>C71*100/#REF!</f>
        <v>#REF!</v>
      </c>
    </row>
    <row r="71" spans="1:24" x14ac:dyDescent="0.2">
      <c r="A71" s="32">
        <f t="shared" ref="A71:P71" si="6">A8</f>
        <v>2</v>
      </c>
      <c r="B71" s="18" t="str">
        <f t="shared" si="6"/>
        <v>PAPA NATIVA</v>
      </c>
      <c r="C71" s="56">
        <f t="shared" si="6"/>
        <v>1567</v>
      </c>
      <c r="D71" s="57">
        <f t="shared" si="6"/>
        <v>117</v>
      </c>
      <c r="E71" s="57">
        <f t="shared" si="6"/>
        <v>371</v>
      </c>
      <c r="F71" s="57">
        <f t="shared" si="6"/>
        <v>547</v>
      </c>
      <c r="G71" s="57">
        <f t="shared" si="6"/>
        <v>321</v>
      </c>
      <c r="H71" s="57">
        <f t="shared" si="6"/>
        <v>28</v>
      </c>
      <c r="I71" s="57">
        <f t="shared" si="6"/>
        <v>0</v>
      </c>
      <c r="J71" s="57">
        <f t="shared" si="6"/>
        <v>0</v>
      </c>
      <c r="K71" s="57">
        <f t="shared" si="6"/>
        <v>40</v>
      </c>
      <c r="L71" s="57">
        <f t="shared" si="6"/>
        <v>9</v>
      </c>
      <c r="M71" s="57">
        <f t="shared" si="6"/>
        <v>27</v>
      </c>
      <c r="N71" s="57">
        <f t="shared" si="6"/>
        <v>57</v>
      </c>
      <c r="O71" s="57">
        <f t="shared" si="6"/>
        <v>50</v>
      </c>
      <c r="P71" s="57">
        <f t="shared" si="6"/>
        <v>1794</v>
      </c>
      <c r="Q71" s="129">
        <f t="shared" ref="Q71:U71" si="7">Q8</f>
        <v>2222</v>
      </c>
      <c r="R71" s="57">
        <f t="shared" si="7"/>
        <v>-227</v>
      </c>
      <c r="S71" s="123">
        <f t="shared" si="7"/>
        <v>-0.12653288740245261</v>
      </c>
      <c r="T71" s="123">
        <f t="shared" si="7"/>
        <v>0.14369555249885374</v>
      </c>
      <c r="U71" s="123">
        <f t="shared" si="7"/>
        <v>0.16404535479151428</v>
      </c>
      <c r="V71" s="96">
        <f>Q9</f>
        <v>2223</v>
      </c>
      <c r="X71" s="26" t="e">
        <f>C72*100/#REF!</f>
        <v>#REF!</v>
      </c>
    </row>
    <row r="72" spans="1:24" x14ac:dyDescent="0.2">
      <c r="A72" s="32">
        <f t="shared" ref="A72:P72" si="8">A9</f>
        <v>3</v>
      </c>
      <c r="B72" s="18" t="str">
        <f t="shared" si="8"/>
        <v>TRIGO</v>
      </c>
      <c r="C72" s="56">
        <f t="shared" si="8"/>
        <v>862</v>
      </c>
      <c r="D72" s="57">
        <f t="shared" si="8"/>
        <v>2</v>
      </c>
      <c r="E72" s="57">
        <f t="shared" si="8"/>
        <v>0</v>
      </c>
      <c r="F72" s="57">
        <f t="shared" si="8"/>
        <v>0</v>
      </c>
      <c r="G72" s="57">
        <f t="shared" si="8"/>
        <v>79</v>
      </c>
      <c r="H72" s="57">
        <f t="shared" si="8"/>
        <v>447</v>
      </c>
      <c r="I72" s="57">
        <f t="shared" si="8"/>
        <v>334</v>
      </c>
      <c r="J72" s="57">
        <f t="shared" si="8"/>
        <v>0</v>
      </c>
      <c r="K72" s="57">
        <f t="shared" si="8"/>
        <v>0</v>
      </c>
      <c r="L72" s="57">
        <f t="shared" si="8"/>
        <v>0</v>
      </c>
      <c r="M72" s="57">
        <f t="shared" si="8"/>
        <v>0</v>
      </c>
      <c r="N72" s="57">
        <f t="shared" si="8"/>
        <v>0</v>
      </c>
      <c r="O72" s="57">
        <f t="shared" si="8"/>
        <v>0</v>
      </c>
      <c r="P72" s="57">
        <f t="shared" si="8"/>
        <v>883</v>
      </c>
      <c r="Q72" s="129">
        <f t="shared" ref="Q72:U72" si="9">Q9</f>
        <v>2223</v>
      </c>
      <c r="R72" s="57">
        <f t="shared" si="9"/>
        <v>-21</v>
      </c>
      <c r="S72" s="123">
        <f t="shared" si="9"/>
        <v>-2.3782559456398639E-2</v>
      </c>
      <c r="T72" s="123">
        <f t="shared" si="9"/>
        <v>7.9046309032553871E-2</v>
      </c>
      <c r="U72" s="123">
        <f t="shared" si="9"/>
        <v>8.0742501828822241E-2</v>
      </c>
      <c r="V72" s="96">
        <f>Q10</f>
        <v>2224</v>
      </c>
      <c r="X72" s="26" t="e">
        <f>C73*100/#REF!</f>
        <v>#REF!</v>
      </c>
    </row>
    <row r="73" spans="1:24" x14ac:dyDescent="0.2">
      <c r="A73" s="32">
        <f t="shared" ref="A73:P73" si="10">A10</f>
        <v>4</v>
      </c>
      <c r="B73" s="18" t="str">
        <f t="shared" si="10"/>
        <v>PAPA BLANCA</v>
      </c>
      <c r="C73" s="56">
        <f t="shared" si="10"/>
        <v>846</v>
      </c>
      <c r="D73" s="57">
        <f t="shared" si="10"/>
        <v>24</v>
      </c>
      <c r="E73" s="57">
        <f t="shared" si="10"/>
        <v>82</v>
      </c>
      <c r="F73" s="57">
        <f t="shared" si="10"/>
        <v>237</v>
      </c>
      <c r="G73" s="57">
        <f t="shared" si="10"/>
        <v>227</v>
      </c>
      <c r="H73" s="57">
        <f t="shared" si="10"/>
        <v>71</v>
      </c>
      <c r="I73" s="57">
        <f t="shared" si="10"/>
        <v>24</v>
      </c>
      <c r="J73" s="57">
        <f t="shared" si="10"/>
        <v>0</v>
      </c>
      <c r="K73" s="57">
        <f t="shared" si="10"/>
        <v>0</v>
      </c>
      <c r="L73" s="57">
        <f t="shared" si="10"/>
        <v>0</v>
      </c>
      <c r="M73" s="57">
        <f t="shared" si="10"/>
        <v>36</v>
      </c>
      <c r="N73" s="57">
        <f t="shared" si="10"/>
        <v>95</v>
      </c>
      <c r="O73" s="57">
        <f t="shared" si="10"/>
        <v>50</v>
      </c>
      <c r="P73" s="57">
        <f t="shared" si="10"/>
        <v>973</v>
      </c>
      <c r="Q73" s="129">
        <f t="shared" ref="Q73:U73" si="11">Q10</f>
        <v>2224</v>
      </c>
      <c r="R73" s="57">
        <f t="shared" si="11"/>
        <v>-127</v>
      </c>
      <c r="S73" s="123">
        <f t="shared" si="11"/>
        <v>-0.13052415210688592</v>
      </c>
      <c r="T73" s="123">
        <f t="shared" si="11"/>
        <v>7.757909215955984E-2</v>
      </c>
      <c r="U73" s="123">
        <f t="shared" si="11"/>
        <v>8.8972201901975134E-2</v>
      </c>
      <c r="V73" s="96">
        <f>Q11</f>
        <v>2225</v>
      </c>
      <c r="X73" s="26" t="e">
        <f>C74*100/#REF!</f>
        <v>#REF!</v>
      </c>
    </row>
    <row r="74" spans="1:24" x14ac:dyDescent="0.2">
      <c r="A74" s="32">
        <f t="shared" ref="A74:P74" si="12">A11</f>
        <v>5</v>
      </c>
      <c r="B74" s="18" t="str">
        <f t="shared" si="12"/>
        <v>FRIJOL GRANO SECO</v>
      </c>
      <c r="C74" s="56">
        <f t="shared" si="12"/>
        <v>667</v>
      </c>
      <c r="D74" s="57">
        <f t="shared" si="12"/>
        <v>0</v>
      </c>
      <c r="E74" s="57">
        <f t="shared" si="12"/>
        <v>7</v>
      </c>
      <c r="F74" s="57">
        <f t="shared" si="12"/>
        <v>89</v>
      </c>
      <c r="G74" s="57">
        <f t="shared" si="12"/>
        <v>190</v>
      </c>
      <c r="H74" s="57">
        <f t="shared" si="12"/>
        <v>238</v>
      </c>
      <c r="I74" s="57">
        <f t="shared" si="12"/>
        <v>141</v>
      </c>
      <c r="J74" s="57">
        <f t="shared" si="12"/>
        <v>0</v>
      </c>
      <c r="K74" s="57">
        <f t="shared" si="12"/>
        <v>0</v>
      </c>
      <c r="L74" s="57">
        <f t="shared" si="12"/>
        <v>0</v>
      </c>
      <c r="M74" s="57">
        <f t="shared" si="12"/>
        <v>2</v>
      </c>
      <c r="N74" s="57">
        <f t="shared" si="12"/>
        <v>0</v>
      </c>
      <c r="O74" s="57">
        <f t="shared" si="12"/>
        <v>0</v>
      </c>
      <c r="P74" s="57">
        <f t="shared" si="12"/>
        <v>707</v>
      </c>
      <c r="Q74" s="129">
        <f t="shared" ref="Q74:U74" si="13">Q11</f>
        <v>2225</v>
      </c>
      <c r="R74" s="57">
        <f t="shared" si="13"/>
        <v>-40</v>
      </c>
      <c r="S74" s="123">
        <f t="shared" si="13"/>
        <v>-5.6577086280056574E-2</v>
      </c>
      <c r="T74" s="123">
        <f t="shared" si="13"/>
        <v>6.116460339293902E-2</v>
      </c>
      <c r="U74" s="123">
        <f t="shared" si="13"/>
        <v>6.4648866130212146E-2</v>
      </c>
      <c r="V74" s="97">
        <f>SUM(Q12:Q31)</f>
        <v>44710</v>
      </c>
      <c r="X74" s="26" t="e">
        <f>C75*100/#REF!</f>
        <v>#REF!</v>
      </c>
    </row>
    <row r="75" spans="1:24" x14ac:dyDescent="0.2">
      <c r="A75" s="32">
        <f>A12</f>
        <v>6</v>
      </c>
      <c r="B75" s="18" t="s">
        <v>44</v>
      </c>
      <c r="C75" s="56">
        <f t="shared" ref="C75:P75" si="14">SUM(C12:C31)</f>
        <v>4879</v>
      </c>
      <c r="D75" s="56">
        <f t="shared" si="14"/>
        <v>815</v>
      </c>
      <c r="E75" s="56">
        <f t="shared" si="14"/>
        <v>824</v>
      </c>
      <c r="F75" s="56">
        <f t="shared" si="14"/>
        <v>971</v>
      </c>
      <c r="G75" s="56">
        <f t="shared" si="14"/>
        <v>915</v>
      </c>
      <c r="H75" s="56">
        <f t="shared" si="14"/>
        <v>701</v>
      </c>
      <c r="I75" s="56">
        <f t="shared" si="14"/>
        <v>213</v>
      </c>
      <c r="J75" s="56">
        <f t="shared" si="14"/>
        <v>1</v>
      </c>
      <c r="K75" s="56">
        <f t="shared" si="14"/>
        <v>1</v>
      </c>
      <c r="L75" s="56">
        <f t="shared" si="14"/>
        <v>5</v>
      </c>
      <c r="M75" s="56">
        <f t="shared" si="14"/>
        <v>77</v>
      </c>
      <c r="N75" s="56">
        <f t="shared" si="14"/>
        <v>174</v>
      </c>
      <c r="O75" s="56">
        <f t="shared" si="14"/>
        <v>182</v>
      </c>
      <c r="P75" s="56">
        <f t="shared" si="14"/>
        <v>4415</v>
      </c>
      <c r="Q75" s="129"/>
      <c r="R75" s="57"/>
      <c r="S75" s="123"/>
      <c r="T75" s="123"/>
      <c r="U75" s="123"/>
    </row>
    <row r="76" spans="1:24" x14ac:dyDescent="0.2">
      <c r="A76" s="104" t="s">
        <v>1349</v>
      </c>
      <c r="B76" s="105"/>
      <c r="C76" s="106">
        <f>SUBTOTAL(109,Tabla14[ENIS 2022-2023])</f>
        <v>10905</v>
      </c>
      <c r="D76" s="106">
        <f>SUBTOTAL(109,Tabla14[AGO])</f>
        <v>1058</v>
      </c>
      <c r="E76" s="106">
        <f>SUBTOTAL(109,Tabla14[SEP])</f>
        <v>1607</v>
      </c>
      <c r="F76" s="106">
        <f>SUBTOTAL(109,Tabla14[OCT])</f>
        <v>2272</v>
      </c>
      <c r="G76" s="106">
        <f>SUBTOTAL(109,Tabla14[NOV])</f>
        <v>2427</v>
      </c>
      <c r="H76" s="106">
        <f>SUBTOTAL(109,Tabla14[DIC])</f>
        <v>1951</v>
      </c>
      <c r="I76" s="106">
        <f>SUBTOTAL(109,Tabla14[ENE])</f>
        <v>784</v>
      </c>
      <c r="J76" s="106">
        <f>SUBTOTAL(109,Tabla14[FEB])</f>
        <v>1</v>
      </c>
      <c r="K76" s="106">
        <f>SUBTOTAL(109,Tabla14[MAR])</f>
        <v>41</v>
      </c>
      <c r="L76" s="106">
        <f>SUBTOTAL(109,Tabla14[ABR])</f>
        <v>14</v>
      </c>
      <c r="M76" s="106">
        <f>SUBTOTAL(109,Tabla14[MAY])</f>
        <v>142</v>
      </c>
      <c r="N76" s="106">
        <f>SUBTOTAL(109,Tabla14[JUN])</f>
        <v>326</v>
      </c>
      <c r="O76" s="106">
        <f>SUBTOTAL(109,Tabla14[JUL])</f>
        <v>282</v>
      </c>
      <c r="P76" s="106">
        <f>SUBTOTAL(109,Tabla14[SUPERFICIE SEMBRADA 2021-2022])</f>
        <v>10936</v>
      </c>
      <c r="Q76" s="130"/>
      <c r="R76" s="104"/>
      <c r="S76" s="119"/>
      <c r="T76" s="119"/>
      <c r="U76" s="119"/>
    </row>
    <row r="77" spans="1:24" ht="25.5" customHeight="1" x14ac:dyDescent="0.2"/>
    <row r="79" spans="1:24" x14ac:dyDescent="0.2">
      <c r="B79" s="139" t="s">
        <v>1315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22"/>
      <c r="R79" s="22"/>
      <c r="S79" s="22"/>
      <c r="T79" s="22"/>
      <c r="U79" s="22"/>
    </row>
  </sheetData>
  <mergeCells count="8">
    <mergeCell ref="B79:P79"/>
    <mergeCell ref="A1:O1"/>
    <mergeCell ref="D4:H4"/>
    <mergeCell ref="I4:O4"/>
    <mergeCell ref="A40:O40"/>
    <mergeCell ref="D68:H68"/>
    <mergeCell ref="I68:O68"/>
    <mergeCell ref="A2:Z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7</vt:i4>
      </vt:variant>
    </vt:vector>
  </HeadingPairs>
  <TitlesOfParts>
    <vt:vector size="22" baseType="lpstr">
      <vt:lpstr>Productores</vt:lpstr>
      <vt:lpstr>CUADRO N 2</vt:lpstr>
      <vt:lpstr>CUADRO N 3</vt:lpstr>
      <vt:lpstr>CULTIVOS</vt:lpstr>
      <vt:lpstr>HGA</vt:lpstr>
      <vt:lpstr>CGO</vt:lpstr>
      <vt:lpstr>HCOS</vt:lpstr>
      <vt:lpstr>HTA</vt:lpstr>
      <vt:lpstr>LMAR</vt:lpstr>
      <vt:lpstr>LUC</vt:lpstr>
      <vt:lpstr>PAR</vt:lpstr>
      <vt:lpstr>PSSR</vt:lpstr>
      <vt:lpstr>SCR</vt:lpstr>
      <vt:lpstr>VFJ</vt:lpstr>
      <vt:lpstr>VHM</vt:lpstr>
      <vt:lpstr>'CUADRO N 2'!Área_de_impresión</vt:lpstr>
      <vt:lpstr>'CUADRO N 3'!Área_de_impresión</vt:lpstr>
      <vt:lpstr>HGA!Área_de_impresión</vt:lpstr>
      <vt:lpstr>Productores!Área_de_impresión</vt:lpstr>
      <vt:lpstr>HGA!Títulos_a_imprimir</vt:lpstr>
      <vt:lpstr>Productores!Títulos_a_imprimir</vt:lpstr>
      <vt:lpstr>Productores!tumbes</vt:lpstr>
    </vt:vector>
  </TitlesOfParts>
  <Company>Ministerio de Agricultura Ayacucho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Información Agraria</dc:creator>
  <cp:lastModifiedBy>E. Edison Achalma Mendoza</cp:lastModifiedBy>
  <cp:lastPrinted>2022-08-17T05:45:52Z</cp:lastPrinted>
  <dcterms:created xsi:type="dcterms:W3CDTF">2003-09-13T23:00:42Z</dcterms:created>
  <dcterms:modified xsi:type="dcterms:W3CDTF">2022-09-27T17:09:26Z</dcterms:modified>
</cp:coreProperties>
</file>