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9040" windowHeight="15840"/>
  </bookViews>
  <sheets>
    <sheet name="GAJI" sheetId="24" r:id="rId1"/>
    <sheet name="Sheet1" sheetId="28" state="hidden" r:id="rId2"/>
    <sheet name="REF" sheetId="13" state="hidden" r:id="rId3"/>
    <sheet name="Sheet2" sheetId="32" state="hidden" r:id="rId4"/>
    <sheet name="PAJAK BOS" sheetId="47" state="hidden" r:id="rId5"/>
    <sheet name="LB.TK" sheetId="35" state="hidden" r:id="rId6"/>
    <sheet name="LB. BUKU" sheetId="41" state="hidden" r:id="rId7"/>
    <sheet name="LB. BUKU (2)" sheetId="44" state="hidden" r:id="rId8"/>
    <sheet name="BUKU-CTK" sheetId="43" state="hidden" r:id="rId9"/>
    <sheet name="BUKU-print" sheetId="45" state="hidden" r:id="rId10"/>
  </sheets>
  <definedNames>
    <definedName name="BAKU">REF!$A$2:$B$53</definedName>
    <definedName name="LATE">REF!$D$11:$F$15</definedName>
    <definedName name="LATE2">REF!$D$10:$F$15</definedName>
    <definedName name="_xlnm.Print_Area" localSheetId="8">'BUKU-CTK'!$A$1:$H$66</definedName>
    <definedName name="_xlnm.Print_Area" localSheetId="9">'BUKU-print'!$A$1:$E$85</definedName>
    <definedName name="_xlnm.Print_Area" localSheetId="0">GAJI!$A$1:$AR$92</definedName>
    <definedName name="_xlnm.Print_Area" localSheetId="6">'LB. BUKU'!$A$1:$AF$136</definedName>
    <definedName name="_xlnm.Print_Area" localSheetId="7">'LB. BUKU (2)'!$A$1:$AG$93</definedName>
    <definedName name="_xlnm.Print_Area" localSheetId="5">LB.TK!$A$1:$S$84</definedName>
    <definedName name="_xlnm.Print_Titles" localSheetId="0">GAJI!$6:$7</definedName>
    <definedName name="_xlnm.Print_Titles" localSheetId="5">LB.TK!$10:$11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O80" i="24" l="1"/>
  <c r="AO79" i="24"/>
  <c r="AO78" i="24"/>
  <c r="AO77" i="24"/>
  <c r="AO76" i="24"/>
  <c r="AO75" i="24"/>
  <c r="AO74" i="24"/>
  <c r="AO73" i="24"/>
  <c r="AO72" i="24"/>
  <c r="AO71" i="24"/>
  <c r="AO69" i="24"/>
  <c r="AO68" i="24"/>
  <c r="AO67" i="24"/>
  <c r="AO66" i="24"/>
  <c r="AO64" i="24"/>
  <c r="AO63" i="24"/>
  <c r="AO62" i="24"/>
  <c r="AO61" i="24"/>
  <c r="AO60" i="24"/>
  <c r="AO59" i="24"/>
  <c r="AO58" i="24"/>
  <c r="AO57" i="24"/>
  <c r="AO56" i="24"/>
  <c r="AO55" i="24"/>
  <c r="AO54" i="24"/>
  <c r="AO53" i="24"/>
  <c r="AO52" i="24"/>
  <c r="AO51" i="24"/>
  <c r="AO50" i="24"/>
  <c r="AO49" i="24"/>
  <c r="AO48" i="24"/>
  <c r="AO47" i="24"/>
  <c r="AO46" i="24"/>
  <c r="AO45" i="24"/>
  <c r="AO44" i="24"/>
  <c r="AO43" i="24"/>
  <c r="AO42" i="24"/>
  <c r="AO41" i="24"/>
  <c r="AO40" i="24"/>
  <c r="AO39" i="24"/>
  <c r="AO38" i="24"/>
  <c r="AO37" i="24"/>
  <c r="AO36" i="24"/>
  <c r="AO35" i="24"/>
  <c r="AO34" i="24"/>
  <c r="AO33" i="24"/>
  <c r="AO32" i="24"/>
  <c r="AO31" i="24"/>
  <c r="AO30" i="24"/>
  <c r="AO29" i="24"/>
  <c r="AO28" i="24"/>
  <c r="AO26" i="24"/>
  <c r="AO25" i="24"/>
  <c r="AO24" i="24"/>
  <c r="AO23" i="24"/>
  <c r="AO22" i="24"/>
  <c r="AO21" i="24"/>
  <c r="AO20" i="24"/>
  <c r="AO19" i="24"/>
  <c r="AO18" i="24"/>
  <c r="AO16" i="24"/>
  <c r="AO15" i="24"/>
  <c r="AO13" i="24"/>
  <c r="AO12" i="24"/>
  <c r="AO11" i="24"/>
  <c r="AO10" i="24"/>
  <c r="AO9" i="24"/>
  <c r="AL72" i="24"/>
  <c r="AL73" i="24"/>
  <c r="AL74" i="24"/>
  <c r="AL75" i="24"/>
  <c r="AM75" i="24" s="1"/>
  <c r="AN75" i="24" s="1"/>
  <c r="AL76" i="24"/>
  <c r="AL77" i="24"/>
  <c r="AL78" i="24"/>
  <c r="AL79" i="24"/>
  <c r="AL80" i="24"/>
  <c r="AL71" i="24"/>
  <c r="L71" i="24"/>
  <c r="H80" i="24"/>
  <c r="L80" i="24" s="1"/>
  <c r="H79" i="24"/>
  <c r="L79" i="24" s="1"/>
  <c r="X79" i="24" s="1"/>
  <c r="H78" i="24"/>
  <c r="L78" i="24" s="1"/>
  <c r="H77" i="24"/>
  <c r="L77" i="24" s="1"/>
  <c r="X77" i="24" s="1"/>
  <c r="H76" i="24"/>
  <c r="L76" i="24" s="1"/>
  <c r="X76" i="24" s="1"/>
  <c r="AQ76" i="24" s="1"/>
  <c r="H75" i="24"/>
  <c r="L75" i="24" s="1"/>
  <c r="H74" i="24"/>
  <c r="L74" i="24" s="1"/>
  <c r="H73" i="24"/>
  <c r="L73" i="24" s="1"/>
  <c r="H72" i="24"/>
  <c r="L72" i="24" s="1"/>
  <c r="X72" i="24" s="1"/>
  <c r="H71" i="24"/>
  <c r="AM80" i="24"/>
  <c r="AN80" i="24"/>
  <c r="V80" i="24"/>
  <c r="T80" i="24"/>
  <c r="R80" i="24"/>
  <c r="AM79" i="24"/>
  <c r="V79" i="24"/>
  <c r="T79" i="24"/>
  <c r="R79" i="24"/>
  <c r="AM78" i="24"/>
  <c r="AN78" i="24" s="1"/>
  <c r="V78" i="24"/>
  <c r="T78" i="24"/>
  <c r="R78" i="24"/>
  <c r="AM77" i="24"/>
  <c r="AN77" i="24" s="1"/>
  <c r="V77" i="24"/>
  <c r="T77" i="24"/>
  <c r="R77" i="24"/>
  <c r="AM76" i="24"/>
  <c r="AN76" i="24" s="1"/>
  <c r="V76" i="24"/>
  <c r="T76" i="24"/>
  <c r="R76" i="24"/>
  <c r="V75" i="24"/>
  <c r="T75" i="24"/>
  <c r="R75" i="24"/>
  <c r="AM18" i="24"/>
  <c r="AL18" i="24"/>
  <c r="AH18" i="24"/>
  <c r="AI18" i="24" s="1"/>
  <c r="AD18" i="24"/>
  <c r="AE18" i="24" s="1"/>
  <c r="AA18" i="24"/>
  <c r="V18" i="24"/>
  <c r="T18" i="24"/>
  <c r="R18" i="24"/>
  <c r="L18" i="24"/>
  <c r="F18" i="24"/>
  <c r="E18" i="24"/>
  <c r="AM74" i="24"/>
  <c r="V74" i="24"/>
  <c r="T74" i="24"/>
  <c r="R74" i="24"/>
  <c r="AM73" i="24"/>
  <c r="AN73" i="24" s="1"/>
  <c r="V73" i="24"/>
  <c r="T73" i="24"/>
  <c r="R73" i="24"/>
  <c r="AM72" i="24"/>
  <c r="AN72" i="24" s="1"/>
  <c r="V72" i="24"/>
  <c r="T72" i="24"/>
  <c r="R72" i="24"/>
  <c r="AM71" i="24"/>
  <c r="AN71" i="24" s="1"/>
  <c r="V71" i="24"/>
  <c r="T71" i="24"/>
  <c r="R71" i="24"/>
  <c r="AQ77" i="24" l="1"/>
  <c r="X74" i="24"/>
  <c r="X78" i="24"/>
  <c r="AQ78" i="24" s="1"/>
  <c r="X80" i="24"/>
  <c r="AQ80" i="24" s="1"/>
  <c r="AQ72" i="24"/>
  <c r="AN79" i="24"/>
  <c r="AQ79" i="24" s="1"/>
  <c r="X75" i="24"/>
  <c r="AQ75" i="24" s="1"/>
  <c r="X73" i="24"/>
  <c r="AQ73" i="24" s="1"/>
  <c r="X71" i="24"/>
  <c r="AQ71" i="24" s="1"/>
  <c r="X18" i="24"/>
  <c r="AN18" i="24"/>
  <c r="AN74" i="24"/>
  <c r="AQ74" i="24" s="1"/>
  <c r="AQ18" i="24" l="1"/>
  <c r="AR81" i="24" l="1"/>
  <c r="AL16" i="24"/>
  <c r="AM16" i="24" s="1"/>
  <c r="AL15" i="24"/>
  <c r="AM15" i="24" s="1"/>
  <c r="AH16" i="24"/>
  <c r="AI16" i="24" s="1"/>
  <c r="AH15" i="24"/>
  <c r="AI15" i="24" s="1"/>
  <c r="AD16" i="24"/>
  <c r="AD15" i="24"/>
  <c r="AL69" i="24"/>
  <c r="AM69" i="24" s="1"/>
  <c r="AL68" i="24"/>
  <c r="AM68" i="24" s="1"/>
  <c r="AL67" i="24"/>
  <c r="AM67" i="24" s="1"/>
  <c r="AL66" i="24"/>
  <c r="AM66" i="24" s="1"/>
  <c r="AH69" i="24"/>
  <c r="AI69" i="24" s="1"/>
  <c r="AH68" i="24"/>
  <c r="AI68" i="24" s="1"/>
  <c r="AH67" i="24"/>
  <c r="AI67" i="24" s="1"/>
  <c r="AH66" i="24"/>
  <c r="AI66" i="24" s="1"/>
  <c r="AD69" i="24"/>
  <c r="AD68" i="24"/>
  <c r="AD67" i="24"/>
  <c r="AD66" i="24"/>
  <c r="AH64" i="24"/>
  <c r="AI64" i="24" s="1"/>
  <c r="AH63" i="24"/>
  <c r="AI63" i="24" s="1"/>
  <c r="AH62" i="24"/>
  <c r="AI62" i="24" s="1"/>
  <c r="AH61" i="24"/>
  <c r="AI61" i="24" s="1"/>
  <c r="AH60" i="24"/>
  <c r="AI60" i="24" s="1"/>
  <c r="AH59" i="24"/>
  <c r="AI59" i="24" s="1"/>
  <c r="AH58" i="24"/>
  <c r="AI58" i="24" s="1"/>
  <c r="AH57" i="24"/>
  <c r="AI57" i="24" s="1"/>
  <c r="AH56" i="24"/>
  <c r="AI56" i="24" s="1"/>
  <c r="AH55" i="24"/>
  <c r="AI55" i="24" s="1"/>
  <c r="AH54" i="24"/>
  <c r="AI54" i="24" s="1"/>
  <c r="AH53" i="24"/>
  <c r="AI53" i="24" s="1"/>
  <c r="AH52" i="24"/>
  <c r="AI52" i="24" s="1"/>
  <c r="AH51" i="24"/>
  <c r="AI51" i="24" s="1"/>
  <c r="AH50" i="24"/>
  <c r="AI50" i="24" s="1"/>
  <c r="AH49" i="24"/>
  <c r="AI49" i="24" s="1"/>
  <c r="AH48" i="24"/>
  <c r="AI48" i="24" s="1"/>
  <c r="AH47" i="24"/>
  <c r="AI47" i="24" s="1"/>
  <c r="AH46" i="24"/>
  <c r="AI46" i="24" s="1"/>
  <c r="AH45" i="24"/>
  <c r="AI45" i="24" s="1"/>
  <c r="AH44" i="24"/>
  <c r="AI44" i="24" s="1"/>
  <c r="AH43" i="24"/>
  <c r="AI43" i="24" s="1"/>
  <c r="AH42" i="24"/>
  <c r="AI42" i="24" s="1"/>
  <c r="AH41" i="24"/>
  <c r="AI41" i="24" s="1"/>
  <c r="AH40" i="24"/>
  <c r="AI40" i="24" s="1"/>
  <c r="AH39" i="24"/>
  <c r="AI39" i="24" s="1"/>
  <c r="AH38" i="24"/>
  <c r="AI38" i="24" s="1"/>
  <c r="AH37" i="24"/>
  <c r="AI37" i="24" s="1"/>
  <c r="AH36" i="24"/>
  <c r="AI36" i="24" s="1"/>
  <c r="AH35" i="24"/>
  <c r="AI35" i="24" s="1"/>
  <c r="AH34" i="24"/>
  <c r="AI34" i="24" s="1"/>
  <c r="AH33" i="24"/>
  <c r="AI33" i="24" s="1"/>
  <c r="AH32" i="24"/>
  <c r="AI32" i="24" s="1"/>
  <c r="AH31" i="24"/>
  <c r="AI31" i="24" s="1"/>
  <c r="AH30" i="24"/>
  <c r="AI30" i="24" s="1"/>
  <c r="AH29" i="24"/>
  <c r="AI29" i="24" s="1"/>
  <c r="AH28" i="24"/>
  <c r="AI28" i="24" s="1"/>
  <c r="AH26" i="24"/>
  <c r="AI26" i="24" s="1"/>
  <c r="AH25" i="24"/>
  <c r="AI25" i="24" s="1"/>
  <c r="AH24" i="24"/>
  <c r="AI24" i="24" s="1"/>
  <c r="AH23" i="24"/>
  <c r="AI23" i="24" s="1"/>
  <c r="AH22" i="24"/>
  <c r="AI22" i="24" s="1"/>
  <c r="AH21" i="24"/>
  <c r="AI21" i="24" s="1"/>
  <c r="AH20" i="24"/>
  <c r="AI20" i="24" s="1"/>
  <c r="AH19" i="24"/>
  <c r="AI19" i="24" s="1"/>
  <c r="AH10" i="24"/>
  <c r="AI10" i="24" s="1"/>
  <c r="AL64" i="24"/>
  <c r="AM64" i="24" s="1"/>
  <c r="AL63" i="24"/>
  <c r="AM63" i="24" s="1"/>
  <c r="AL62" i="24"/>
  <c r="AM62" i="24" s="1"/>
  <c r="AL61" i="24"/>
  <c r="AM61" i="24" s="1"/>
  <c r="AL60" i="24"/>
  <c r="AM60" i="24" s="1"/>
  <c r="AL59" i="24"/>
  <c r="AM59" i="24" s="1"/>
  <c r="AL58" i="24"/>
  <c r="AM58" i="24" s="1"/>
  <c r="AL57" i="24"/>
  <c r="AM57" i="24" s="1"/>
  <c r="AL56" i="24"/>
  <c r="AM56" i="24" s="1"/>
  <c r="AL55" i="24"/>
  <c r="AM55" i="24" s="1"/>
  <c r="AL54" i="24"/>
  <c r="AM54" i="24" s="1"/>
  <c r="AL53" i="24"/>
  <c r="AM53" i="24" s="1"/>
  <c r="AL52" i="24"/>
  <c r="AM52" i="24" s="1"/>
  <c r="AL51" i="24"/>
  <c r="AM51" i="24" s="1"/>
  <c r="AL50" i="24"/>
  <c r="AM50" i="24" s="1"/>
  <c r="AL49" i="24"/>
  <c r="AM49" i="24" s="1"/>
  <c r="AL48" i="24"/>
  <c r="AM48" i="24" s="1"/>
  <c r="AL47" i="24"/>
  <c r="AM47" i="24" s="1"/>
  <c r="AL46" i="24"/>
  <c r="AM46" i="24" s="1"/>
  <c r="AL45" i="24"/>
  <c r="AM45" i="24" s="1"/>
  <c r="AL44" i="24"/>
  <c r="AM44" i="24" s="1"/>
  <c r="AL43" i="24"/>
  <c r="AM43" i="24" s="1"/>
  <c r="AL42" i="24"/>
  <c r="AM42" i="24" s="1"/>
  <c r="AL41" i="24"/>
  <c r="AM41" i="24" s="1"/>
  <c r="AL40" i="24"/>
  <c r="AM40" i="24" s="1"/>
  <c r="AL39" i="24"/>
  <c r="AM39" i="24" s="1"/>
  <c r="AL38" i="24"/>
  <c r="AM38" i="24" s="1"/>
  <c r="AL37" i="24"/>
  <c r="AM37" i="24" s="1"/>
  <c r="AL36" i="24"/>
  <c r="AM36" i="24" s="1"/>
  <c r="AL35" i="24"/>
  <c r="AM35" i="24" s="1"/>
  <c r="AL34" i="24"/>
  <c r="AM34" i="24" s="1"/>
  <c r="AL33" i="24"/>
  <c r="AM33" i="24" s="1"/>
  <c r="AL32" i="24"/>
  <c r="AM32" i="24" s="1"/>
  <c r="AL31" i="24"/>
  <c r="AM31" i="24" s="1"/>
  <c r="AL30" i="24"/>
  <c r="AM30" i="24" s="1"/>
  <c r="AL29" i="24"/>
  <c r="AM29" i="24" s="1"/>
  <c r="AL28" i="24"/>
  <c r="AM28" i="24" s="1"/>
  <c r="AL26" i="24"/>
  <c r="AM26" i="24" s="1"/>
  <c r="AL25" i="24"/>
  <c r="AM25" i="24" s="1"/>
  <c r="AL24" i="24"/>
  <c r="AM24" i="24" s="1"/>
  <c r="AL23" i="24"/>
  <c r="AM23" i="24" s="1"/>
  <c r="AL22" i="24"/>
  <c r="AM22" i="24" s="1"/>
  <c r="AL21" i="24"/>
  <c r="AM21" i="24" s="1"/>
  <c r="AL20" i="24"/>
  <c r="AM20" i="24" s="1"/>
  <c r="AL19" i="24"/>
  <c r="AM19" i="24" s="1"/>
  <c r="AL10" i="24"/>
  <c r="AM10" i="24" s="1"/>
  <c r="AA69" i="24"/>
  <c r="AA68" i="24"/>
  <c r="AA67" i="24"/>
  <c r="AA66" i="24"/>
  <c r="L67" i="24"/>
  <c r="L66" i="24"/>
  <c r="H69" i="24"/>
  <c r="H68" i="24"/>
  <c r="H67" i="24"/>
  <c r="H66" i="24"/>
  <c r="H64" i="24"/>
  <c r="AP64" i="24" s="1"/>
  <c r="H63" i="24"/>
  <c r="AP63" i="24" s="1"/>
  <c r="H62" i="24"/>
  <c r="AP62" i="24" s="1"/>
  <c r="H61" i="24"/>
  <c r="AP61" i="24" s="1"/>
  <c r="H60" i="24"/>
  <c r="AP60" i="24" s="1"/>
  <c r="H59" i="24"/>
  <c r="AP59" i="24" s="1"/>
  <c r="H58" i="24"/>
  <c r="AP58" i="24" s="1"/>
  <c r="H57" i="24"/>
  <c r="AP57" i="24" s="1"/>
  <c r="H56" i="24"/>
  <c r="AP56" i="24" s="1"/>
  <c r="H55" i="24"/>
  <c r="AP55" i="24" s="1"/>
  <c r="H54" i="24"/>
  <c r="AP54" i="24" s="1"/>
  <c r="H53" i="24"/>
  <c r="AP53" i="24" s="1"/>
  <c r="H52" i="24"/>
  <c r="AP52" i="24" s="1"/>
  <c r="H51" i="24"/>
  <c r="AP51" i="24" s="1"/>
  <c r="H50" i="24"/>
  <c r="AP50" i="24" s="1"/>
  <c r="H49" i="24"/>
  <c r="AP49" i="24" s="1"/>
  <c r="H48" i="24"/>
  <c r="AP48" i="24" s="1"/>
  <c r="H47" i="24"/>
  <c r="AP47" i="24" s="1"/>
  <c r="H46" i="24"/>
  <c r="AP46" i="24" s="1"/>
  <c r="H45" i="24"/>
  <c r="AP45" i="24" s="1"/>
  <c r="H44" i="24"/>
  <c r="AP44" i="24" s="1"/>
  <c r="H43" i="24"/>
  <c r="AP43" i="24" s="1"/>
  <c r="H42" i="24"/>
  <c r="AP42" i="24" s="1"/>
  <c r="H41" i="24"/>
  <c r="AP41" i="24" s="1"/>
  <c r="H40" i="24"/>
  <c r="AP40" i="24" s="1"/>
  <c r="H39" i="24"/>
  <c r="AP39" i="24" s="1"/>
  <c r="H38" i="24"/>
  <c r="AP38" i="24" s="1"/>
  <c r="H37" i="24"/>
  <c r="AP37" i="24" s="1"/>
  <c r="H36" i="24"/>
  <c r="AP36" i="24" s="1"/>
  <c r="H35" i="24"/>
  <c r="AP35" i="24" s="1"/>
  <c r="H34" i="24"/>
  <c r="AP34" i="24" s="1"/>
  <c r="H33" i="24"/>
  <c r="AP33" i="24" s="1"/>
  <c r="H32" i="24"/>
  <c r="AP32" i="24" s="1"/>
  <c r="H31" i="24"/>
  <c r="AP31" i="24" s="1"/>
  <c r="H30" i="24"/>
  <c r="AP30" i="24" s="1"/>
  <c r="H29" i="24"/>
  <c r="AP29" i="24" s="1"/>
  <c r="H28" i="24"/>
  <c r="AP28" i="24" s="1"/>
  <c r="H16" i="24"/>
  <c r="H15" i="24"/>
  <c r="H10" i="24"/>
  <c r="AP10" i="24" s="1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28" i="24"/>
  <c r="E64" i="24"/>
  <c r="F64" i="24" s="1"/>
  <c r="I64" i="24" s="1"/>
  <c r="J64" i="24" s="1"/>
  <c r="E63" i="24"/>
  <c r="F63" i="24" s="1"/>
  <c r="I63" i="24" s="1"/>
  <c r="J63" i="24" s="1"/>
  <c r="L32" i="24"/>
  <c r="L31" i="24"/>
  <c r="L29" i="24"/>
  <c r="L30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28" i="24"/>
  <c r="E28" i="24"/>
  <c r="F28" i="24" s="1"/>
  <c r="I28" i="24" s="1"/>
  <c r="J28" i="24" s="1"/>
  <c r="R28" i="24"/>
  <c r="T28" i="24"/>
  <c r="V28" i="24"/>
  <c r="Z28" i="24"/>
  <c r="AA28" i="24" s="1"/>
  <c r="AD28" i="24"/>
  <c r="AE28" i="24" s="1"/>
  <c r="L20" i="24"/>
  <c r="L21" i="24"/>
  <c r="L22" i="24"/>
  <c r="L23" i="24"/>
  <c r="L24" i="24"/>
  <c r="L25" i="24"/>
  <c r="L26" i="24"/>
  <c r="L19" i="24"/>
  <c r="AN28" i="24" l="1"/>
  <c r="X28" i="24"/>
  <c r="AQ28" i="24" s="1"/>
  <c r="R69" i="24" l="1"/>
  <c r="R68" i="24"/>
  <c r="R67" i="24"/>
  <c r="R66" i="24"/>
  <c r="R64" i="24"/>
  <c r="R63" i="24"/>
  <c r="R62" i="24"/>
  <c r="R61" i="24"/>
  <c r="R60" i="24"/>
  <c r="R59" i="24"/>
  <c r="R58" i="24"/>
  <c r="R57" i="24"/>
  <c r="R56" i="24"/>
  <c r="R55" i="24"/>
  <c r="R54" i="24"/>
  <c r="R53" i="24"/>
  <c r="R52" i="24"/>
  <c r="R51" i="24"/>
  <c r="R50" i="24"/>
  <c r="R49" i="24"/>
  <c r="R48" i="24"/>
  <c r="R47" i="24"/>
  <c r="R46" i="24"/>
  <c r="R45" i="24"/>
  <c r="R44" i="24"/>
  <c r="R43" i="24"/>
  <c r="R42" i="24"/>
  <c r="R41" i="24"/>
  <c r="R40" i="24"/>
  <c r="R39" i="24"/>
  <c r="R38" i="24"/>
  <c r="R37" i="24"/>
  <c r="R36" i="24"/>
  <c r="R35" i="24"/>
  <c r="R34" i="24"/>
  <c r="R33" i="24"/>
  <c r="R32" i="24"/>
  <c r="R31" i="24"/>
  <c r="R30" i="24"/>
  <c r="R29" i="24"/>
  <c r="R26" i="24"/>
  <c r="R25" i="24"/>
  <c r="R24" i="24"/>
  <c r="X24" i="24" s="1"/>
  <c r="R23" i="24"/>
  <c r="R22" i="24"/>
  <c r="R21" i="24"/>
  <c r="R20" i="24"/>
  <c r="X20" i="24" s="1"/>
  <c r="R19" i="24"/>
  <c r="R16" i="24"/>
  <c r="R15" i="24"/>
  <c r="T69" i="24"/>
  <c r="T68" i="24"/>
  <c r="T67" i="24"/>
  <c r="T66" i="24"/>
  <c r="T64" i="24"/>
  <c r="T63" i="24"/>
  <c r="T62" i="24"/>
  <c r="T61" i="24"/>
  <c r="T60" i="24"/>
  <c r="T59" i="24"/>
  <c r="T58" i="24"/>
  <c r="T57" i="24"/>
  <c r="T56" i="24"/>
  <c r="T55" i="24"/>
  <c r="T54" i="24"/>
  <c r="T53" i="24"/>
  <c r="T52" i="24"/>
  <c r="T51" i="24"/>
  <c r="T50" i="24"/>
  <c r="T49" i="24"/>
  <c r="T48" i="24"/>
  <c r="T47" i="24"/>
  <c r="T46" i="24"/>
  <c r="T45" i="24"/>
  <c r="T44" i="24"/>
  <c r="T43" i="24"/>
  <c r="T42" i="24"/>
  <c r="T41" i="24"/>
  <c r="T40" i="24"/>
  <c r="T39" i="24"/>
  <c r="T38" i="24"/>
  <c r="T37" i="24"/>
  <c r="T36" i="24"/>
  <c r="T35" i="24"/>
  <c r="T34" i="24"/>
  <c r="T33" i="24"/>
  <c r="T32" i="24"/>
  <c r="T31" i="24"/>
  <c r="T30" i="24"/>
  <c r="T29" i="24"/>
  <c r="T26" i="24"/>
  <c r="T25" i="24"/>
  <c r="T24" i="24"/>
  <c r="T23" i="24"/>
  <c r="T22" i="24"/>
  <c r="T21" i="24"/>
  <c r="T20" i="24"/>
  <c r="T19" i="24"/>
  <c r="T16" i="24"/>
  <c r="T15" i="24"/>
  <c r="T13" i="24"/>
  <c r="T12" i="24"/>
  <c r="T11" i="24"/>
  <c r="T10" i="24"/>
  <c r="T9" i="24"/>
  <c r="V69" i="24"/>
  <c r="V68" i="24"/>
  <c r="V67" i="24"/>
  <c r="V66" i="24"/>
  <c r="V64" i="24"/>
  <c r="V63" i="24"/>
  <c r="V62" i="24"/>
  <c r="V61" i="24"/>
  <c r="V60" i="24"/>
  <c r="V59" i="24"/>
  <c r="V58" i="24"/>
  <c r="V57" i="24"/>
  <c r="V56" i="24"/>
  <c r="V55" i="24"/>
  <c r="V54" i="24"/>
  <c r="V53" i="24"/>
  <c r="V52" i="24"/>
  <c r="V51" i="24"/>
  <c r="V50" i="24"/>
  <c r="V49" i="24"/>
  <c r="V48" i="24"/>
  <c r="V47" i="24"/>
  <c r="V46" i="24"/>
  <c r="V45" i="24"/>
  <c r="V44" i="24"/>
  <c r="V43" i="24"/>
  <c r="V42" i="24"/>
  <c r="V41" i="24"/>
  <c r="V40" i="24"/>
  <c r="V39" i="24"/>
  <c r="V38" i="24"/>
  <c r="V37" i="24"/>
  <c r="V36" i="24"/>
  <c r="V35" i="24"/>
  <c r="V34" i="24"/>
  <c r="V33" i="24"/>
  <c r="V32" i="24"/>
  <c r="V31" i="24"/>
  <c r="V30" i="24"/>
  <c r="V29" i="24"/>
  <c r="V26" i="24"/>
  <c r="V25" i="24"/>
  <c r="V24" i="24"/>
  <c r="V23" i="24"/>
  <c r="X23" i="24" s="1"/>
  <c r="V22" i="24"/>
  <c r="V21" i="24"/>
  <c r="V20" i="24"/>
  <c r="V19" i="24"/>
  <c r="V16" i="24"/>
  <c r="V15" i="24"/>
  <c r="V10" i="24"/>
  <c r="V11" i="24"/>
  <c r="V12" i="24"/>
  <c r="V13" i="24"/>
  <c r="V9" i="24"/>
  <c r="R10" i="24"/>
  <c r="R11" i="24"/>
  <c r="R12" i="24"/>
  <c r="R13" i="24"/>
  <c r="R9" i="24"/>
  <c r="X21" i="24" l="1"/>
  <c r="X25" i="24"/>
  <c r="X63" i="24"/>
  <c r="X22" i="24"/>
  <c r="X26" i="24"/>
  <c r="X64" i="24"/>
  <c r="X69" i="24"/>
  <c r="X19" i="24"/>
  <c r="G12" i="24" l="1"/>
  <c r="Z60" i="24"/>
  <c r="H12" i="24" l="1"/>
  <c r="AP12" i="24" s="1"/>
  <c r="AH12" i="24"/>
  <c r="AI12" i="24" s="1"/>
  <c r="AL12" i="24"/>
  <c r="AM12" i="24" s="1"/>
  <c r="AD60" i="24"/>
  <c r="AE60" i="24" s="1"/>
  <c r="AA60" i="24"/>
  <c r="E60" i="24"/>
  <c r="F60" i="24" s="1"/>
  <c r="I60" i="24" s="1"/>
  <c r="J60" i="24" s="1"/>
  <c r="X60" i="24" s="1"/>
  <c r="AD25" i="24"/>
  <c r="AE25" i="24" s="1"/>
  <c r="AA25" i="24"/>
  <c r="E25" i="24"/>
  <c r="F25" i="24" s="1"/>
  <c r="AD61" i="24"/>
  <c r="AE61" i="24" s="1"/>
  <c r="Z61" i="24"/>
  <c r="AA61" i="24" s="1"/>
  <c r="E61" i="24"/>
  <c r="F61" i="24" s="1"/>
  <c r="I61" i="24" s="1"/>
  <c r="J61" i="24" s="1"/>
  <c r="X61" i="24" s="1"/>
  <c r="AN25" i="24" l="1"/>
  <c r="AQ25" i="24" s="1"/>
  <c r="AN61" i="24"/>
  <c r="AQ61" i="24" s="1"/>
  <c r="AN60" i="24"/>
  <c r="AQ60" i="24" s="1"/>
  <c r="AD26" i="24"/>
  <c r="AE26" i="24" s="1"/>
  <c r="AA26" i="24"/>
  <c r="E26" i="24"/>
  <c r="F26" i="24" s="1"/>
  <c r="AN26" i="24" l="1"/>
  <c r="AQ26" i="24" s="1"/>
  <c r="V171" i="47"/>
  <c r="G61" i="47"/>
  <c r="S171" i="47"/>
  <c r="T171" i="47"/>
  <c r="U4" i="47"/>
  <c r="U5" i="47" s="1"/>
  <c r="U6" i="47" s="1"/>
  <c r="U7" i="47" s="1"/>
  <c r="U8" i="47" s="1"/>
  <c r="U9" i="47" s="1"/>
  <c r="U10" i="47" s="1"/>
  <c r="U11" i="47" s="1"/>
  <c r="U12" i="47" s="1"/>
  <c r="U13" i="47" s="1"/>
  <c r="U14" i="47" s="1"/>
  <c r="U15" i="47" s="1"/>
  <c r="U16" i="47" s="1"/>
  <c r="U17" i="47" s="1"/>
  <c r="U18" i="47" s="1"/>
  <c r="U19" i="47" s="1"/>
  <c r="U20" i="47" s="1"/>
  <c r="U21" i="47" s="1"/>
  <c r="U22" i="47" s="1"/>
  <c r="U23" i="47" s="1"/>
  <c r="U24" i="47" s="1"/>
  <c r="U25" i="47" s="1"/>
  <c r="U26" i="47" s="1"/>
  <c r="U27" i="47" s="1"/>
  <c r="U28" i="47" s="1"/>
  <c r="U29" i="47" s="1"/>
  <c r="U30" i="47" s="1"/>
  <c r="U31" i="47" s="1"/>
  <c r="U32" i="47" s="1"/>
  <c r="U33" i="47" s="1"/>
  <c r="U34" i="47" s="1"/>
  <c r="U35" i="47" s="1"/>
  <c r="U36" i="47" s="1"/>
  <c r="U37" i="47" s="1"/>
  <c r="U38" i="47" s="1"/>
  <c r="U39" i="47" s="1"/>
  <c r="U40" i="47" s="1"/>
  <c r="U41" i="47" s="1"/>
  <c r="U42" i="47" s="1"/>
  <c r="U43" i="47" s="1"/>
  <c r="U44" i="47" s="1"/>
  <c r="U45" i="47" s="1"/>
  <c r="U46" i="47" s="1"/>
  <c r="U47" i="47" s="1"/>
  <c r="U48" i="47" s="1"/>
  <c r="U49" i="47" s="1"/>
  <c r="U50" i="47" s="1"/>
  <c r="U51" i="47" s="1"/>
  <c r="U52" i="47" s="1"/>
  <c r="U53" i="47" s="1"/>
  <c r="U54" i="47" s="1"/>
  <c r="U55" i="47" s="1"/>
  <c r="U56" i="47" s="1"/>
  <c r="U57" i="47" s="1"/>
  <c r="U58" i="47" s="1"/>
  <c r="U59" i="47" s="1"/>
  <c r="U60" i="47" s="1"/>
  <c r="U61" i="47" s="1"/>
  <c r="U62" i="47" s="1"/>
  <c r="U63" i="47" s="1"/>
  <c r="U64" i="47" s="1"/>
  <c r="U65" i="47" s="1"/>
  <c r="U66" i="47" s="1"/>
  <c r="U67" i="47" s="1"/>
  <c r="U68" i="47" s="1"/>
  <c r="U69" i="47" s="1"/>
  <c r="U70" i="47" s="1"/>
  <c r="U71" i="47" s="1"/>
  <c r="U72" i="47" s="1"/>
  <c r="U73" i="47" s="1"/>
  <c r="U74" i="47" s="1"/>
  <c r="U75" i="47" s="1"/>
  <c r="U76" i="47" s="1"/>
  <c r="U77" i="47" s="1"/>
  <c r="U78" i="47" s="1"/>
  <c r="U79" i="47" s="1"/>
  <c r="U80" i="47" s="1"/>
  <c r="U81" i="47" s="1"/>
  <c r="U82" i="47" s="1"/>
  <c r="U83" i="47" s="1"/>
  <c r="U84" i="47" s="1"/>
  <c r="U85" i="47" s="1"/>
  <c r="U86" i="47" s="1"/>
  <c r="U87" i="47" s="1"/>
  <c r="U88" i="47" s="1"/>
  <c r="U89" i="47" s="1"/>
  <c r="U90" i="47" s="1"/>
  <c r="U91" i="47" s="1"/>
  <c r="U92" i="47" s="1"/>
  <c r="U93" i="47" s="1"/>
  <c r="U94" i="47" s="1"/>
  <c r="U95" i="47" s="1"/>
  <c r="U96" i="47" s="1"/>
  <c r="U97" i="47" s="1"/>
  <c r="U98" i="47" s="1"/>
  <c r="U99" i="47" s="1"/>
  <c r="U100" i="47" s="1"/>
  <c r="U101" i="47" s="1"/>
  <c r="U102" i="47" s="1"/>
  <c r="U103" i="47" s="1"/>
  <c r="U104" i="47" s="1"/>
  <c r="U105" i="47" s="1"/>
  <c r="U106" i="47" s="1"/>
  <c r="U107" i="47" s="1"/>
  <c r="U108" i="47" s="1"/>
  <c r="U109" i="47" s="1"/>
  <c r="U110" i="47" s="1"/>
  <c r="U111" i="47" s="1"/>
  <c r="U112" i="47" s="1"/>
  <c r="U113" i="47" s="1"/>
  <c r="U114" i="47" s="1"/>
  <c r="U115" i="47" s="1"/>
  <c r="U116" i="47" s="1"/>
  <c r="U117" i="47" s="1"/>
  <c r="U118" i="47" s="1"/>
  <c r="U119" i="47" s="1"/>
  <c r="U120" i="47" s="1"/>
  <c r="U121" i="47" s="1"/>
  <c r="U122" i="47" s="1"/>
  <c r="U123" i="47" s="1"/>
  <c r="U124" i="47" s="1"/>
  <c r="U125" i="47" s="1"/>
  <c r="U126" i="47" s="1"/>
  <c r="U127" i="47" s="1"/>
  <c r="U128" i="47" s="1"/>
  <c r="U129" i="47" s="1"/>
  <c r="U130" i="47" s="1"/>
  <c r="U131" i="47" s="1"/>
  <c r="U132" i="47" s="1"/>
  <c r="U133" i="47" s="1"/>
  <c r="U134" i="47" s="1"/>
  <c r="U135" i="47" s="1"/>
  <c r="U136" i="47" s="1"/>
  <c r="U137" i="47" s="1"/>
  <c r="U138" i="47" s="1"/>
  <c r="U139" i="47" s="1"/>
  <c r="U140" i="47" s="1"/>
  <c r="U141" i="47" s="1"/>
  <c r="U142" i="47" s="1"/>
  <c r="U143" i="47" s="1"/>
  <c r="U144" i="47" s="1"/>
  <c r="U145" i="47" s="1"/>
  <c r="U146" i="47" s="1"/>
  <c r="U147" i="47" s="1"/>
  <c r="U148" i="47" s="1"/>
  <c r="U149" i="47" s="1"/>
  <c r="U150" i="47" s="1"/>
  <c r="U151" i="47" s="1"/>
  <c r="U152" i="47" s="1"/>
  <c r="U153" i="47" s="1"/>
  <c r="U154" i="47" s="1"/>
  <c r="U155" i="47" s="1"/>
  <c r="U156" i="47" s="1"/>
  <c r="U157" i="47" s="1"/>
  <c r="U158" i="47" s="1"/>
  <c r="U159" i="47" s="1"/>
  <c r="U160" i="47" s="1"/>
  <c r="U161" i="47" s="1"/>
  <c r="U162" i="47" s="1"/>
  <c r="U163" i="47" s="1"/>
  <c r="U164" i="47" s="1"/>
  <c r="U165" i="47" s="1"/>
  <c r="U166" i="47" s="1"/>
  <c r="U167" i="47" s="1"/>
  <c r="U168" i="47" s="1"/>
  <c r="U169" i="47" s="1"/>
  <c r="U170" i="47" s="1"/>
  <c r="U171" i="47" l="1"/>
  <c r="AG60" i="47" l="1"/>
  <c r="AG48" i="47"/>
  <c r="AG36" i="47"/>
  <c r="AG24" i="47"/>
  <c r="AG12" i="47"/>
  <c r="AG61" i="47" l="1"/>
  <c r="AE69" i="24"/>
  <c r="AN69" i="24" s="1"/>
  <c r="AQ69" i="24" s="1"/>
  <c r="AB5" i="32" l="1"/>
  <c r="AB4" i="32"/>
  <c r="AB3" i="32"/>
  <c r="N4" i="47" l="1"/>
  <c r="N5" i="47" s="1"/>
  <c r="N6" i="47" s="1"/>
  <c r="N7" i="47" s="1"/>
  <c r="N8" i="47" s="1"/>
  <c r="N9" i="47" s="1"/>
  <c r="N10" i="47" s="1"/>
  <c r="N11" i="47" s="1"/>
  <c r="N12" i="47" s="1"/>
  <c r="N13" i="47" s="1"/>
  <c r="N14" i="47" s="1"/>
  <c r="N15" i="47" s="1"/>
  <c r="N16" i="47" s="1"/>
  <c r="N17" i="47" s="1"/>
  <c r="N18" i="47" s="1"/>
  <c r="N19" i="47" s="1"/>
  <c r="N20" i="47" s="1"/>
  <c r="N21" i="47" s="1"/>
  <c r="N22" i="47" s="1"/>
  <c r="N23" i="47" s="1"/>
  <c r="N24" i="47" s="1"/>
  <c r="N25" i="47" s="1"/>
  <c r="N26" i="47" s="1"/>
  <c r="N27" i="47" s="1"/>
  <c r="N28" i="47" s="1"/>
  <c r="N29" i="47" s="1"/>
  <c r="N30" i="47" s="1"/>
  <c r="N31" i="47" s="1"/>
  <c r="N32" i="47" s="1"/>
  <c r="N33" i="47" s="1"/>
  <c r="N34" i="47" s="1"/>
  <c r="N35" i="47" s="1"/>
  <c r="N36" i="47" s="1"/>
  <c r="N37" i="47" s="1"/>
  <c r="N38" i="47" s="1"/>
  <c r="N39" i="47" s="1"/>
  <c r="N40" i="47" s="1"/>
  <c r="N41" i="47" s="1"/>
  <c r="N42" i="47" s="1"/>
  <c r="N43" i="47" s="1"/>
  <c r="N44" i="47" s="1"/>
  <c r="N45" i="47" s="1"/>
  <c r="N46" i="47" s="1"/>
  <c r="N47" i="47" s="1"/>
  <c r="N48" i="47" s="1"/>
  <c r="N49" i="47" s="1"/>
  <c r="N50" i="47" s="1"/>
  <c r="N51" i="47" s="1"/>
  <c r="N52" i="47" s="1"/>
  <c r="N53" i="47" s="1"/>
  <c r="N54" i="47" s="1"/>
  <c r="N55" i="47" s="1"/>
  <c r="N56" i="47" s="1"/>
  <c r="N57" i="47" s="1"/>
  <c r="N58" i="47" s="1"/>
  <c r="N59" i="47" s="1"/>
  <c r="N60" i="47" s="1"/>
  <c r="N61" i="47" s="1"/>
  <c r="N62" i="47" s="1"/>
  <c r="N63" i="47" s="1"/>
  <c r="N64" i="47" s="1"/>
  <c r="N65" i="47" s="1"/>
  <c r="N66" i="47" s="1"/>
  <c r="N67" i="47" s="1"/>
  <c r="N68" i="47" s="1"/>
  <c r="N69" i="47" s="1"/>
  <c r="N70" i="47" s="1"/>
  <c r="N71" i="47" s="1"/>
  <c r="N72" i="47" s="1"/>
  <c r="N73" i="47" s="1"/>
  <c r="N74" i="47" s="1"/>
  <c r="N75" i="47" s="1"/>
  <c r="N76" i="47" s="1"/>
  <c r="N77" i="47" s="1"/>
  <c r="N78" i="47" s="1"/>
  <c r="N79" i="47" s="1"/>
  <c r="N80" i="47" s="1"/>
  <c r="N81" i="47" s="1"/>
  <c r="N82" i="47" s="1"/>
  <c r="N83" i="47" s="1"/>
  <c r="N84" i="47" s="1"/>
  <c r="N85" i="47" s="1"/>
  <c r="N86" i="47" s="1"/>
  <c r="N87" i="47" s="1"/>
  <c r="N88" i="47" s="1"/>
  <c r="N89" i="47" s="1"/>
  <c r="N90" i="47" s="1"/>
  <c r="N91" i="47" s="1"/>
  <c r="N92" i="47" s="1"/>
  <c r="N93" i="47" s="1"/>
  <c r="N94" i="47" s="1"/>
  <c r="N95" i="47" s="1"/>
  <c r="N96" i="47" s="1"/>
  <c r="N97" i="47" s="1"/>
  <c r="N98" i="47" s="1"/>
  <c r="N99" i="47" s="1"/>
  <c r="N100" i="47" s="1"/>
  <c r="N101" i="47" s="1"/>
  <c r="N102" i="47" s="1"/>
  <c r="N103" i="47" s="1"/>
  <c r="N104" i="47" s="1"/>
  <c r="N105" i="47" s="1"/>
  <c r="N106" i="47" s="1"/>
  <c r="N107" i="47" s="1"/>
  <c r="N108" i="47" s="1"/>
  <c r="N109" i="47" s="1"/>
  <c r="N110" i="47" s="1"/>
  <c r="N111" i="47" s="1"/>
  <c r="N112" i="47" s="1"/>
  <c r="N113" i="47" s="1"/>
  <c r="N114" i="47" s="1"/>
  <c r="N115" i="47" s="1"/>
  <c r="N116" i="47" s="1"/>
  <c r="N117" i="47" s="1"/>
  <c r="N118" i="47" s="1"/>
  <c r="N119" i="47" s="1"/>
  <c r="N120" i="47" s="1"/>
  <c r="N121" i="47" s="1"/>
  <c r="N122" i="47" s="1"/>
  <c r="N123" i="47" s="1"/>
  <c r="N124" i="47" s="1"/>
  <c r="N125" i="47" s="1"/>
  <c r="N126" i="47" s="1"/>
  <c r="N127" i="47" s="1"/>
  <c r="N128" i="47" s="1"/>
  <c r="N129" i="47" s="1"/>
  <c r="N130" i="47" s="1"/>
  <c r="N131" i="47" s="1"/>
  <c r="N132" i="47" s="1"/>
  <c r="N133" i="47" s="1"/>
  <c r="N134" i="47" s="1"/>
  <c r="N135" i="47" s="1"/>
  <c r="N136" i="47" s="1"/>
  <c r="N137" i="47" s="1"/>
  <c r="N138" i="47" s="1"/>
  <c r="N139" i="47" s="1"/>
  <c r="N140" i="47" s="1"/>
  <c r="N141" i="47" s="1"/>
  <c r="N142" i="47" s="1"/>
  <c r="N143" i="47" s="1"/>
  <c r="N144" i="47" s="1"/>
  <c r="N145" i="47" s="1"/>
  <c r="N146" i="47" s="1"/>
  <c r="N147" i="47" s="1"/>
  <c r="N148" i="47" s="1"/>
  <c r="N149" i="47" s="1"/>
  <c r="N150" i="47" s="1"/>
  <c r="N151" i="47" s="1"/>
  <c r="N152" i="47" s="1"/>
  <c r="N153" i="47" s="1"/>
  <c r="N154" i="47" s="1"/>
  <c r="N155" i="47" s="1"/>
  <c r="N156" i="47" s="1"/>
  <c r="N157" i="47" s="1"/>
  <c r="N158" i="47" s="1"/>
  <c r="N159" i="47" s="1"/>
  <c r="N160" i="47" s="1"/>
  <c r="N161" i="47" s="1"/>
  <c r="N162" i="47" s="1"/>
  <c r="N163" i="47" s="1"/>
  <c r="N164" i="47" s="1"/>
  <c r="N165" i="47" s="1"/>
  <c r="N166" i="47" s="1"/>
  <c r="N167" i="47" s="1"/>
  <c r="N168" i="47" s="1"/>
  <c r="N169" i="47" s="1"/>
  <c r="N170" i="47" s="1"/>
  <c r="N171" i="47" s="1"/>
  <c r="AD9" i="24" l="1"/>
  <c r="AD13" i="24"/>
  <c r="AD12" i="24"/>
  <c r="AD11" i="24"/>
  <c r="AD10" i="24"/>
  <c r="Z13" i="24"/>
  <c r="Z12" i="24"/>
  <c r="Z11" i="24"/>
  <c r="Z10" i="24"/>
  <c r="Z9" i="24"/>
  <c r="Z16" i="24"/>
  <c r="Z15" i="24"/>
  <c r="Z29" i="24"/>
  <c r="Z30" i="24"/>
  <c r="Z31" i="24"/>
  <c r="Z32" i="24"/>
  <c r="Z33" i="24"/>
  <c r="Z34" i="24"/>
  <c r="Z35" i="24"/>
  <c r="Z36" i="24"/>
  <c r="Z37" i="24"/>
  <c r="Z38" i="24"/>
  <c r="Z39" i="24"/>
  <c r="Z40" i="24"/>
  <c r="Z41" i="24"/>
  <c r="Z42" i="24"/>
  <c r="Z43" i="24"/>
  <c r="Z44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2" i="24"/>
  <c r="Z63" i="24"/>
  <c r="Z64" i="24"/>
  <c r="M16" i="32"/>
  <c r="M13" i="32"/>
  <c r="H60" i="43" l="1"/>
  <c r="G60" i="43"/>
  <c r="Y13" i="44" l="1"/>
  <c r="Y11" i="44"/>
  <c r="D59" i="45"/>
  <c r="J34" i="44"/>
  <c r="J51" i="44" s="1"/>
  <c r="G51" i="44" s="1"/>
  <c r="R41" i="44" s="1"/>
  <c r="I32" i="44"/>
  <c r="I28" i="44"/>
  <c r="I23" i="44"/>
  <c r="I20" i="44"/>
  <c r="I10" i="44"/>
  <c r="I57" i="44"/>
  <c r="I56" i="44"/>
  <c r="I55" i="44"/>
  <c r="R59" i="44"/>
  <c r="R60" i="44"/>
  <c r="R58" i="44"/>
  <c r="R55" i="44"/>
  <c r="R50" i="44"/>
  <c r="R48" i="44"/>
  <c r="R42" i="44"/>
  <c r="R15" i="44"/>
  <c r="G34" i="44" l="1"/>
  <c r="G36" i="44" s="1"/>
  <c r="J43" i="44"/>
  <c r="G43" i="44" s="1"/>
  <c r="K43" i="44" s="1"/>
  <c r="J42" i="44"/>
  <c r="G42" i="44" s="1"/>
  <c r="R33" i="44" s="1"/>
  <c r="J39" i="44"/>
  <c r="G39" i="44" s="1"/>
  <c r="K39" i="44" s="1"/>
  <c r="J45" i="44"/>
  <c r="G45" i="44" s="1"/>
  <c r="K45" i="44" s="1"/>
  <c r="J41" i="44"/>
  <c r="G41" i="44" s="1"/>
  <c r="R31" i="44" s="1"/>
  <c r="J50" i="44"/>
  <c r="R32" i="44"/>
  <c r="K34" i="44"/>
  <c r="K51" i="44"/>
  <c r="R34" i="44"/>
  <c r="K42" i="44"/>
  <c r="K41" i="44"/>
  <c r="I58" i="44"/>
  <c r="N70" i="44"/>
  <c r="N69" i="44"/>
  <c r="N68" i="44"/>
  <c r="F68" i="44"/>
  <c r="N67" i="44"/>
  <c r="F67" i="44"/>
  <c r="F66" i="44"/>
  <c r="V64" i="44"/>
  <c r="W61" i="44" s="1"/>
  <c r="S64" i="44"/>
  <c r="S65" i="44" s="1"/>
  <c r="F64" i="44"/>
  <c r="Q63" i="44"/>
  <c r="F63" i="44"/>
  <c r="Q62" i="44"/>
  <c r="F62" i="44"/>
  <c r="Q61" i="44"/>
  <c r="F61" i="44"/>
  <c r="F60" i="44"/>
  <c r="F59" i="44"/>
  <c r="Q57" i="44"/>
  <c r="Q56" i="44"/>
  <c r="Q55" i="44"/>
  <c r="Q54" i="44"/>
  <c r="Q53" i="44"/>
  <c r="F53" i="44"/>
  <c r="W52" i="44"/>
  <c r="Q52" i="44"/>
  <c r="F52" i="44"/>
  <c r="Q51" i="44"/>
  <c r="F51" i="44"/>
  <c r="Q50" i="44"/>
  <c r="F50" i="44"/>
  <c r="Q49" i="44"/>
  <c r="F49" i="44"/>
  <c r="Q48" i="44"/>
  <c r="F48" i="44"/>
  <c r="Q47" i="44"/>
  <c r="F47" i="44"/>
  <c r="Q46" i="44"/>
  <c r="F46" i="44"/>
  <c r="Q45" i="44"/>
  <c r="F45" i="44"/>
  <c r="Q44" i="44"/>
  <c r="F44" i="44"/>
  <c r="Q43" i="44"/>
  <c r="F43" i="44"/>
  <c r="Q42" i="44"/>
  <c r="F42" i="44"/>
  <c r="Q41" i="44"/>
  <c r="F41" i="44"/>
  <c r="Q40" i="44"/>
  <c r="F40" i="44"/>
  <c r="Q39" i="44"/>
  <c r="F39" i="44"/>
  <c r="Q38" i="44"/>
  <c r="F38" i="44"/>
  <c r="Q37" i="44"/>
  <c r="F37" i="44"/>
  <c r="Q36" i="44"/>
  <c r="Q35" i="44"/>
  <c r="Q34" i="44"/>
  <c r="F34" i="44"/>
  <c r="Q33" i="44"/>
  <c r="F33" i="44"/>
  <c r="Q32" i="44"/>
  <c r="F32" i="44"/>
  <c r="Q31" i="44"/>
  <c r="F31" i="44"/>
  <c r="Q30" i="44"/>
  <c r="F30" i="44"/>
  <c r="Q29" i="44"/>
  <c r="F29" i="44"/>
  <c r="Q28" i="44"/>
  <c r="F28" i="44"/>
  <c r="Q27" i="44"/>
  <c r="F27" i="44"/>
  <c r="Q26" i="44"/>
  <c r="F26" i="44"/>
  <c r="Q25" i="44"/>
  <c r="F25" i="44"/>
  <c r="Q24" i="44"/>
  <c r="F24" i="44"/>
  <c r="Q23" i="44"/>
  <c r="F23" i="44"/>
  <c r="Q22" i="44"/>
  <c r="F22" i="44"/>
  <c r="Q21" i="44"/>
  <c r="F21" i="44"/>
  <c r="Q20" i="44"/>
  <c r="F20" i="44"/>
  <c r="Q19" i="44"/>
  <c r="F19" i="44"/>
  <c r="Q18" i="44"/>
  <c r="F18" i="44"/>
  <c r="Q17" i="44"/>
  <c r="F17" i="44"/>
  <c r="Q16" i="44"/>
  <c r="F16" i="44"/>
  <c r="Q15" i="44"/>
  <c r="F15" i="44"/>
  <c r="F14" i="44"/>
  <c r="Q13" i="44"/>
  <c r="F13" i="44"/>
  <c r="Q12" i="44"/>
  <c r="F12" i="44"/>
  <c r="Q11" i="44"/>
  <c r="F11" i="44"/>
  <c r="Q10" i="44"/>
  <c r="F10" i="44"/>
  <c r="X9" i="44"/>
  <c r="F9" i="44"/>
  <c r="B5" i="44"/>
  <c r="Q6" i="41"/>
  <c r="Q5" i="41"/>
  <c r="Q4" i="41"/>
  <c r="R27" i="44" l="1"/>
  <c r="R36" i="44"/>
  <c r="J58" i="44"/>
  <c r="G50" i="44"/>
  <c r="W24" i="44"/>
  <c r="W31" i="44"/>
  <c r="W32" i="44"/>
  <c r="W33" i="44"/>
  <c r="W37" i="44"/>
  <c r="W42" i="44"/>
  <c r="W43" i="44"/>
  <c r="W44" i="44"/>
  <c r="W45" i="44"/>
  <c r="W10" i="44"/>
  <c r="W49" i="44"/>
  <c r="W13" i="44"/>
  <c r="W17" i="44"/>
  <c r="X17" i="44" s="1"/>
  <c r="Y17" i="44" s="1"/>
  <c r="W18" i="44"/>
  <c r="X18" i="44" s="1"/>
  <c r="Y18" i="44" s="1"/>
  <c r="W19" i="44"/>
  <c r="X19" i="44" s="1"/>
  <c r="Y19" i="44" s="1"/>
  <c r="W30" i="44"/>
  <c r="W34" i="44"/>
  <c r="W36" i="44"/>
  <c r="W41" i="44"/>
  <c r="W48" i="44"/>
  <c r="W50" i="44"/>
  <c r="W51" i="44"/>
  <c r="W54" i="44"/>
  <c r="W56" i="44"/>
  <c r="W63" i="44"/>
  <c r="W12" i="44"/>
  <c r="W16" i="44"/>
  <c r="W22" i="44"/>
  <c r="X22" i="44" s="1"/>
  <c r="Y22" i="44" s="1"/>
  <c r="W28" i="44"/>
  <c r="W29" i="44"/>
  <c r="W40" i="44"/>
  <c r="W47" i="44"/>
  <c r="W62" i="44"/>
  <c r="W11" i="44"/>
  <c r="W14" i="44"/>
  <c r="W15" i="44"/>
  <c r="W20" i="44"/>
  <c r="X20" i="44" s="1"/>
  <c r="Y20" i="44" s="1"/>
  <c r="W21" i="44"/>
  <c r="X21" i="44" s="1"/>
  <c r="Y21" i="44" s="1"/>
  <c r="W25" i="44"/>
  <c r="W26" i="44"/>
  <c r="W27" i="44"/>
  <c r="W35" i="44"/>
  <c r="W38" i="44"/>
  <c r="W39" i="44"/>
  <c r="W46" i="44"/>
  <c r="W53" i="44"/>
  <c r="W55" i="44"/>
  <c r="W57" i="44"/>
  <c r="K50" i="44" l="1"/>
  <c r="K58" i="44" s="1"/>
  <c r="I59" i="44" s="1"/>
  <c r="I60" i="44" s="1"/>
  <c r="G58" i="44"/>
  <c r="N5" i="44" s="1"/>
  <c r="R5" i="44" s="1"/>
  <c r="R40" i="44"/>
  <c r="W64" i="44"/>
  <c r="W65" i="44" s="1"/>
  <c r="N4" i="44"/>
  <c r="R4" i="44" s="1"/>
  <c r="F58" i="43"/>
  <c r="F57" i="43"/>
  <c r="F56" i="43"/>
  <c r="F49" i="43"/>
  <c r="F48" i="43"/>
  <c r="F47" i="43"/>
  <c r="F46" i="43"/>
  <c r="F45" i="43"/>
  <c r="F44" i="43"/>
  <c r="F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F22" i="43"/>
  <c r="F21" i="43"/>
  <c r="F20" i="43"/>
  <c r="F19" i="43"/>
  <c r="F18" i="43"/>
  <c r="F17" i="43"/>
  <c r="F16" i="43"/>
  <c r="F15" i="43"/>
  <c r="F14" i="43"/>
  <c r="F13" i="43"/>
  <c r="F12" i="43"/>
  <c r="F11" i="43"/>
  <c r="F10" i="43"/>
  <c r="F9" i="43"/>
  <c r="F8" i="43"/>
  <c r="F7" i="43"/>
  <c r="F5" i="43"/>
  <c r="F4" i="43"/>
  <c r="F3" i="43"/>
  <c r="F2" i="43"/>
  <c r="G20" i="41"/>
  <c r="G10" i="41"/>
  <c r="G23" i="41"/>
  <c r="G32" i="41"/>
  <c r="I32" i="41" s="1"/>
  <c r="I10" i="41"/>
  <c r="G21" i="41"/>
  <c r="Q61" i="41" s="1"/>
  <c r="H35" i="41"/>
  <c r="G19" i="41"/>
  <c r="Q26" i="41" s="1"/>
  <c r="I20" i="41"/>
  <c r="G33" i="41"/>
  <c r="G26" i="41"/>
  <c r="Q62" i="41" s="1"/>
  <c r="Q59" i="41"/>
  <c r="Q60" i="41"/>
  <c r="Q58" i="41"/>
  <c r="I29" i="41"/>
  <c r="I51" i="41"/>
  <c r="Q15" i="41"/>
  <c r="G34" i="41"/>
  <c r="Q27" i="41" s="1"/>
  <c r="J50" i="41"/>
  <c r="G50" i="41" s="1"/>
  <c r="Q40" i="41" s="1"/>
  <c r="J45" i="41"/>
  <c r="G45" i="41" s="1"/>
  <c r="Q36" i="41" s="1"/>
  <c r="J44" i="41"/>
  <c r="G44" i="41" s="1"/>
  <c r="Q35" i="41" s="1"/>
  <c r="J43" i="41"/>
  <c r="G43" i="41" s="1"/>
  <c r="Q34" i="41" s="1"/>
  <c r="J39" i="41"/>
  <c r="G39" i="41" s="1"/>
  <c r="J34" i="41"/>
  <c r="R6" i="44" l="1"/>
  <c r="T32" i="44" s="1"/>
  <c r="U26" i="44"/>
  <c r="T23" i="44"/>
  <c r="T36" i="44"/>
  <c r="T40" i="44"/>
  <c r="T44" i="44"/>
  <c r="T52" i="44"/>
  <c r="T56" i="44"/>
  <c r="T60" i="44"/>
  <c r="T26" i="44"/>
  <c r="T33" i="44"/>
  <c r="T37" i="44"/>
  <c r="T41" i="44"/>
  <c r="T45" i="44"/>
  <c r="T49" i="44"/>
  <c r="T53" i="44"/>
  <c r="T57" i="44"/>
  <c r="T61" i="44"/>
  <c r="T16" i="44"/>
  <c r="T30" i="44"/>
  <c r="T34" i="44"/>
  <c r="T38" i="44"/>
  <c r="T42" i="44"/>
  <c r="T46" i="44"/>
  <c r="T50" i="44"/>
  <c r="T54" i="44"/>
  <c r="T58" i="44"/>
  <c r="T15" i="44"/>
  <c r="T31" i="44"/>
  <c r="T35" i="44"/>
  <c r="T39" i="44"/>
  <c r="T43" i="44"/>
  <c r="T47" i="44"/>
  <c r="T51" i="44"/>
  <c r="T55" i="44"/>
  <c r="T59" i="44"/>
  <c r="T63" i="44"/>
  <c r="T62" i="44"/>
  <c r="T24" i="44"/>
  <c r="T29" i="44"/>
  <c r="T27" i="44"/>
  <c r="T25" i="44"/>
  <c r="T28" i="44"/>
  <c r="U54" i="44"/>
  <c r="U45" i="44"/>
  <c r="U24" i="44"/>
  <c r="U12" i="44"/>
  <c r="U53" i="44"/>
  <c r="U43" i="44"/>
  <c r="U52" i="44"/>
  <c r="U51" i="44"/>
  <c r="U46" i="44"/>
  <c r="U44" i="44"/>
  <c r="U25" i="44"/>
  <c r="U13" i="44"/>
  <c r="U47" i="44"/>
  <c r="U10" i="44"/>
  <c r="U49" i="44"/>
  <c r="U14" i="44"/>
  <c r="U11" i="44"/>
  <c r="N6" i="44"/>
  <c r="U62" i="44"/>
  <c r="U48" i="44"/>
  <c r="U27" i="44"/>
  <c r="U15" i="44"/>
  <c r="U61" i="44"/>
  <c r="U42" i="44"/>
  <c r="U63" i="44"/>
  <c r="U55" i="44"/>
  <c r="U50" i="44"/>
  <c r="I19" i="41"/>
  <c r="I52" i="41"/>
  <c r="Q63" i="41"/>
  <c r="I23" i="41"/>
  <c r="Q42" i="41"/>
  <c r="Q48" i="41"/>
  <c r="Q50" i="41"/>
  <c r="Q55" i="41"/>
  <c r="G36" i="41"/>
  <c r="Q32" i="41"/>
  <c r="G58" i="41"/>
  <c r="P23" i="41"/>
  <c r="U64" i="41"/>
  <c r="R64" i="41"/>
  <c r="B5" i="41"/>
  <c r="T48" i="44" l="1"/>
  <c r="X58" i="44"/>
  <c r="Y58" i="44" s="1"/>
  <c r="X56" i="44"/>
  <c r="Y56" i="44" s="1"/>
  <c r="X49" i="44"/>
  <c r="Y49" i="44" s="1"/>
  <c r="X39" i="44"/>
  <c r="Y39" i="44" s="1"/>
  <c r="X38" i="44"/>
  <c r="Y38" i="44" s="1"/>
  <c r="X36" i="44"/>
  <c r="Y36" i="44" s="1"/>
  <c r="X14" i="44"/>
  <c r="Y14" i="44" s="1"/>
  <c r="X11" i="44"/>
  <c r="X52" i="44"/>
  <c r="Y52" i="44" s="1"/>
  <c r="X37" i="44"/>
  <c r="Y37" i="44" s="1"/>
  <c r="X25" i="44"/>
  <c r="Y25" i="44" s="1"/>
  <c r="X23" i="44"/>
  <c r="Y23" i="44" s="1"/>
  <c r="X54" i="44"/>
  <c r="Y54" i="44" s="1"/>
  <c r="X45" i="44"/>
  <c r="Y45" i="44" s="1"/>
  <c r="X30" i="44"/>
  <c r="Y30" i="44" s="1"/>
  <c r="X24" i="44"/>
  <c r="Y24" i="44" s="1"/>
  <c r="X16" i="44"/>
  <c r="Y16" i="44" s="1"/>
  <c r="X12" i="44"/>
  <c r="Y12" i="44" s="1"/>
  <c r="X46" i="44"/>
  <c r="Y46" i="44" s="1"/>
  <c r="X28" i="44"/>
  <c r="Y28" i="44" s="1"/>
  <c r="X57" i="44"/>
  <c r="Y57" i="44" s="1"/>
  <c r="X53" i="44"/>
  <c r="Y53" i="44" s="1"/>
  <c r="X47" i="44"/>
  <c r="Y47" i="44" s="1"/>
  <c r="X43" i="44"/>
  <c r="Y43" i="44" s="1"/>
  <c r="X41" i="44"/>
  <c r="Y41" i="44" s="1"/>
  <c r="X33" i="44"/>
  <c r="Y33" i="44" s="1"/>
  <c r="X31" i="44"/>
  <c r="Y31" i="44" s="1"/>
  <c r="X29" i="44"/>
  <c r="Y29" i="44" s="1"/>
  <c r="X60" i="44"/>
  <c r="Y60" i="44" s="1"/>
  <c r="X51" i="44"/>
  <c r="Y51" i="44" s="1"/>
  <c r="X44" i="44"/>
  <c r="Y44" i="44" s="1"/>
  <c r="X13" i="44"/>
  <c r="X34" i="44"/>
  <c r="Y34" i="44" s="1"/>
  <c r="X15" i="44"/>
  <c r="Y15" i="44" s="1"/>
  <c r="X61" i="44"/>
  <c r="Y61" i="44" s="1"/>
  <c r="X35" i="44"/>
  <c r="Y35" i="44" s="1"/>
  <c r="X42" i="44"/>
  <c r="Y42" i="44" s="1"/>
  <c r="X63" i="44"/>
  <c r="Y63" i="44" s="1"/>
  <c r="X59" i="44"/>
  <c r="Y59" i="44" s="1"/>
  <c r="X48" i="44"/>
  <c r="Y48" i="44" s="1"/>
  <c r="X40" i="44"/>
  <c r="Y40" i="44" s="1"/>
  <c r="X27" i="44"/>
  <c r="Y27" i="44" s="1"/>
  <c r="X62" i="44"/>
  <c r="Y62" i="44" s="1"/>
  <c r="X55" i="44"/>
  <c r="Y55" i="44" s="1"/>
  <c r="X32" i="44"/>
  <c r="Y32" i="44" s="1"/>
  <c r="X50" i="44"/>
  <c r="Y50" i="44" s="1"/>
  <c r="X26" i="44"/>
  <c r="Y26" i="44" s="1"/>
  <c r="U64" i="44"/>
  <c r="U65" i="44" s="1"/>
  <c r="H58" i="41"/>
  <c r="M5" i="41"/>
  <c r="F53" i="41"/>
  <c r="M67" i="41"/>
  <c r="R65" i="41"/>
  <c r="V28" i="41"/>
  <c r="M68" i="41"/>
  <c r="M69" i="41"/>
  <c r="M70" i="41"/>
  <c r="W9" i="41"/>
  <c r="P57" i="41"/>
  <c r="P56" i="41"/>
  <c r="P22" i="41"/>
  <c r="P41" i="41"/>
  <c r="P40" i="41"/>
  <c r="P38" i="41"/>
  <c r="P16" i="41"/>
  <c r="P39" i="41"/>
  <c r="P37" i="41"/>
  <c r="P36" i="41"/>
  <c r="P35" i="41"/>
  <c r="P34" i="41"/>
  <c r="P33" i="41"/>
  <c r="P20" i="41"/>
  <c r="P31" i="41"/>
  <c r="P30" i="41"/>
  <c r="P32" i="41"/>
  <c r="P29" i="41"/>
  <c r="P28" i="41"/>
  <c r="P27" i="41"/>
  <c r="P63" i="41"/>
  <c r="P55" i="41"/>
  <c r="P53" i="41"/>
  <c r="P52" i="41"/>
  <c r="P54" i="41"/>
  <c r="P15" i="41"/>
  <c r="P13" i="41"/>
  <c r="P62" i="41"/>
  <c r="P51" i="41"/>
  <c r="P10" i="41"/>
  <c r="P50" i="41"/>
  <c r="P49" i="41"/>
  <c r="P61" i="41"/>
  <c r="P48" i="41"/>
  <c r="P26" i="41"/>
  <c r="P21" i="41"/>
  <c r="P47" i="41"/>
  <c r="P25" i="41"/>
  <c r="P46" i="41"/>
  <c r="P45" i="41"/>
  <c r="P44" i="41"/>
  <c r="P11" i="41"/>
  <c r="P17" i="41"/>
  <c r="P43" i="41"/>
  <c r="P24" i="41"/>
  <c r="P42" i="41"/>
  <c r="P19" i="41"/>
  <c r="P18" i="41"/>
  <c r="P12" i="41"/>
  <c r="F60" i="41"/>
  <c r="F52" i="41"/>
  <c r="F59" i="41"/>
  <c r="F51" i="41"/>
  <c r="F50" i="41"/>
  <c r="F49" i="41"/>
  <c r="F48" i="41"/>
  <c r="F47" i="41"/>
  <c r="F46" i="41"/>
  <c r="F45" i="41"/>
  <c r="F44" i="41"/>
  <c r="F43" i="41"/>
  <c r="F42" i="41"/>
  <c r="F64" i="41"/>
  <c r="F41" i="41"/>
  <c r="F40" i="41"/>
  <c r="F39" i="41"/>
  <c r="F38" i="41"/>
  <c r="F37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63" i="41"/>
  <c r="F18" i="41"/>
  <c r="F17" i="41"/>
  <c r="F16" i="41"/>
  <c r="F15" i="41"/>
  <c r="F14" i="41"/>
  <c r="F13" i="41"/>
  <c r="F12" i="41"/>
  <c r="F11" i="41"/>
  <c r="F68" i="41"/>
  <c r="F10" i="41"/>
  <c r="F62" i="41"/>
  <c r="F61" i="41"/>
  <c r="F9" i="41"/>
  <c r="F67" i="41"/>
  <c r="F66" i="41"/>
  <c r="T64" i="44" l="1"/>
  <c r="T65" i="44" s="1"/>
  <c r="X10" i="44"/>
  <c r="M4" i="41"/>
  <c r="M6" i="41" s="1"/>
  <c r="S32" i="41" s="1"/>
  <c r="V56" i="41"/>
  <c r="V38" i="41"/>
  <c r="V36" i="41"/>
  <c r="V32" i="41"/>
  <c r="V27" i="41"/>
  <c r="V52" i="41"/>
  <c r="V62" i="41"/>
  <c r="V49" i="41"/>
  <c r="V21" i="41"/>
  <c r="W21" i="41" s="1"/>
  <c r="X21" i="41" s="1"/>
  <c r="V45" i="41"/>
  <c r="V43" i="41"/>
  <c r="V19" i="41"/>
  <c r="W19" i="41" s="1"/>
  <c r="X19" i="41" s="1"/>
  <c r="V22" i="41"/>
  <c r="W22" i="41" s="1"/>
  <c r="X22" i="41" s="1"/>
  <c r="V16" i="41"/>
  <c r="V35" i="41"/>
  <c r="V20" i="41"/>
  <c r="W20" i="41" s="1"/>
  <c r="X20" i="41" s="1"/>
  <c r="V29" i="41"/>
  <c r="V63" i="41"/>
  <c r="V54" i="41"/>
  <c r="V51" i="41"/>
  <c r="V61" i="41"/>
  <c r="V47" i="41"/>
  <c r="V44" i="41"/>
  <c r="V24" i="41"/>
  <c r="V18" i="41"/>
  <c r="W18" i="41" s="1"/>
  <c r="X18" i="41" s="1"/>
  <c r="V41" i="41"/>
  <c r="V39" i="41"/>
  <c r="V34" i="41"/>
  <c r="V31" i="41"/>
  <c r="V55" i="41"/>
  <c r="V15" i="41"/>
  <c r="V10" i="41"/>
  <c r="V48" i="41"/>
  <c r="V25" i="41"/>
  <c r="V11" i="41"/>
  <c r="V12" i="41"/>
  <c r="V57" i="41"/>
  <c r="V40" i="41"/>
  <c r="V37" i="41"/>
  <c r="V33" i="41"/>
  <c r="V30" i="41"/>
  <c r="V14" i="41"/>
  <c r="V53" i="41"/>
  <c r="V13" i="41"/>
  <c r="V50" i="41"/>
  <c r="V26" i="41"/>
  <c r="V46" i="41"/>
  <c r="V17" i="41"/>
  <c r="W17" i="41" s="1"/>
  <c r="X17" i="41" s="1"/>
  <c r="V42" i="41"/>
  <c r="X64" i="44" l="1"/>
  <c r="Y10" i="44"/>
  <c r="Y64" i="44" s="1"/>
  <c r="T55" i="41"/>
  <c r="T51" i="41"/>
  <c r="T47" i="41"/>
  <c r="T43" i="41"/>
  <c r="T25" i="41"/>
  <c r="T13" i="41"/>
  <c r="T61" i="41"/>
  <c r="T44" i="41"/>
  <c r="T14" i="41"/>
  <c r="T63" i="41"/>
  <c r="T54" i="41"/>
  <c r="T50" i="41"/>
  <c r="T46" i="41"/>
  <c r="T42" i="41"/>
  <c r="T24" i="41"/>
  <c r="T12" i="41"/>
  <c r="T48" i="41"/>
  <c r="T62" i="41"/>
  <c r="T53" i="41"/>
  <c r="T49" i="41"/>
  <c r="T45" i="41"/>
  <c r="T27" i="41"/>
  <c r="T15" i="41"/>
  <c r="T11" i="41"/>
  <c r="T52" i="41"/>
  <c r="T26" i="41"/>
  <c r="T10" i="41"/>
  <c r="V64" i="41"/>
  <c r="V65" i="41" s="1"/>
  <c r="X65" i="44" l="1"/>
  <c r="Y65" i="44"/>
  <c r="T64" i="41"/>
  <c r="T65" i="41" s="1"/>
  <c r="O12" i="35" l="1"/>
  <c r="N12" i="35"/>
  <c r="O52" i="35"/>
  <c r="P72" i="35"/>
  <c r="O72" i="35"/>
  <c r="N72" i="35"/>
  <c r="P71" i="35"/>
  <c r="P70" i="35"/>
  <c r="P69" i="35"/>
  <c r="P68" i="35"/>
  <c r="P67" i="35"/>
  <c r="P66" i="35"/>
  <c r="P65" i="35"/>
  <c r="P64" i="35"/>
  <c r="P63" i="35"/>
  <c r="P62" i="35"/>
  <c r="P61" i="35"/>
  <c r="P60" i="35"/>
  <c r="P59" i="35"/>
  <c r="P58" i="35"/>
  <c r="P57" i="35"/>
  <c r="P56" i="35"/>
  <c r="P55" i="35"/>
  <c r="P54" i="35"/>
  <c r="P53" i="35"/>
  <c r="P52" i="35"/>
  <c r="O53" i="35"/>
  <c r="O54" i="35"/>
  <c r="O55" i="35"/>
  <c r="O56" i="35"/>
  <c r="O57" i="35"/>
  <c r="O58" i="35"/>
  <c r="O59" i="35"/>
  <c r="O60" i="35"/>
  <c r="O61" i="35"/>
  <c r="O62" i="35"/>
  <c r="O63" i="35"/>
  <c r="O64" i="35"/>
  <c r="O65" i="35"/>
  <c r="O66" i="35"/>
  <c r="O67" i="35"/>
  <c r="O68" i="35"/>
  <c r="O69" i="35"/>
  <c r="O70" i="35"/>
  <c r="O71" i="35"/>
  <c r="P13" i="35"/>
  <c r="P14" i="35"/>
  <c r="P15" i="35"/>
  <c r="P16" i="35"/>
  <c r="P17" i="35"/>
  <c r="P18" i="35"/>
  <c r="P19" i="35"/>
  <c r="P20" i="35"/>
  <c r="P21" i="35"/>
  <c r="P22" i="35"/>
  <c r="P23" i="35"/>
  <c r="P24" i="35"/>
  <c r="P25" i="35"/>
  <c r="P26" i="35"/>
  <c r="P27" i="35"/>
  <c r="P28" i="35"/>
  <c r="P29" i="35"/>
  <c r="P30" i="35"/>
  <c r="P31" i="35"/>
  <c r="P32" i="35"/>
  <c r="P33" i="35"/>
  <c r="P34" i="35"/>
  <c r="P35" i="35"/>
  <c r="P36" i="35"/>
  <c r="P38" i="35"/>
  <c r="P39" i="35"/>
  <c r="P40" i="35"/>
  <c r="P41" i="35"/>
  <c r="P42" i="35"/>
  <c r="P43" i="35"/>
  <c r="P44" i="35"/>
  <c r="P45" i="35"/>
  <c r="P46" i="35"/>
  <c r="P47" i="35"/>
  <c r="P48" i="35"/>
  <c r="P49" i="35"/>
  <c r="P50" i="35"/>
  <c r="P12" i="35"/>
  <c r="O13" i="35"/>
  <c r="O14" i="35"/>
  <c r="O15" i="35"/>
  <c r="O16" i="35"/>
  <c r="O17" i="35"/>
  <c r="O18" i="35"/>
  <c r="O19" i="35"/>
  <c r="O20" i="35"/>
  <c r="O21" i="35"/>
  <c r="O22" i="35"/>
  <c r="O23" i="35"/>
  <c r="O24" i="35"/>
  <c r="O25" i="35"/>
  <c r="O26" i="35"/>
  <c r="O27" i="35"/>
  <c r="O28" i="35"/>
  <c r="O29" i="35"/>
  <c r="O30" i="35"/>
  <c r="O31" i="35"/>
  <c r="O32" i="35"/>
  <c r="O33" i="35"/>
  <c r="O34" i="35"/>
  <c r="O35" i="35"/>
  <c r="O36" i="35"/>
  <c r="O38" i="35"/>
  <c r="O39" i="35"/>
  <c r="O40" i="35"/>
  <c r="O41" i="35"/>
  <c r="O42" i="35"/>
  <c r="O43" i="35"/>
  <c r="O44" i="35"/>
  <c r="O45" i="35"/>
  <c r="O46" i="35"/>
  <c r="O47" i="35"/>
  <c r="O48" i="35"/>
  <c r="O49" i="35"/>
  <c r="O50" i="35"/>
  <c r="N13" i="35"/>
  <c r="N14" i="35"/>
  <c r="N15" i="35"/>
  <c r="N16" i="35"/>
  <c r="N17" i="35"/>
  <c r="N18" i="35"/>
  <c r="N19" i="35"/>
  <c r="N20" i="35"/>
  <c r="N21" i="35"/>
  <c r="N22" i="35"/>
  <c r="N23" i="35"/>
  <c r="N24" i="35"/>
  <c r="N25" i="35"/>
  <c r="N26" i="35"/>
  <c r="N27" i="35"/>
  <c r="N28" i="35"/>
  <c r="N29" i="35"/>
  <c r="N30" i="35"/>
  <c r="N31" i="35"/>
  <c r="N32" i="35"/>
  <c r="N33" i="35"/>
  <c r="N34" i="35"/>
  <c r="N35" i="35"/>
  <c r="N36" i="35"/>
  <c r="N38" i="35"/>
  <c r="N39" i="35"/>
  <c r="N40" i="35"/>
  <c r="N41" i="35"/>
  <c r="N42" i="35"/>
  <c r="N43" i="35"/>
  <c r="N44" i="35"/>
  <c r="N45" i="35"/>
  <c r="N46" i="35"/>
  <c r="N47" i="35"/>
  <c r="N48" i="35"/>
  <c r="N49" i="35"/>
  <c r="N50" i="35"/>
  <c r="H6" i="35"/>
  <c r="H5" i="35"/>
  <c r="C7" i="35"/>
  <c r="C6" i="35"/>
  <c r="M72" i="35"/>
  <c r="M24" i="35"/>
  <c r="M17" i="35"/>
  <c r="M41" i="35"/>
  <c r="M49" i="35"/>
  <c r="M42" i="35"/>
  <c r="M65" i="35"/>
  <c r="M16" i="35"/>
  <c r="M18" i="35"/>
  <c r="M19" i="35"/>
  <c r="M57" i="35"/>
  <c r="M30" i="35"/>
  <c r="M69" i="35"/>
  <c r="M22" i="35"/>
  <c r="M28" i="35"/>
  <c r="M32" i="35"/>
  <c r="M48" i="35"/>
  <c r="M52" i="35"/>
  <c r="M53" i="35"/>
  <c r="M55" i="35"/>
  <c r="M56" i="35"/>
  <c r="M54" i="35"/>
  <c r="M59" i="35"/>
  <c r="M60" i="35"/>
  <c r="M61" i="35"/>
  <c r="M62" i="35"/>
  <c r="M63" i="35"/>
  <c r="M66" i="35"/>
  <c r="M64" i="35"/>
  <c r="M67" i="35"/>
  <c r="M68" i="35"/>
  <c r="M20" i="35"/>
  <c r="M23" i="35"/>
  <c r="M25" i="35"/>
  <c r="M26" i="35"/>
  <c r="M27" i="35"/>
  <c r="M29" i="35"/>
  <c r="M33" i="35"/>
  <c r="M35" i="35"/>
  <c r="M36" i="35"/>
  <c r="M38" i="35"/>
  <c r="M44" i="35"/>
  <c r="M45" i="35"/>
  <c r="M43" i="35"/>
  <c r="M46" i="35"/>
  <c r="M70" i="35"/>
  <c r="M71" i="35"/>
  <c r="M21" i="35"/>
  <c r="M12" i="35"/>
  <c r="M13" i="35"/>
  <c r="M34" i="35"/>
  <c r="M39" i="35"/>
  <c r="M47" i="35"/>
  <c r="M58" i="35"/>
  <c r="M14" i="35"/>
  <c r="M15" i="35"/>
  <c r="M40" i="35"/>
  <c r="M31" i="35"/>
  <c r="M50" i="35"/>
  <c r="M37" i="35"/>
  <c r="M51" i="35" s="1"/>
  <c r="N37" i="35" l="1"/>
  <c r="P37" i="35" s="1"/>
  <c r="P51" i="35" s="1"/>
  <c r="O37" i="35"/>
  <c r="F40" i="35"/>
  <c r="F15" i="35"/>
  <c r="F14" i="35"/>
  <c r="F58" i="35"/>
  <c r="F47" i="35"/>
  <c r="F39" i="35"/>
  <c r="F34" i="35"/>
  <c r="F13" i="35"/>
  <c r="F12" i="35"/>
  <c r="F46" i="35"/>
  <c r="F66" i="35"/>
  <c r="F37" i="35"/>
  <c r="AD29" i="24" l="1"/>
  <c r="AD30" i="24"/>
  <c r="AD31" i="24"/>
  <c r="AE31" i="24" s="1"/>
  <c r="AD32" i="24"/>
  <c r="AE32" i="24" s="1"/>
  <c r="AD33" i="24"/>
  <c r="AE33" i="24" s="1"/>
  <c r="AD34" i="24"/>
  <c r="AE34" i="24" s="1"/>
  <c r="AD35" i="24"/>
  <c r="AE35" i="24" s="1"/>
  <c r="AD36" i="24"/>
  <c r="AE36" i="24" s="1"/>
  <c r="AD37" i="24"/>
  <c r="AE37" i="24" s="1"/>
  <c r="AD38" i="24"/>
  <c r="AE38" i="24" s="1"/>
  <c r="AD39" i="24"/>
  <c r="AE39" i="24" s="1"/>
  <c r="AD40" i="24"/>
  <c r="AE40" i="24" s="1"/>
  <c r="AD41" i="24"/>
  <c r="AE41" i="24" s="1"/>
  <c r="AD42" i="24"/>
  <c r="AE42" i="24" s="1"/>
  <c r="AD43" i="24"/>
  <c r="AE43" i="24" s="1"/>
  <c r="AD44" i="24"/>
  <c r="AE44" i="24" s="1"/>
  <c r="AD45" i="24"/>
  <c r="AE45" i="24" s="1"/>
  <c r="AD46" i="24"/>
  <c r="AE46" i="24" s="1"/>
  <c r="AD47" i="24"/>
  <c r="AE47" i="24" s="1"/>
  <c r="AD48" i="24"/>
  <c r="AE48" i="24" s="1"/>
  <c r="AD49" i="24"/>
  <c r="AE49" i="24" s="1"/>
  <c r="AD50" i="24"/>
  <c r="AE50" i="24" s="1"/>
  <c r="AD51" i="24"/>
  <c r="AE51" i="24" s="1"/>
  <c r="AD52" i="24"/>
  <c r="AE52" i="24" s="1"/>
  <c r="AD53" i="24"/>
  <c r="AE53" i="24" s="1"/>
  <c r="AD54" i="24"/>
  <c r="AE54" i="24" s="1"/>
  <c r="AD55" i="24"/>
  <c r="AE55" i="24" s="1"/>
  <c r="AD56" i="24"/>
  <c r="AE56" i="24" s="1"/>
  <c r="AD57" i="24"/>
  <c r="AE57" i="24" s="1"/>
  <c r="AD58" i="24"/>
  <c r="AE58" i="24" s="1"/>
  <c r="AD59" i="24"/>
  <c r="AE59" i="24" s="1"/>
  <c r="AD62" i="24"/>
  <c r="AE62" i="24" s="1"/>
  <c r="AD63" i="24"/>
  <c r="AE63" i="24" s="1"/>
  <c r="AD64" i="24"/>
  <c r="O6" i="32"/>
  <c r="E59" i="24" l="1"/>
  <c r="F59" i="24" s="1"/>
  <c r="I59" i="24" s="1"/>
  <c r="J59" i="24" s="1"/>
  <c r="AA59" i="24"/>
  <c r="AN59" i="24" s="1"/>
  <c r="O7" i="32" l="1"/>
  <c r="S28" i="32" l="1"/>
  <c r="S29" i="32"/>
  <c r="R28" i="32"/>
  <c r="AA58" i="24" l="1"/>
  <c r="AN58" i="24" s="1"/>
  <c r="F40" i="24" l="1"/>
  <c r="E58" i="24" l="1"/>
  <c r="E62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39" i="24"/>
  <c r="E38" i="24"/>
  <c r="E37" i="24"/>
  <c r="E36" i="24"/>
  <c r="E35" i="24"/>
  <c r="E34" i="24"/>
  <c r="E33" i="24"/>
  <c r="E32" i="24"/>
  <c r="E31" i="24"/>
  <c r="E30" i="24"/>
  <c r="E29" i="24"/>
  <c r="E23" i="24"/>
  <c r="E24" i="24"/>
  <c r="E22" i="24"/>
  <c r="E21" i="24"/>
  <c r="E20" i="24"/>
  <c r="E19" i="24"/>
  <c r="E16" i="24"/>
  <c r="E15" i="24"/>
  <c r="E13" i="24"/>
  <c r="E12" i="24"/>
  <c r="F12" i="24" s="1"/>
  <c r="I12" i="24" s="1"/>
  <c r="E11" i="24"/>
  <c r="E10" i="24"/>
  <c r="AD20" i="24" l="1"/>
  <c r="AD21" i="24"/>
  <c r="AD22" i="24"/>
  <c r="AD24" i="24"/>
  <c r="AD23" i="24"/>
  <c r="AD19" i="24"/>
  <c r="V11" i="32"/>
  <c r="I9" i="32" l="1"/>
  <c r="I8" i="32"/>
  <c r="F58" i="24"/>
  <c r="I58" i="24" s="1"/>
  <c r="J58" i="24" s="1"/>
  <c r="X58" i="24" s="1"/>
  <c r="AQ58" i="24" s="1"/>
  <c r="I10" i="32" l="1"/>
  <c r="A5" i="28"/>
  <c r="D19" i="28" l="1"/>
  <c r="AE68" i="24"/>
  <c r="AN68" i="24" s="1"/>
  <c r="AE67" i="24"/>
  <c r="AN67" i="24" s="1"/>
  <c r="AE66" i="24"/>
  <c r="AN66" i="24" s="1"/>
  <c r="L68" i="24"/>
  <c r="X68" i="24" s="1"/>
  <c r="X67" i="24"/>
  <c r="X66" i="24"/>
  <c r="AA16" i="24"/>
  <c r="AA15" i="24"/>
  <c r="AA13" i="24"/>
  <c r="AA12" i="24"/>
  <c r="AA11" i="24"/>
  <c r="AA10" i="24"/>
  <c r="AA9" i="24"/>
  <c r="AA23" i="24"/>
  <c r="AA24" i="24"/>
  <c r="AA22" i="24"/>
  <c r="AA21" i="24"/>
  <c r="AA20" i="24"/>
  <c r="AA19" i="24"/>
  <c r="AE23" i="24"/>
  <c r="AE24" i="24"/>
  <c r="AE22" i="24"/>
  <c r="AE21" i="24"/>
  <c r="AE20" i="24"/>
  <c r="AE19" i="24"/>
  <c r="AE16" i="24"/>
  <c r="AE15" i="24"/>
  <c r="AN15" i="24" s="1"/>
  <c r="AE13" i="24"/>
  <c r="AE12" i="24"/>
  <c r="AE11" i="24"/>
  <c r="AE10" i="24"/>
  <c r="AE9" i="24"/>
  <c r="F23" i="24"/>
  <c r="F24" i="24"/>
  <c r="F22" i="24"/>
  <c r="F21" i="24"/>
  <c r="F20" i="24"/>
  <c r="F19" i="24"/>
  <c r="J15" i="24"/>
  <c r="J16" i="24"/>
  <c r="F16" i="24"/>
  <c r="I16" i="24" s="1"/>
  <c r="F15" i="24"/>
  <c r="I15" i="24" s="1"/>
  <c r="G13" i="24"/>
  <c r="AH13" i="24" s="1"/>
  <c r="AI13" i="24" s="1"/>
  <c r="G11" i="24"/>
  <c r="G9" i="24"/>
  <c r="F10" i="24"/>
  <c r="I10" i="24" s="1"/>
  <c r="J10" i="24" s="1"/>
  <c r="F11" i="24"/>
  <c r="I11" i="24" s="1"/>
  <c r="J11" i="24" s="1"/>
  <c r="J12" i="24"/>
  <c r="F13" i="24"/>
  <c r="I13" i="24" s="1"/>
  <c r="J13" i="24" s="1"/>
  <c r="F9" i="24"/>
  <c r="I9" i="24" s="1"/>
  <c r="J9" i="24" s="1"/>
  <c r="AQ68" i="24" l="1"/>
  <c r="AN24" i="24"/>
  <c r="AQ24" i="24" s="1"/>
  <c r="AQ66" i="24"/>
  <c r="AN16" i="24"/>
  <c r="AN20" i="24"/>
  <c r="AQ20" i="24" s="1"/>
  <c r="AN23" i="24"/>
  <c r="AQ23" i="24" s="1"/>
  <c r="AN12" i="24"/>
  <c r="AQ67" i="24"/>
  <c r="AH9" i="24"/>
  <c r="AI9" i="24" s="1"/>
  <c r="AL9" i="24"/>
  <c r="AM9" i="24" s="1"/>
  <c r="H9" i="24"/>
  <c r="AP9" i="24" s="1"/>
  <c r="AN19" i="24"/>
  <c r="AQ19" i="24" s="1"/>
  <c r="AN21" i="24"/>
  <c r="AQ21" i="24" s="1"/>
  <c r="AH11" i="24"/>
  <c r="AI11" i="24" s="1"/>
  <c r="AL11" i="24"/>
  <c r="AM11" i="24" s="1"/>
  <c r="H11" i="24"/>
  <c r="AP11" i="24" s="1"/>
  <c r="AN22" i="24"/>
  <c r="AQ22" i="24" s="1"/>
  <c r="AN10" i="24"/>
  <c r="H13" i="24"/>
  <c r="AP13" i="24" s="1"/>
  <c r="AL13" i="24"/>
  <c r="AM13" i="24" s="1"/>
  <c r="AN13" i="24" s="1"/>
  <c r="L16" i="24"/>
  <c r="L15" i="24"/>
  <c r="X15" i="24" s="1"/>
  <c r="AQ15" i="24" s="1"/>
  <c r="L13" i="24"/>
  <c r="L12" i="24"/>
  <c r="X12" i="24" s="1"/>
  <c r="L11" i="24"/>
  <c r="L10" i="24"/>
  <c r="X10" i="24" s="1"/>
  <c r="AQ10" i="24" s="1"/>
  <c r="L9" i="24"/>
  <c r="AE29" i="24"/>
  <c r="AE30" i="24"/>
  <c r="AE64" i="24"/>
  <c r="AA29" i="24"/>
  <c r="AA31" i="24"/>
  <c r="AN31" i="24" s="1"/>
  <c r="AA32" i="24"/>
  <c r="AN32" i="24" s="1"/>
  <c r="AA35" i="24"/>
  <c r="AN35" i="24" s="1"/>
  <c r="AA40" i="24"/>
  <c r="AN40" i="24" s="1"/>
  <c r="AA43" i="24"/>
  <c r="AN43" i="24" s="1"/>
  <c r="AA44" i="24"/>
  <c r="AN44" i="24" s="1"/>
  <c r="AA47" i="24"/>
  <c r="AN47" i="24" s="1"/>
  <c r="AA48" i="24"/>
  <c r="AN48" i="24" s="1"/>
  <c r="AA50" i="24"/>
  <c r="AN50" i="24" s="1"/>
  <c r="AA51" i="24"/>
  <c r="AN51" i="24" s="1"/>
  <c r="AA53" i="24"/>
  <c r="AN53" i="24" s="1"/>
  <c r="AA54" i="24"/>
  <c r="AN54" i="24" s="1"/>
  <c r="AA56" i="24"/>
  <c r="AN56" i="24" s="1"/>
  <c r="AA62" i="24"/>
  <c r="AN62" i="24" s="1"/>
  <c r="AA64" i="24"/>
  <c r="AN64" i="24" s="1"/>
  <c r="AQ64" i="24" s="1"/>
  <c r="AA63" i="24"/>
  <c r="AN63" i="24" s="1"/>
  <c r="AQ63" i="24" s="1"/>
  <c r="AA55" i="24"/>
  <c r="AN55" i="24" s="1"/>
  <c r="AA52" i="24"/>
  <c r="AN52" i="24" s="1"/>
  <c r="AA49" i="24"/>
  <c r="AN49" i="24" s="1"/>
  <c r="AA46" i="24"/>
  <c r="AN46" i="24" s="1"/>
  <c r="AA45" i="24"/>
  <c r="AN45" i="24" s="1"/>
  <c r="AA42" i="24"/>
  <c r="AN42" i="24" s="1"/>
  <c r="AA41" i="24"/>
  <c r="AN41" i="24" s="1"/>
  <c r="AA39" i="24"/>
  <c r="AN39" i="24" s="1"/>
  <c r="AA38" i="24"/>
  <c r="AN38" i="24" s="1"/>
  <c r="AA37" i="24"/>
  <c r="AN37" i="24" s="1"/>
  <c r="AA36" i="24"/>
  <c r="AN36" i="24" s="1"/>
  <c r="AA34" i="24"/>
  <c r="AN34" i="24" s="1"/>
  <c r="AA33" i="24"/>
  <c r="AN33" i="24" s="1"/>
  <c r="AA57" i="24"/>
  <c r="AN57" i="24" s="1"/>
  <c r="AA30" i="24"/>
  <c r="AN11" i="24" l="1"/>
  <c r="AN29" i="24"/>
  <c r="AN9" i="24"/>
  <c r="AQ12" i="24"/>
  <c r="AN30" i="24"/>
  <c r="X16" i="24"/>
  <c r="AQ16" i="24" s="1"/>
  <c r="X13" i="24"/>
  <c r="AQ13" i="24" s="1"/>
  <c r="X11" i="24"/>
  <c r="AQ11" i="24" s="1"/>
  <c r="X9" i="24"/>
  <c r="AQ9" i="24" l="1"/>
  <c r="D17" i="28"/>
  <c r="X59" i="24" l="1"/>
  <c r="AQ59" i="24" s="1"/>
  <c r="F62" i="24" l="1"/>
  <c r="I62" i="24" s="1"/>
  <c r="J62" i="24" s="1"/>
  <c r="X62" i="24" s="1"/>
  <c r="AQ62" i="24" s="1"/>
  <c r="F56" i="24"/>
  <c r="I56" i="24" s="1"/>
  <c r="F55" i="24"/>
  <c r="I55" i="24" s="1"/>
  <c r="F54" i="24"/>
  <c r="I54" i="24" s="1"/>
  <c r="F53" i="24"/>
  <c r="I53" i="24" s="1"/>
  <c r="F52" i="24"/>
  <c r="I52" i="24" s="1"/>
  <c r="F51" i="24"/>
  <c r="I51" i="24" s="1"/>
  <c r="F50" i="24"/>
  <c r="I50" i="24" s="1"/>
  <c r="F49" i="24"/>
  <c r="I49" i="24" s="1"/>
  <c r="F48" i="24"/>
  <c r="I48" i="24" s="1"/>
  <c r="F47" i="24"/>
  <c r="I47" i="24" s="1"/>
  <c r="F46" i="24"/>
  <c r="I46" i="24" s="1"/>
  <c r="F45" i="24"/>
  <c r="I45" i="24" s="1"/>
  <c r="F44" i="24"/>
  <c r="I44" i="24" s="1"/>
  <c r="F43" i="24"/>
  <c r="I43" i="24" s="1"/>
  <c r="F42" i="24"/>
  <c r="I42" i="24" s="1"/>
  <c r="F41" i="24"/>
  <c r="I41" i="24" s="1"/>
  <c r="I40" i="24"/>
  <c r="J40" i="24" s="1"/>
  <c r="X40" i="24" s="1"/>
  <c r="AQ40" i="24" s="1"/>
  <c r="F39" i="24"/>
  <c r="I39" i="24" s="1"/>
  <c r="F38" i="24"/>
  <c r="I38" i="24" s="1"/>
  <c r="F37" i="24"/>
  <c r="I37" i="24" s="1"/>
  <c r="F36" i="24"/>
  <c r="I36" i="24" s="1"/>
  <c r="F35" i="24"/>
  <c r="I35" i="24" s="1"/>
  <c r="F34" i="24"/>
  <c r="I34" i="24" s="1"/>
  <c r="F33" i="24"/>
  <c r="I33" i="24" s="1"/>
  <c r="F32" i="24"/>
  <c r="I32" i="24" s="1"/>
  <c r="F31" i="24"/>
  <c r="I31" i="24" s="1"/>
  <c r="F57" i="24"/>
  <c r="I57" i="24" s="1"/>
  <c r="J57" i="24" s="1"/>
  <c r="X57" i="24" s="1"/>
  <c r="AQ57" i="24" s="1"/>
  <c r="F30" i="24"/>
  <c r="I30" i="24" s="1"/>
  <c r="F29" i="24"/>
  <c r="I29" i="24" s="1"/>
  <c r="J44" i="24" l="1"/>
  <c r="X44" i="24" s="1"/>
  <c r="AQ44" i="24" s="1"/>
  <c r="J30" i="24"/>
  <c r="X30" i="24" s="1"/>
  <c r="AQ30" i="24" s="1"/>
  <c r="J33" i="24"/>
  <c r="X33" i="24" s="1"/>
  <c r="AQ33" i="24" s="1"/>
  <c r="J36" i="24"/>
  <c r="X36" i="24" s="1"/>
  <c r="AQ36" i="24" s="1"/>
  <c r="J45" i="24"/>
  <c r="X45" i="24" s="1"/>
  <c r="AQ45" i="24" s="1"/>
  <c r="J52" i="24"/>
  <c r="J29" i="24"/>
  <c r="X29" i="24" s="1"/>
  <c r="AQ29" i="24" s="1"/>
  <c r="J34" i="24"/>
  <c r="X34" i="24" s="1"/>
  <c r="AQ34" i="24" s="1"/>
  <c r="J37" i="24"/>
  <c r="X37" i="24" s="1"/>
  <c r="AQ37" i="24" s="1"/>
  <c r="J39" i="24"/>
  <c r="X39" i="24" s="1"/>
  <c r="AQ39" i="24" s="1"/>
  <c r="J42" i="24"/>
  <c r="X42" i="24" s="1"/>
  <c r="AQ42" i="24" s="1"/>
  <c r="J46" i="24"/>
  <c r="J56" i="24"/>
  <c r="X56" i="24" s="1"/>
  <c r="AQ56" i="24" s="1"/>
  <c r="J32" i="24"/>
  <c r="J31" i="24"/>
  <c r="X31" i="24" s="1"/>
  <c r="AQ31" i="24" s="1"/>
  <c r="J35" i="24"/>
  <c r="X35" i="24" s="1"/>
  <c r="AQ35" i="24" s="1"/>
  <c r="J43" i="24"/>
  <c r="X43" i="24" s="1"/>
  <c r="AQ43" i="24" s="1"/>
  <c r="J53" i="24"/>
  <c r="X53" i="24" s="1"/>
  <c r="AQ53" i="24" s="1"/>
  <c r="J50" i="24"/>
  <c r="X50" i="24" s="1"/>
  <c r="AQ50" i="24" s="1"/>
  <c r="J48" i="24"/>
  <c r="X48" i="24" s="1"/>
  <c r="AQ48" i="24" s="1"/>
  <c r="J55" i="24"/>
  <c r="J49" i="24"/>
  <c r="J38" i="24"/>
  <c r="X38" i="24" s="1"/>
  <c r="AQ38" i="24" s="1"/>
  <c r="J41" i="24"/>
  <c r="J51" i="24"/>
  <c r="J54" i="24"/>
  <c r="X54" i="24" s="1"/>
  <c r="AQ54" i="24" s="1"/>
  <c r="J47" i="24"/>
  <c r="X47" i="24" l="1"/>
  <c r="AQ47" i="24" s="1"/>
  <c r="X51" i="24"/>
  <c r="AQ51" i="24" s="1"/>
  <c r="X55" i="24"/>
  <c r="AQ55" i="24" s="1"/>
  <c r="X46" i="24"/>
  <c r="AQ46" i="24" s="1"/>
  <c r="X49" i="24"/>
  <c r="AQ49" i="24" s="1"/>
  <c r="X32" i="24"/>
  <c r="AQ32" i="24" s="1"/>
  <c r="AQ81" i="24" s="1"/>
  <c r="X52" i="24"/>
  <c r="AQ52" i="24" s="1"/>
  <c r="X41" i="24"/>
  <c r="AQ41" i="24" s="1"/>
  <c r="E29" i="35" l="1"/>
  <c r="F29" i="35" s="1"/>
  <c r="E64" i="35"/>
  <c r="F64" i="35" s="1"/>
  <c r="E56" i="35"/>
  <c r="F56" i="35" s="1"/>
  <c r="E19" i="35"/>
  <c r="F19" i="35" s="1"/>
  <c r="E24" i="35"/>
  <c r="F24" i="35" s="1"/>
  <c r="E17" i="35"/>
  <c r="F17" i="35" s="1"/>
  <c r="E43" i="35"/>
  <c r="F43" i="35" s="1"/>
  <c r="E27" i="35"/>
  <c r="F27" i="35" s="1"/>
  <c r="E60" i="35"/>
  <c r="F60" i="35" s="1"/>
  <c r="E32" i="35"/>
  <c r="F32" i="35" s="1"/>
  <c r="E18" i="35"/>
  <c r="F18" i="35" s="1"/>
  <c r="E44" i="35"/>
  <c r="F44" i="35" s="1"/>
  <c r="E52" i="35"/>
  <c r="F52" i="35" s="1"/>
  <c r="E45" i="35"/>
  <c r="F45" i="35" s="1"/>
  <c r="E26" i="35"/>
  <c r="F26" i="35" s="1"/>
  <c r="E63" i="35"/>
  <c r="F63" i="35" s="1"/>
  <c r="E53" i="35"/>
  <c r="F53" i="35" s="1"/>
  <c r="E30" i="35"/>
  <c r="F30" i="35" s="1"/>
  <c r="E41" i="35"/>
  <c r="F41" i="35" s="1"/>
  <c r="E25" i="35"/>
  <c r="F25" i="35" s="1"/>
  <c r="E57" i="35"/>
  <c r="F57" i="35" s="1"/>
  <c r="E21" i="35"/>
  <c r="F21" i="35" s="1"/>
  <c r="E20" i="35"/>
  <c r="F20" i="35" s="1"/>
  <c r="E69" i="35"/>
  <c r="F69" i="35" s="1"/>
  <c r="E67" i="35"/>
  <c r="F67" i="35" s="1"/>
  <c r="E35" i="35"/>
  <c r="F35" i="35" s="1"/>
  <c r="E59" i="35"/>
  <c r="F59" i="35" s="1"/>
  <c r="E16" i="35"/>
  <c r="F16" i="35" s="1"/>
  <c r="E54" i="35"/>
  <c r="F54" i="35" s="1"/>
  <c r="E22" i="35"/>
  <c r="F22" i="35" s="1"/>
  <c r="E38" i="35"/>
  <c r="F38" i="35" s="1"/>
  <c r="E23" i="35"/>
  <c r="F23" i="35" s="1"/>
  <c r="E61" i="35"/>
  <c r="F61" i="35" s="1"/>
  <c r="E48" i="35"/>
  <c r="F48" i="35" s="1"/>
  <c r="E42" i="35"/>
  <c r="F42" i="35" s="1"/>
  <c r="E62" i="35"/>
  <c r="F62" i="35" s="1"/>
  <c r="E36" i="35"/>
  <c r="F36" i="35"/>
  <c r="E55" i="35"/>
  <c r="F55" i="35" s="1"/>
  <c r="E49" i="35"/>
  <c r="E71" i="35"/>
  <c r="F71" i="35" s="1"/>
  <c r="E68" i="35"/>
  <c r="F68" i="35" s="1"/>
  <c r="E28" i="35"/>
  <c r="F28" i="35" s="1"/>
  <c r="E33" i="35"/>
  <c r="F33" i="35"/>
  <c r="E70" i="35"/>
  <c r="F70" i="35" s="1"/>
  <c r="E65" i="35"/>
  <c r="F65" i="35" s="1"/>
  <c r="S62" i="41" l="1"/>
  <c r="W62" i="41" s="1"/>
  <c r="X62" i="41" s="1"/>
  <c r="S58" i="41"/>
  <c r="W58" i="41" s="1"/>
  <c r="X58" i="41" s="1"/>
  <c r="S54" i="41"/>
  <c r="W54" i="41" s="1"/>
  <c r="X54" i="41" s="1"/>
  <c r="S50" i="41"/>
  <c r="W50" i="41" s="1"/>
  <c r="X50" i="41" s="1"/>
  <c r="S46" i="41"/>
  <c r="W46" i="41" s="1"/>
  <c r="X46" i="41" s="1"/>
  <c r="S42" i="41"/>
  <c r="S38" i="41"/>
  <c r="W38" i="41" s="1"/>
  <c r="X38" i="41" s="1"/>
  <c r="S34" i="41"/>
  <c r="W34" i="41" s="1"/>
  <c r="X34" i="41" s="1"/>
  <c r="S30" i="41"/>
  <c r="W30" i="41" s="1"/>
  <c r="X30" i="41" s="1"/>
  <c r="S26" i="41"/>
  <c r="S11" i="41"/>
  <c r="W11" i="41" s="1"/>
  <c r="X11" i="41" s="1"/>
  <c r="S15" i="41"/>
  <c r="W15" i="41" s="1"/>
  <c r="X15" i="41" s="1"/>
  <c r="S55" i="41"/>
  <c r="W55" i="41" s="1"/>
  <c r="X55" i="41" s="1"/>
  <c r="S47" i="41"/>
  <c r="S39" i="41"/>
  <c r="W39" i="41" s="1"/>
  <c r="X39" i="41" s="1"/>
  <c r="S27" i="41"/>
  <c r="W27" i="41" s="1"/>
  <c r="X27" i="41" s="1"/>
  <c r="S61" i="41"/>
  <c r="W61" i="41" s="1"/>
  <c r="X61" i="41" s="1"/>
  <c r="S57" i="41"/>
  <c r="W57" i="41" s="1"/>
  <c r="X57" i="41" s="1"/>
  <c r="S53" i="41"/>
  <c r="W53" i="41" s="1"/>
  <c r="X53" i="41" s="1"/>
  <c r="S49" i="41"/>
  <c r="W49" i="41" s="1"/>
  <c r="X49" i="41" s="1"/>
  <c r="S45" i="41"/>
  <c r="W45" i="41" s="1"/>
  <c r="X45" i="41" s="1"/>
  <c r="S41" i="41"/>
  <c r="W41" i="41" s="1"/>
  <c r="X41" i="41" s="1"/>
  <c r="S37" i="41"/>
  <c r="W37" i="41" s="1"/>
  <c r="X37" i="41" s="1"/>
  <c r="S33" i="41"/>
  <c r="W33" i="41" s="1"/>
  <c r="X33" i="41" s="1"/>
  <c r="S29" i="41"/>
  <c r="W29" i="41" s="1"/>
  <c r="X29" i="41" s="1"/>
  <c r="S25" i="41"/>
  <c r="W25" i="41" s="1"/>
  <c r="X25" i="41" s="1"/>
  <c r="S12" i="41"/>
  <c r="W12" i="41" s="1"/>
  <c r="X12" i="41" s="1"/>
  <c r="S16" i="41"/>
  <c r="W16" i="41" s="1"/>
  <c r="X16" i="41" s="1"/>
  <c r="S51" i="41"/>
  <c r="W51" i="41" s="1"/>
  <c r="X51" i="41" s="1"/>
  <c r="S35" i="41"/>
  <c r="W35" i="41" s="1"/>
  <c r="X35" i="41" s="1"/>
  <c r="S14" i="41"/>
  <c r="W14" i="41" s="1"/>
  <c r="X14" i="41" s="1"/>
  <c r="S60" i="41"/>
  <c r="W60" i="41" s="1"/>
  <c r="X60" i="41" s="1"/>
  <c r="S56" i="41"/>
  <c r="W56" i="41" s="1"/>
  <c r="X56" i="41" s="1"/>
  <c r="S52" i="41"/>
  <c r="W52" i="41" s="1"/>
  <c r="X52" i="41" s="1"/>
  <c r="S48" i="41"/>
  <c r="W48" i="41" s="1"/>
  <c r="X48" i="41" s="1"/>
  <c r="S44" i="41"/>
  <c r="W44" i="41" s="1"/>
  <c r="X44" i="41" s="1"/>
  <c r="S40" i="41"/>
  <c r="W40" i="41" s="1"/>
  <c r="X40" i="41" s="1"/>
  <c r="S36" i="41"/>
  <c r="W36" i="41" s="1"/>
  <c r="X36" i="41" s="1"/>
  <c r="W32" i="41"/>
  <c r="X32" i="41" s="1"/>
  <c r="S28" i="41"/>
  <c r="W28" i="41" s="1"/>
  <c r="X28" i="41" s="1"/>
  <c r="S24" i="41"/>
  <c r="W24" i="41" s="1"/>
  <c r="X24" i="41" s="1"/>
  <c r="S13" i="41"/>
  <c r="W13" i="41" s="1"/>
  <c r="X13" i="41" s="1"/>
  <c r="S10" i="41"/>
  <c r="W10" i="41" s="1"/>
  <c r="X10" i="41" s="1"/>
  <c r="S63" i="41"/>
  <c r="W63" i="41" s="1"/>
  <c r="X63" i="41" s="1"/>
  <c r="S59" i="41"/>
  <c r="W59" i="41" s="1"/>
  <c r="X59" i="41" s="1"/>
  <c r="S43" i="41"/>
  <c r="W43" i="41" s="1"/>
  <c r="X43" i="41" s="1"/>
  <c r="S31" i="41"/>
  <c r="W31" i="41" s="1"/>
  <c r="X31" i="41" s="1"/>
  <c r="S23" i="41"/>
  <c r="W23" i="41" s="1"/>
  <c r="X23" i="41" s="1"/>
  <c r="W42" i="41"/>
  <c r="X42" i="41" s="1"/>
  <c r="W26" i="41"/>
  <c r="X26" i="41" s="1"/>
  <c r="W47" i="41"/>
  <c r="X47" i="41" s="1"/>
  <c r="X64" i="41" l="1"/>
  <c r="S64" i="41"/>
  <c r="S65" i="41" s="1"/>
  <c r="W64" i="41" l="1"/>
  <c r="W65" i="41" l="1"/>
</calcChain>
</file>

<file path=xl/sharedStrings.xml><?xml version="1.0" encoding="utf-8"?>
<sst xmlns="http://schemas.openxmlformats.org/spreadsheetml/2006/main" count="1503" uniqueCount="315">
  <si>
    <t>NO</t>
  </si>
  <si>
    <t>NAMA</t>
  </si>
  <si>
    <t>JABATAN</t>
  </si>
  <si>
    <t>BAKU</t>
  </si>
  <si>
    <t>SADIKIN, S.Pd.</t>
  </si>
  <si>
    <t>RIYATI, S.Psi</t>
  </si>
  <si>
    <t>Dra.ZULAICHA</t>
  </si>
  <si>
    <t>SHOBAHUL HOIR, S.Pd.</t>
  </si>
  <si>
    <t>AHMAD HARDIYANTO, S.Hum</t>
  </si>
  <si>
    <t>GATOT SUGIANTO, S.Pd.</t>
  </si>
  <si>
    <t>NOFI RIDONINGSIH, S.Ag</t>
  </si>
  <si>
    <t>Rp</t>
  </si>
  <si>
    <t>SITI MUSAWAROH, S.Pd.</t>
  </si>
  <si>
    <t>SITI ROHMI</t>
  </si>
  <si>
    <t>KUNCAHYANING, M.Pd.</t>
  </si>
  <si>
    <t>FATMA WARDHANI, S.Pd.</t>
  </si>
  <si>
    <t>Drs. ABDUL MUDJIB</t>
  </si>
  <si>
    <t>Drs. HARIJANTO</t>
  </si>
  <si>
    <t>CHRISTINA HANJAR S, S.Pd.</t>
  </si>
  <si>
    <t>RUKMANINGSIH, S.Si</t>
  </si>
  <si>
    <t>ABDUL HARIS, S.Fil.I</t>
  </si>
  <si>
    <t>ANIS SHOFIYAH, S.Pd.I</t>
  </si>
  <si>
    <t>FITRI FAJRIYAH, S.Pd.</t>
  </si>
  <si>
    <t>Dra. WILUJENG</t>
  </si>
  <si>
    <t>MUTIARA HANY HAMIDAH, S.Sos</t>
  </si>
  <si>
    <t>NUR HOLIFAH, M.I.P</t>
  </si>
  <si>
    <t>DITA ROFIQOH DAMAYANTI, S.Pd.</t>
  </si>
  <si>
    <t>AHMAD RAHMATULLAH, S.Pd</t>
  </si>
  <si>
    <t>Rr. NURUL Q, S.Pd.</t>
  </si>
  <si>
    <t>SOEBAGIJO, SE</t>
  </si>
  <si>
    <t>SRI RAHAYU, SH.S.Pd.</t>
  </si>
  <si>
    <t>KUSNINTYASTUTIK, S.Pd.</t>
  </si>
  <si>
    <t>FULLATUL AINI, S.Pd.</t>
  </si>
  <si>
    <t>AMALIA MUFIDA, S.Km.S.Si.</t>
  </si>
  <si>
    <t>TITIM YUDHA, S.Pd.</t>
  </si>
  <si>
    <t>SANCOKO, S.Si</t>
  </si>
  <si>
    <t>NUNUN LUSYANTI, S.Pd.</t>
  </si>
  <si>
    <t>IKA SAFITRI, S.Pd.</t>
  </si>
  <si>
    <t>ANI ROSIDAH, S.Pd.</t>
  </si>
  <si>
    <t>USWATUN HASANAH, S.Pd.</t>
  </si>
  <si>
    <t>KURNIA STALISATIN, S.Pd</t>
  </si>
  <si>
    <t>RIZKY MAULANA, S,Pd</t>
  </si>
  <si>
    <t>DANI CANTONA, S.Pd</t>
  </si>
  <si>
    <t>ZAENAL AHMAD, S.Psi</t>
  </si>
  <si>
    <t>Dra. KUSTINI</t>
  </si>
  <si>
    <t>BUDIMAN</t>
  </si>
  <si>
    <t>SUPRIYANTO</t>
  </si>
  <si>
    <t>AZIZ</t>
  </si>
  <si>
    <t>ENI KUSRINI, S.Pd.</t>
  </si>
  <si>
    <t>KUN WARIYATI, S.Pd.</t>
  </si>
  <si>
    <t>MISBAKHUL MUNIR, S.Pd</t>
  </si>
  <si>
    <t>Guru</t>
  </si>
  <si>
    <t>TPG</t>
  </si>
  <si>
    <t>MOCH. ANSOR, S.Pd.</t>
  </si>
  <si>
    <t>Thn</t>
  </si>
  <si>
    <t>Tot</t>
  </si>
  <si>
    <t>JJM</t>
  </si>
  <si>
    <t>Masuk</t>
  </si>
  <si>
    <t>Skrg</t>
  </si>
  <si>
    <t>Ex. Wadir</t>
  </si>
  <si>
    <t>SOEDJOKO, S.E.</t>
  </si>
  <si>
    <t>Staf TU</t>
  </si>
  <si>
    <t>Jabatan</t>
  </si>
  <si>
    <t>Kepala Sekolah</t>
  </si>
  <si>
    <t>SMAS WACHID HASYIM 1 SURABAYA</t>
  </si>
  <si>
    <t>TAHUN PELAJARAN 2021/2022</t>
  </si>
  <si>
    <t>MK</t>
  </si>
  <si>
    <t>Tot. Gaji</t>
  </si>
  <si>
    <t>RAHMAT SUBEKI, S,Sn.</t>
  </si>
  <si>
    <t>LUQMAN AFFANDI, M.Si</t>
  </si>
  <si>
    <t>Mengetahui,</t>
  </si>
  <si>
    <t>Walas</t>
  </si>
  <si>
    <t>P. OSIS</t>
  </si>
  <si>
    <t>HDR</t>
  </si>
  <si>
    <t>PEMBAYARAN GAJI</t>
  </si>
  <si>
    <t>Bendahara Sekolah,</t>
  </si>
  <si>
    <t>Dra. ZULAIKHAH</t>
  </si>
  <si>
    <t>SMA WACHID HASYIM 1 SURABAYA</t>
  </si>
  <si>
    <t>TAHUN PELAJARAN 2021 - 2022</t>
  </si>
  <si>
    <t>RUPIAH</t>
  </si>
  <si>
    <t>TANDA TANGAN</t>
  </si>
  <si>
    <t>AHMAD SUHARDIYANTO, S.Hum</t>
  </si>
  <si>
    <t>SITI MUSYAWAROH, S.Pd.</t>
  </si>
  <si>
    <t>Wakil Kepala Sekolah</t>
  </si>
  <si>
    <t>Petgs. Pelaporan</t>
  </si>
  <si>
    <t>Keterangan Warna :</t>
  </si>
  <si>
    <t>: Guru Baru / Aturan gaji guru baru</t>
  </si>
  <si>
    <t>: Bisa diedit sesuai kondisi terbaru</t>
  </si>
  <si>
    <t xml:space="preserve">: Judul Tabel dan Total Gaji </t>
  </si>
  <si>
    <t>STTS</t>
  </si>
  <si>
    <t>No.</t>
  </si>
  <si>
    <t>Nama Guru</t>
  </si>
  <si>
    <t>INSENTIF TERKAIT LAPORAN BOS</t>
  </si>
  <si>
    <t>INPUT GAJI</t>
  </si>
  <si>
    <t>Guru Baru (0-1 Thn)</t>
  </si>
  <si>
    <t>Karyawan</t>
  </si>
  <si>
    <t>Ka. TU</t>
  </si>
  <si>
    <t>TU</t>
  </si>
  <si>
    <t>M. ZAINI, S.Pd.</t>
  </si>
  <si>
    <t>:</t>
  </si>
  <si>
    <t>Kepala Sekolah,</t>
  </si>
  <si>
    <t>Bendahara</t>
  </si>
  <si>
    <t>Drs. SUTRIMAN</t>
  </si>
  <si>
    <t>Piket</t>
  </si>
  <si>
    <t>N. Kehadiran</t>
  </si>
  <si>
    <t>JP</t>
  </si>
  <si>
    <t>T.Pkt</t>
  </si>
  <si>
    <t>SIA</t>
  </si>
  <si>
    <t>Late</t>
  </si>
  <si>
    <t>N.Late</t>
  </si>
  <si>
    <t>T.Late</t>
  </si>
  <si>
    <t>T.TH</t>
  </si>
  <si>
    <t>N.TH</t>
  </si>
  <si>
    <t>LATE</t>
  </si>
  <si>
    <t>TIDAK HADIR</t>
  </si>
  <si>
    <t>A</t>
  </si>
  <si>
    <t>Jenis</t>
  </si>
  <si>
    <t>No</t>
  </si>
  <si>
    <t>S</t>
  </si>
  <si>
    <t>I</t>
  </si>
  <si>
    <t>Nilai</t>
  </si>
  <si>
    <t>DROPDOWN</t>
  </si>
  <si>
    <t>PIMPINAN SEKOLAH</t>
  </si>
  <si>
    <t>GURU BK</t>
  </si>
  <si>
    <t>Koord.</t>
  </si>
  <si>
    <t>Lembur</t>
  </si>
  <si>
    <t>Jm</t>
  </si>
  <si>
    <t>PENDIDIK</t>
  </si>
  <si>
    <t>TENAGA KEPENDIDIKAN / UNIT TATA USAHA (TU)</t>
  </si>
  <si>
    <t>TENAGA KEPENDIDIKAN / UNIT KEBERSIHAN</t>
  </si>
  <si>
    <t>OB</t>
  </si>
  <si>
    <t>Jumlah Keseluruhan Gaji</t>
  </si>
  <si>
    <t>Kasek</t>
  </si>
  <si>
    <t>MOH. RIZQI WACHID S., S.Pd.</t>
  </si>
  <si>
    <t>Nama</t>
  </si>
  <si>
    <t>Tanggal Masuk</t>
  </si>
  <si>
    <t>Masa Kerja</t>
  </si>
  <si>
    <t>Perhitungan Baku</t>
  </si>
  <si>
    <t>Jumlah Baku</t>
  </si>
  <si>
    <t>24 Jam x Rp 1.500</t>
  </si>
  <si>
    <t>=</t>
  </si>
  <si>
    <t>Jumlah Jam masuk</t>
  </si>
  <si>
    <t>76 Jam x Rp 15.250</t>
  </si>
  <si>
    <t>0 Tahun / (Rp 61.000/Jam/Bulan)</t>
  </si>
  <si>
    <t>Total Penerimaan Januari 2022</t>
  </si>
  <si>
    <t>Guru Baru (0 dan 1 Thn)</t>
  </si>
  <si>
    <t>Sertifikasi</t>
  </si>
  <si>
    <t>Non Sertifikasi</t>
  </si>
  <si>
    <t>Rp/Jam/Bln</t>
  </si>
  <si>
    <t>Rp/Jam/hr</t>
  </si>
  <si>
    <t>INFORMASI PERHITUNGAN GAJI</t>
  </si>
  <si>
    <t>SN</t>
  </si>
  <si>
    <t>SL</t>
  </si>
  <si>
    <t>RB</t>
  </si>
  <si>
    <t>KMS</t>
  </si>
  <si>
    <t>Tanggal</t>
  </si>
  <si>
    <t>Jam</t>
  </si>
  <si>
    <t>Hari</t>
  </si>
  <si>
    <t>SB</t>
  </si>
  <si>
    <t>29-02-2022</t>
  </si>
  <si>
    <t>31-02-2022</t>
  </si>
  <si>
    <t>HADIR</t>
  </si>
  <si>
    <t>CUTI</t>
  </si>
  <si>
    <t>ACHMAD RIZKI, S.IIIP</t>
  </si>
  <si>
    <t>Librarian</t>
  </si>
  <si>
    <t>AINUR MAULUD FINA, S.Pd.</t>
  </si>
  <si>
    <t>SHOBAHUL HOIR, S.Pd., M.Pd.</t>
  </si>
  <si>
    <t>Total</t>
  </si>
  <si>
    <t>April</t>
  </si>
  <si>
    <t>Januari</t>
  </si>
  <si>
    <t>Februari</t>
  </si>
  <si>
    <t>Maret</t>
  </si>
  <si>
    <t>November</t>
  </si>
  <si>
    <t>Desember</t>
  </si>
  <si>
    <t>THR</t>
  </si>
  <si>
    <t>JENNY SRI DIANAWATI, ST., MM.</t>
  </si>
  <si>
    <t>ANI BUDIYATI, S.S.</t>
  </si>
  <si>
    <t>MARIA ULFA, S.Si.</t>
  </si>
  <si>
    <t>AFIVA DAMAS SAPUTRI, S.S.</t>
  </si>
  <si>
    <t>USULAN PEMBAYARAN THR</t>
  </si>
  <si>
    <t>Msk</t>
  </si>
  <si>
    <t>ACHMAD RIZKI, S.IIP</t>
  </si>
  <si>
    <t>MUTIARA HANY HAMDIYAH, S.Sos</t>
  </si>
  <si>
    <t>% Teknisi Listrik dan Bangunan</t>
  </si>
  <si>
    <t>%Satpam</t>
  </si>
  <si>
    <t>RT2</t>
  </si>
  <si>
    <t>Dana Toko yang dikeluarkan</t>
  </si>
  <si>
    <t>Total gaji &gt; 10 Th, 5 unit</t>
  </si>
  <si>
    <t>Total gaji &lt; 10 Th, 5 unit</t>
  </si>
  <si>
    <t>Laba Toko</t>
  </si>
  <si>
    <t>Apresiasi</t>
  </si>
  <si>
    <t>L. Toko</t>
  </si>
  <si>
    <t>Tot. L. Toko</t>
  </si>
  <si>
    <t>Total gaji &gt; 10 Th</t>
  </si>
  <si>
    <t>Total gaji &lt; 10 Th</t>
  </si>
  <si>
    <t>Tim Buku</t>
  </si>
  <si>
    <t>Kinerja</t>
  </si>
  <si>
    <t>GATOT SUGIYANTO, S.Pd.</t>
  </si>
  <si>
    <t>RT GAJI</t>
  </si>
  <si>
    <t>Guru Baru</t>
  </si>
  <si>
    <t>Guru Resign</t>
  </si>
  <si>
    <t>Skor</t>
  </si>
  <si>
    <t>BK</t>
  </si>
  <si>
    <t>Wali Kelas</t>
  </si>
  <si>
    <t>Kriteria Kinerja</t>
  </si>
  <si>
    <t>PEMBAGIAN LABA BUKU</t>
  </si>
  <si>
    <t>Jmlh</t>
  </si>
  <si>
    <t>Satpam</t>
  </si>
  <si>
    <t>Ptk Baru</t>
  </si>
  <si>
    <t>Guru/OB</t>
  </si>
  <si>
    <t>Tanda Tangan</t>
  </si>
  <si>
    <t>TAHUN 2022</t>
  </si>
  <si>
    <t>Bendahara,</t>
  </si>
  <si>
    <t>Dra. Zulaikhah</t>
  </si>
  <si>
    <t>Sadikin, S.Pd.</t>
  </si>
  <si>
    <t>TOTAL</t>
  </si>
  <si>
    <t>Guru/TK</t>
  </si>
  <si>
    <t>Surabaya, 26 April 2022</t>
  </si>
  <si>
    <t>Sadikin, SPd.</t>
  </si>
  <si>
    <t>BUKU</t>
  </si>
  <si>
    <t>Dra. WILUDJENG</t>
  </si>
  <si>
    <t>Drs. ABDUL MUJIB</t>
  </si>
  <si>
    <t>Jam / Minggu</t>
  </si>
  <si>
    <t>Jam / Bulan</t>
  </si>
  <si>
    <t>Contoh</t>
  </si>
  <si>
    <t>Pak Haris</t>
  </si>
  <si>
    <t>Asumsi x 4</t>
  </si>
  <si>
    <t>Pak Haris IZIN</t>
  </si>
  <si>
    <t>hari</t>
  </si>
  <si>
    <t>KODE</t>
  </si>
  <si>
    <t>BUNGA BANK</t>
  </si>
  <si>
    <t>TGL/BLN/TH</t>
  </si>
  <si>
    <t>Transfer BOS</t>
  </si>
  <si>
    <t>Pajak Jagir</t>
  </si>
  <si>
    <t>Pembayaran Bunga</t>
  </si>
  <si>
    <t>Biaya Administrasi Tabungan</t>
  </si>
  <si>
    <t>Kode</t>
  </si>
  <si>
    <t>Mutasi</t>
  </si>
  <si>
    <t>Keterangan</t>
  </si>
  <si>
    <t>URAIAN</t>
  </si>
  <si>
    <t>SALDO</t>
  </si>
  <si>
    <t>Kategori</t>
  </si>
  <si>
    <t>Gaji / Bulan</t>
  </si>
  <si>
    <t>Pot. Sakit/JP</t>
  </si>
  <si>
    <t>Pot. Izin/JP</t>
  </si>
  <si>
    <t>Pot. Alpha/JP</t>
  </si>
  <si>
    <t>Guru Baru (&lt;= 1 Thn)</t>
  </si>
  <si>
    <t>Non-Sertifikasi</t>
  </si>
  <si>
    <t>Contoh :</t>
  </si>
  <si>
    <t>Guru Anis, Non Sertifikasi, memiliki 34 JP/ Minggu</t>
  </si>
  <si>
    <t>Tidak masuk karena izin selama 6 JP</t>
  </si>
  <si>
    <t>Gaji yang diterima Guru Anis adalah sebagai berikut :</t>
  </si>
  <si>
    <t>TOT. JP</t>
  </si>
  <si>
    <t>= 34 JP * Rp 66,000</t>
  </si>
  <si>
    <t>IZIN</t>
  </si>
  <si>
    <t>= 6 JP * Rp 16,500</t>
  </si>
  <si>
    <t>= 2,244,000</t>
  </si>
  <si>
    <t>= 99,000</t>
  </si>
  <si>
    <t>Total Gaji yang diterima : Rp 2,145,000</t>
  </si>
  <si>
    <t>NUR SOLIM</t>
  </si>
  <si>
    <t>PERHITUNGAN BUNGA PAJAK</t>
  </si>
  <si>
    <t>ATAS DANA BOS</t>
  </si>
  <si>
    <t xml:space="preserve">PAJAK </t>
  </si>
  <si>
    <t>ENI EMILIA</t>
  </si>
  <si>
    <t>Staf Kntn</t>
  </si>
  <si>
    <t>Teknisi</t>
  </si>
  <si>
    <t>AHMAD BAIDHOWI, S.Pd.</t>
  </si>
  <si>
    <t>MOCHAMMAD THORIQ NURDIN, S.Kom.</t>
  </si>
  <si>
    <t>QURROTUN AQYUN, S.Pd.</t>
  </si>
  <si>
    <t>Voucher</t>
  </si>
  <si>
    <t>AHMAD NUR MUHAIMIN</t>
  </si>
  <si>
    <t>GILANG BAYU PRADANA</t>
  </si>
  <si>
    <t>AISYAH AMELIA</t>
  </si>
  <si>
    <t>SULISTIYANTO, S.PD.</t>
  </si>
  <si>
    <t>DONI ABRIANTO</t>
  </si>
  <si>
    <t>MISBAHUL MUNIR, S.PD.I.</t>
  </si>
  <si>
    <t xml:space="preserve">AINUN MULYASARI </t>
  </si>
  <si>
    <t>REZA FIKRI</t>
  </si>
  <si>
    <t xml:space="preserve">RISKY MAULANA </t>
  </si>
  <si>
    <t>PAMUJI, S.PD.</t>
  </si>
  <si>
    <t>BULAN : SEPTEMBER 2022</t>
  </si>
  <si>
    <t>MUTIARA HANY HAMDIYAH, S.Sosio</t>
  </si>
  <si>
    <t>DITA ROFIQA DAMAYANTI, S.Pd.</t>
  </si>
  <si>
    <t>Surabaya, 26 September 2022</t>
  </si>
  <si>
    <t>GAPOK</t>
  </si>
  <si>
    <t>Tunjangan 1</t>
  </si>
  <si>
    <t>Tunjangan 2</t>
  </si>
  <si>
    <t>Inval</t>
  </si>
  <si>
    <t>Reward</t>
  </si>
  <si>
    <t>Penyesuaian</t>
  </si>
  <si>
    <t>Waka.</t>
  </si>
  <si>
    <t>Benda</t>
  </si>
  <si>
    <t>IV</t>
  </si>
  <si>
    <t>V</t>
  </si>
  <si>
    <t>II</t>
  </si>
  <si>
    <t>Total Pendaptan</t>
  </si>
  <si>
    <t>Tek. Komp</t>
  </si>
  <si>
    <t>Total Potongan</t>
  </si>
  <si>
    <t>WH</t>
  </si>
  <si>
    <t>TH 1</t>
  </si>
  <si>
    <t>TH 2</t>
  </si>
  <si>
    <t>TH 3</t>
  </si>
  <si>
    <t>Hr. Mgg</t>
  </si>
  <si>
    <t>GURU EKSTRAKURIKULER</t>
  </si>
  <si>
    <t>Khusus</t>
  </si>
  <si>
    <t>Jurnalis</t>
  </si>
  <si>
    <t>Paskib</t>
  </si>
  <si>
    <t>Tahfidz</t>
  </si>
  <si>
    <t>Pgr. NUSA</t>
  </si>
  <si>
    <t>Futsal</t>
  </si>
  <si>
    <t>Basker</t>
  </si>
  <si>
    <t>Volly</t>
  </si>
  <si>
    <t>Pramuka</t>
  </si>
  <si>
    <t>Pub. SP</t>
  </si>
  <si>
    <t>Eng. Clb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</si>
</sst>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[$Rp-421]* #,##0_);_([$Rp-421]* \(#,##0\);_([$Rp-421]* &quot;-&quot;_);_(@_)"/>
    <numFmt numFmtId="166" formatCode="0;[Red]0"/>
    <numFmt numFmtId="168" formatCode="00"/>
  </numFmts>
  <fonts count="2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.5"/>
      <name val="Cambria"/>
      <family val="1"/>
      <scheme val="major"/>
    </font>
    <font>
      <sz val="11.5"/>
      <color theme="1"/>
      <name val="Cambria"/>
      <family val="1"/>
      <scheme val="major"/>
    </font>
    <font>
      <b/>
      <u/>
      <sz val="11.5"/>
      <name val="Cambria"/>
      <family val="1"/>
      <scheme val="major"/>
    </font>
    <font>
      <u/>
      <sz val="11.5"/>
      <name val="Cambria"/>
      <family val="1"/>
      <scheme val="major"/>
    </font>
    <font>
      <sz val="11.5"/>
      <name val="Cambria"/>
      <family val="1"/>
      <scheme val="major"/>
    </font>
    <font>
      <b/>
      <sz val="11.5"/>
      <color theme="1"/>
      <name val="Cambria"/>
      <family val="1"/>
      <scheme val="major"/>
    </font>
    <font>
      <b/>
      <u/>
      <sz val="11.5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u/>
      <sz val="11.5"/>
      <name val="Century Gothic"/>
      <family val="2"/>
    </font>
    <font>
      <sz val="11.5"/>
      <name val="Century Gothic"/>
      <family val="2"/>
    </font>
    <font>
      <sz val="11.5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u/>
      <sz val="11"/>
      <color theme="1"/>
      <name val="Century Gothic"/>
      <family val="2"/>
    </font>
    <font>
      <sz val="11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332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4" fillId="0" borderId="0" xfId="0" applyFont="1" applyFill="1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41" fontId="1" fillId="0" borderId="5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/>
    <xf numFmtId="0" fontId="2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41" fontId="2" fillId="4" borderId="5" xfId="0" applyNumberFormat="1" applyFont="1" applyFill="1" applyBorder="1" applyAlignment="1">
      <alignment vertical="center"/>
    </xf>
    <xf numFmtId="0" fontId="4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41" fontId="6" fillId="0" borderId="6" xfId="0" applyNumberFormat="1" applyFont="1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7" fontId="7" fillId="0" borderId="0" xfId="0" applyNumberFormat="1" applyFont="1" applyAlignment="1" applyProtection="1">
      <alignment vertical="center"/>
    </xf>
    <xf numFmtId="0" fontId="10" fillId="0" borderId="0" xfId="0" applyFont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165" fontId="11" fillId="0" borderId="0" xfId="0" applyNumberFormat="1" applyFont="1" applyAlignment="1" applyProtection="1">
      <alignment vertical="center"/>
    </xf>
    <xf numFmtId="165" fontId="11" fillId="0" borderId="0" xfId="0" applyNumberFormat="1" applyFont="1" applyAlignment="1" applyProtection="1">
      <alignment horizontal="center" vertical="center"/>
    </xf>
    <xf numFmtId="17" fontId="9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165" fontId="11" fillId="0" borderId="0" xfId="0" applyNumberFormat="1" applyFont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17" fontId="11" fillId="2" borderId="2" xfId="0" applyNumberFormat="1" applyFont="1" applyFill="1" applyBorder="1" applyAlignment="1">
      <alignment horizontal="center" vertical="center"/>
    </xf>
    <xf numFmtId="165" fontId="11" fillId="2" borderId="2" xfId="0" applyNumberFormat="1" applyFont="1" applyFill="1" applyBorder="1" applyAlignment="1">
      <alignment horizontal="center" vertical="center"/>
    </xf>
    <xf numFmtId="165" fontId="11" fillId="2" borderId="2" xfId="0" applyNumberFormat="1" applyFont="1" applyFill="1" applyBorder="1" applyAlignment="1">
      <alignment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 wrapText="1"/>
    </xf>
    <xf numFmtId="41" fontId="11" fillId="0" borderId="2" xfId="0" applyNumberFormat="1" applyFont="1" applyFill="1" applyBorder="1" applyAlignment="1">
      <alignment horizontal="center" vertical="center"/>
    </xf>
    <xf numFmtId="165" fontId="11" fillId="0" borderId="2" xfId="0" applyNumberFormat="1" applyFont="1" applyFill="1" applyBorder="1" applyAlignment="1">
      <alignment horizontal="center" vertical="center"/>
    </xf>
    <xf numFmtId="0" fontId="8" fillId="0" borderId="0" xfId="0" applyFont="1" applyFill="1"/>
    <xf numFmtId="166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8" fillId="0" borderId="0" xfId="0" applyFont="1" applyAlignment="1">
      <alignment horizontal="center"/>
    </xf>
    <xf numFmtId="0" fontId="12" fillId="0" borderId="0" xfId="0" applyFont="1"/>
    <xf numFmtId="0" fontId="8" fillId="2" borderId="0" xfId="0" applyFont="1" applyFill="1"/>
    <xf numFmtId="0" fontId="8" fillId="4" borderId="0" xfId="0" applyFont="1" applyFill="1"/>
    <xf numFmtId="41" fontId="8" fillId="0" borderId="0" xfId="0" applyNumberFormat="1" applyFont="1"/>
    <xf numFmtId="0" fontId="8" fillId="3" borderId="0" xfId="0" applyFont="1" applyFill="1"/>
    <xf numFmtId="0" fontId="8" fillId="0" borderId="0" xfId="0" applyFont="1" applyProtection="1"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41" fontId="8" fillId="0" borderId="0" xfId="0" applyNumberFormat="1" applyFont="1" applyBorder="1"/>
    <xf numFmtId="41" fontId="11" fillId="0" borderId="2" xfId="0" applyNumberFormat="1" applyFont="1" applyFill="1" applyBorder="1" applyAlignment="1">
      <alignment vertical="center"/>
    </xf>
    <xf numFmtId="41" fontId="11" fillId="2" borderId="2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>
      <alignment vertical="center"/>
    </xf>
    <xf numFmtId="165" fontId="11" fillId="2" borderId="2" xfId="0" applyNumberFormat="1" applyFont="1" applyFill="1" applyBorder="1" applyAlignment="1" applyProtection="1">
      <alignment horizontal="center" vertical="center"/>
      <protection locked="0"/>
    </xf>
    <xf numFmtId="41" fontId="11" fillId="2" borderId="2" xfId="0" applyNumberFormat="1" applyFont="1" applyFill="1" applyBorder="1" applyAlignment="1" applyProtection="1">
      <alignment horizontal="center" vertical="center"/>
      <protection locked="0"/>
    </xf>
    <xf numFmtId="41" fontId="11" fillId="0" borderId="2" xfId="0" applyNumberFormat="1" applyFont="1" applyFill="1" applyBorder="1" applyAlignment="1" applyProtection="1">
      <alignment horizontal="center" vertical="center"/>
    </xf>
    <xf numFmtId="41" fontId="11" fillId="0" borderId="2" xfId="0" applyNumberFormat="1" applyFont="1" applyFill="1" applyBorder="1" applyAlignment="1" applyProtection="1">
      <alignment horizontal="center" vertical="center"/>
      <protection locked="0"/>
    </xf>
    <xf numFmtId="1" fontId="11" fillId="2" borderId="2" xfId="0" applyNumberFormat="1" applyFont="1" applyFill="1" applyBorder="1" applyAlignment="1" applyProtection="1">
      <alignment horizontal="center" vertical="center"/>
      <protection locked="0"/>
    </xf>
    <xf numFmtId="41" fontId="11" fillId="0" borderId="2" xfId="0" applyNumberFormat="1" applyFont="1" applyFill="1" applyBorder="1" applyAlignment="1" applyProtection="1">
      <alignment vertical="center"/>
    </xf>
    <xf numFmtId="165" fontId="11" fillId="3" borderId="2" xfId="0" applyNumberFormat="1" applyFont="1" applyFill="1" applyBorder="1" applyAlignment="1" applyProtection="1">
      <alignment horizontal="center" vertical="center"/>
      <protection locked="0"/>
    </xf>
    <xf numFmtId="1" fontId="11" fillId="3" borderId="2" xfId="0" applyNumberFormat="1" applyFont="1" applyFill="1" applyBorder="1" applyAlignment="1" applyProtection="1">
      <alignment horizontal="center" vertical="center"/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1" fontId="11" fillId="3" borderId="2" xfId="0" applyNumberFormat="1" applyFont="1" applyFill="1" applyBorder="1" applyAlignment="1">
      <alignment horizontal="center" vertical="center"/>
    </xf>
    <xf numFmtId="41" fontId="7" fillId="2" borderId="2" xfId="0" applyNumberFormat="1" applyFont="1" applyFill="1" applyBorder="1" applyAlignment="1">
      <alignment vertical="center"/>
    </xf>
    <xf numFmtId="164" fontId="11" fillId="0" borderId="2" xfId="0" applyNumberFormat="1" applyFont="1" applyFill="1" applyBorder="1" applyAlignment="1" applyProtection="1">
      <alignment vertical="center"/>
    </xf>
    <xf numFmtId="165" fontId="11" fillId="0" borderId="2" xfId="0" applyNumberFormat="1" applyFont="1" applyFill="1" applyBorder="1" applyAlignment="1" applyProtection="1">
      <alignment vertical="center"/>
    </xf>
    <xf numFmtId="0" fontId="8" fillId="0" borderId="2" xfId="0" applyFont="1" applyFill="1" applyBorder="1" applyAlignment="1">
      <alignment horizontal="center" vertical="center"/>
    </xf>
    <xf numFmtId="0" fontId="11" fillId="0" borderId="2" xfId="0" quotePrefix="1" applyFont="1" applyFill="1" applyBorder="1" applyAlignment="1">
      <alignment horizontal="center" vertical="center"/>
    </xf>
    <xf numFmtId="17" fontId="3" fillId="0" borderId="0" xfId="0" applyNumberFormat="1" applyFont="1" applyAlignment="1">
      <alignment vertical="center"/>
    </xf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164" fontId="14" fillId="0" borderId="10" xfId="0" applyNumberFormat="1" applyFont="1" applyBorder="1"/>
    <xf numFmtId="41" fontId="14" fillId="0" borderId="0" xfId="0" applyNumberFormat="1" applyFont="1" applyBorder="1"/>
    <xf numFmtId="0" fontId="14" fillId="3" borderId="0" xfId="0" applyFont="1" applyFill="1" applyBorder="1"/>
    <xf numFmtId="0" fontId="14" fillId="3" borderId="0" xfId="0" applyFont="1" applyFill="1" applyBorder="1" applyAlignment="1">
      <alignment horizontal="center"/>
    </xf>
    <xf numFmtId="164" fontId="14" fillId="3" borderId="0" xfId="0" applyNumberFormat="1" applyFont="1" applyFill="1" applyBorder="1"/>
    <xf numFmtId="0" fontId="14" fillId="0" borderId="11" xfId="0" applyFont="1" applyBorder="1"/>
    <xf numFmtId="0" fontId="14" fillId="0" borderId="11" xfId="0" applyFont="1" applyBorder="1" applyAlignment="1">
      <alignment horizontal="center"/>
    </xf>
    <xf numFmtId="0" fontId="11" fillId="0" borderId="11" xfId="0" applyFont="1" applyFill="1" applyBorder="1" applyAlignment="1">
      <alignment vertical="center"/>
    </xf>
    <xf numFmtId="0" fontId="14" fillId="0" borderId="9" xfId="0" applyFont="1" applyBorder="1"/>
    <xf numFmtId="0" fontId="14" fillId="0" borderId="9" xfId="0" applyFont="1" applyBorder="1" applyAlignment="1">
      <alignment horizontal="center"/>
    </xf>
    <xf numFmtId="164" fontId="14" fillId="0" borderId="11" xfId="0" applyNumberFormat="1" applyFont="1" applyBorder="1"/>
    <xf numFmtId="14" fontId="14" fillId="0" borderId="9" xfId="0" applyNumberFormat="1" applyFont="1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14" fontId="14" fillId="3" borderId="9" xfId="0" applyNumberFormat="1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4" fillId="2" borderId="0" xfId="0" applyFont="1" applyFill="1" applyBorder="1"/>
    <xf numFmtId="0" fontId="14" fillId="2" borderId="0" xfId="0" applyFont="1" applyFill="1" applyBorder="1" applyAlignment="1">
      <alignment horizontal="center"/>
    </xf>
    <xf numFmtId="0" fontId="14" fillId="0" borderId="9" xfId="0" applyFont="1" applyFill="1" applyBorder="1"/>
    <xf numFmtId="0" fontId="14" fillId="0" borderId="9" xfId="0" applyFont="1" applyFill="1" applyBorder="1" applyAlignment="1">
      <alignment horizontal="center"/>
    </xf>
    <xf numFmtId="14" fontId="14" fillId="0" borderId="9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4" fontId="14" fillId="0" borderId="0" xfId="0" applyNumberFormat="1" applyFont="1" applyFill="1" applyBorder="1" applyAlignment="1">
      <alignment horizontal="center"/>
    </xf>
    <xf numFmtId="0" fontId="14" fillId="8" borderId="9" xfId="0" applyFont="1" applyFill="1" applyBorder="1" applyAlignment="1">
      <alignment horizontal="center"/>
    </xf>
    <xf numFmtId="0" fontId="14" fillId="11" borderId="9" xfId="0" applyFont="1" applyFill="1" applyBorder="1" applyAlignment="1">
      <alignment horizontal="center"/>
    </xf>
    <xf numFmtId="41" fontId="14" fillId="0" borderId="0" xfId="0" applyNumberFormat="1" applyFont="1" applyBorder="1" applyAlignment="1">
      <alignment horizontal="center"/>
    </xf>
    <xf numFmtId="41" fontId="11" fillId="10" borderId="2" xfId="0" applyNumberFormat="1" applyFont="1" applyFill="1" applyBorder="1" applyAlignment="1">
      <alignment horizontal="center" vertical="center"/>
    </xf>
    <xf numFmtId="41" fontId="9" fillId="0" borderId="0" xfId="0" applyNumberFormat="1" applyFont="1" applyAlignment="1">
      <alignment vertical="center"/>
    </xf>
    <xf numFmtId="0" fontId="11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right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166" fontId="11" fillId="0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16" fillId="0" borderId="0" xfId="0" applyNumberFormat="1" applyFont="1" applyAlignment="1" applyProtection="1">
      <alignment vertical="center"/>
    </xf>
    <xf numFmtId="0" fontId="15" fillId="0" borderId="0" xfId="0" applyNumberFormat="1" applyFont="1" applyAlignment="1" applyProtection="1">
      <alignment vertical="center"/>
    </xf>
    <xf numFmtId="0" fontId="15" fillId="0" borderId="0" xfId="0" applyNumberFormat="1" applyFont="1" applyAlignment="1" applyProtection="1">
      <alignment horizontal="center" vertical="center"/>
    </xf>
    <xf numFmtId="0" fontId="16" fillId="0" borderId="0" xfId="0" applyNumberFormat="1" applyFont="1" applyAlignment="1" applyProtection="1">
      <alignment horizontal="center" vertical="center"/>
    </xf>
    <xf numFmtId="9" fontId="16" fillId="0" borderId="0" xfId="0" applyNumberFormat="1" applyFont="1" applyAlignment="1" applyProtection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41" fontId="8" fillId="0" borderId="2" xfId="0" applyNumberFormat="1" applyFont="1" applyBorder="1" applyAlignment="1">
      <alignment horizontal="center"/>
    </xf>
    <xf numFmtId="0" fontId="16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41" fontId="16" fillId="0" borderId="2" xfId="0" applyNumberFormat="1" applyFont="1" applyFill="1" applyBorder="1" applyAlignment="1">
      <alignment horizontal="center" vertical="center"/>
    </xf>
    <xf numFmtId="41" fontId="16" fillId="0" borderId="0" xfId="0" applyNumberFormat="1" applyFont="1" applyAlignment="1" applyProtection="1">
      <alignment horizontal="center" vertical="center"/>
    </xf>
    <xf numFmtId="0" fontId="16" fillId="0" borderId="0" xfId="0" applyNumberFormat="1" applyFont="1" applyAlignment="1" applyProtection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 wrapText="1"/>
    </xf>
    <xf numFmtId="41" fontId="16" fillId="0" borderId="0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left" vertical="center"/>
    </xf>
    <xf numFmtId="41" fontId="16" fillId="2" borderId="2" xfId="0" applyNumberFormat="1" applyFont="1" applyFill="1" applyBorder="1" applyAlignment="1">
      <alignment horizontal="center" vertical="center"/>
    </xf>
    <xf numFmtId="0" fontId="16" fillId="0" borderId="9" xfId="0" applyNumberFormat="1" applyFont="1" applyBorder="1" applyAlignment="1" applyProtection="1">
      <alignment horizontal="center" vertical="center"/>
    </xf>
    <xf numFmtId="0" fontId="16" fillId="0" borderId="9" xfId="0" applyNumberFormat="1" applyFont="1" applyBorder="1" applyAlignment="1" applyProtection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41" fontId="18" fillId="0" borderId="0" xfId="0" applyNumberFormat="1" applyFont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41" fontId="16" fillId="0" borderId="1" xfId="0" applyNumberFormat="1" applyFont="1" applyFill="1" applyBorder="1" applyAlignment="1">
      <alignment horizontal="center" vertical="center"/>
    </xf>
    <xf numFmtId="41" fontId="18" fillId="0" borderId="1" xfId="0" applyNumberFormat="1" applyFont="1" applyBorder="1" applyAlignment="1">
      <alignment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41" fontId="18" fillId="10" borderId="1" xfId="0" applyNumberFormat="1" applyFont="1" applyFill="1" applyBorder="1" applyAlignment="1">
      <alignment vertical="center"/>
    </xf>
    <xf numFmtId="0" fontId="18" fillId="2" borderId="0" xfId="0" applyFont="1" applyFill="1" applyBorder="1" applyAlignment="1">
      <alignment horizontal="center" vertical="center"/>
    </xf>
    <xf numFmtId="1" fontId="18" fillId="10" borderId="1" xfId="0" applyNumberFormat="1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9" xfId="0" applyFont="1" applyBorder="1" applyAlignment="1">
      <alignment vertical="center"/>
    </xf>
    <xf numFmtId="0" fontId="18" fillId="10" borderId="9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vertical="center"/>
    </xf>
    <xf numFmtId="41" fontId="18" fillId="3" borderId="16" xfId="0" applyNumberFormat="1" applyFont="1" applyFill="1" applyBorder="1" applyAlignment="1">
      <alignment horizontal="center" vertical="center"/>
    </xf>
    <xf numFmtId="37" fontId="18" fillId="3" borderId="16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41" fontId="16" fillId="3" borderId="1" xfId="0" applyNumberFormat="1" applyFont="1" applyFill="1" applyBorder="1" applyAlignment="1">
      <alignment vertical="center"/>
    </xf>
    <xf numFmtId="41" fontId="16" fillId="3" borderId="1" xfId="0" applyNumberFormat="1" applyFont="1" applyFill="1" applyBorder="1" applyAlignment="1">
      <alignment horizontal="center" vertical="center"/>
    </xf>
    <xf numFmtId="41" fontId="16" fillId="0" borderId="0" xfId="0" applyNumberFormat="1" applyFont="1" applyFill="1" applyBorder="1" applyAlignment="1">
      <alignment horizontal="left" vertical="center"/>
    </xf>
    <xf numFmtId="0" fontId="18" fillId="0" borderId="2" xfId="0" applyFont="1" applyBorder="1" applyAlignment="1">
      <alignment vertical="center"/>
    </xf>
    <xf numFmtId="41" fontId="18" fillId="0" borderId="2" xfId="0" applyNumberFormat="1" applyFont="1" applyBorder="1" applyAlignment="1">
      <alignment horizontal="center" vertical="center"/>
    </xf>
    <xf numFmtId="41" fontId="18" fillId="2" borderId="1" xfId="0" applyNumberFormat="1" applyFont="1" applyFill="1" applyBorder="1" applyAlignment="1">
      <alignment vertical="center"/>
    </xf>
    <xf numFmtId="0" fontId="18" fillId="0" borderId="0" xfId="0" applyFont="1" applyAlignment="1">
      <alignment horizontal="center" vertical="center"/>
    </xf>
    <xf numFmtId="41" fontId="18" fillId="0" borderId="2" xfId="0" applyNumberFormat="1" applyFont="1" applyFill="1" applyBorder="1" applyAlignment="1">
      <alignment horizontal="center" vertical="center"/>
    </xf>
    <xf numFmtId="41" fontId="18" fillId="0" borderId="1" xfId="0" applyNumberFormat="1" applyFont="1" applyFill="1" applyBorder="1" applyAlignment="1">
      <alignment vertical="center"/>
    </xf>
    <xf numFmtId="1" fontId="18" fillId="0" borderId="1" xfId="0" applyNumberFormat="1" applyFont="1" applyFill="1" applyBorder="1" applyAlignment="1">
      <alignment horizontal="center" vertical="center"/>
    </xf>
    <xf numFmtId="41" fontId="16" fillId="3" borderId="2" xfId="0" applyNumberFormat="1" applyFont="1" applyFill="1" applyBorder="1" applyAlignment="1">
      <alignment horizontal="center" vertical="center"/>
    </xf>
    <xf numFmtId="41" fontId="18" fillId="3" borderId="1" xfId="0" applyNumberFormat="1" applyFont="1" applyFill="1" applyBorder="1" applyAlignment="1">
      <alignment vertical="center"/>
    </xf>
    <xf numFmtId="41" fontId="16" fillId="2" borderId="1" xfId="0" applyNumberFormat="1" applyFont="1" applyFill="1" applyBorder="1" applyAlignment="1">
      <alignment horizontal="center" vertical="center"/>
    </xf>
    <xf numFmtId="41" fontId="16" fillId="3" borderId="0" xfId="0" applyNumberFormat="1" applyFont="1" applyFill="1" applyBorder="1" applyAlignment="1">
      <alignment horizontal="center" vertical="center"/>
    </xf>
    <xf numFmtId="41" fontId="16" fillId="2" borderId="0" xfId="0" applyNumberFormat="1" applyFont="1" applyFill="1" applyBorder="1" applyAlignment="1">
      <alignment horizontal="center" vertical="center"/>
    </xf>
    <xf numFmtId="41" fontId="16" fillId="11" borderId="2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1" fontId="16" fillId="0" borderId="0" xfId="0" applyNumberFormat="1" applyFont="1" applyAlignment="1" applyProtection="1">
      <alignment horizontal="center" vertical="center"/>
    </xf>
    <xf numFmtId="0" fontId="16" fillId="0" borderId="0" xfId="0" applyNumberFormat="1" applyFont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41" fontId="18" fillId="0" borderId="9" xfId="0" applyNumberFormat="1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41" fontId="18" fillId="0" borderId="0" xfId="0" applyNumberFormat="1" applyFont="1" applyFill="1" applyAlignment="1">
      <alignment vertical="center"/>
    </xf>
    <xf numFmtId="41" fontId="18" fillId="6" borderId="2" xfId="0" applyNumberFormat="1" applyFont="1" applyFill="1" applyBorder="1" applyAlignment="1">
      <alignment horizontal="center" vertical="center"/>
    </xf>
    <xf numFmtId="41" fontId="18" fillId="6" borderId="1" xfId="0" applyNumberFormat="1" applyFont="1" applyFill="1" applyBorder="1" applyAlignment="1">
      <alignment vertical="center"/>
    </xf>
    <xf numFmtId="0" fontId="18" fillId="0" borderId="1" xfId="0" applyNumberFormat="1" applyFont="1" applyBorder="1" applyAlignment="1">
      <alignment horizontal="left" vertical="center"/>
    </xf>
    <xf numFmtId="0" fontId="18" fillId="0" borderId="1" xfId="0" applyNumberFormat="1" applyFont="1" applyBorder="1" applyAlignment="1">
      <alignment horizontal="center" vertical="center"/>
    </xf>
    <xf numFmtId="0" fontId="18" fillId="3" borderId="1" xfId="0" applyFont="1" applyFill="1" applyBorder="1" applyAlignment="1">
      <alignment vertical="center"/>
    </xf>
    <xf numFmtId="41" fontId="18" fillId="3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165" fontId="11" fillId="2" borderId="2" xfId="0" applyNumberFormat="1" applyFont="1" applyFill="1" applyBorder="1" applyAlignment="1">
      <alignment horizontal="center" vertical="center"/>
    </xf>
    <xf numFmtId="41" fontId="14" fillId="3" borderId="0" xfId="0" applyNumberFormat="1" applyFont="1" applyFill="1" applyBorder="1"/>
    <xf numFmtId="0" fontId="14" fillId="6" borderId="0" xfId="0" applyFont="1" applyFill="1" applyBorder="1"/>
    <xf numFmtId="41" fontId="14" fillId="6" borderId="0" xfId="0" applyNumberFormat="1" applyFont="1" applyFill="1" applyBorder="1"/>
    <xf numFmtId="41" fontId="14" fillId="2" borderId="0" xfId="0" applyNumberFormat="1" applyFont="1" applyFill="1" applyBorder="1"/>
    <xf numFmtId="41" fontId="14" fillId="0" borderId="0" xfId="0" applyNumberFormat="1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1" fillId="0" borderId="2" xfId="0" applyNumberFormat="1" applyFont="1" applyFill="1" applyBorder="1" applyAlignment="1">
      <alignment horizontal="center" vertical="center"/>
    </xf>
    <xf numFmtId="0" fontId="18" fillId="0" borderId="0" xfId="0" applyFont="1"/>
    <xf numFmtId="43" fontId="18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9" xfId="0" applyFont="1" applyBorder="1" applyAlignment="1">
      <alignment horizontal="center"/>
    </xf>
    <xf numFmtId="43" fontId="18" fillId="0" borderId="9" xfId="0" applyNumberFormat="1" applyFont="1" applyBorder="1" applyAlignment="1">
      <alignment horizontal="center"/>
    </xf>
    <xf numFmtId="1" fontId="18" fillId="0" borderId="9" xfId="0" applyNumberFormat="1" applyFont="1" applyBorder="1" applyAlignment="1">
      <alignment horizontal="center"/>
    </xf>
    <xf numFmtId="168" fontId="18" fillId="0" borderId="9" xfId="0" applyNumberFormat="1" applyFont="1" applyBorder="1" applyAlignment="1">
      <alignment horizontal="center"/>
    </xf>
    <xf numFmtId="43" fontId="18" fillId="0" borderId="9" xfId="0" applyNumberFormat="1" applyFont="1" applyBorder="1"/>
    <xf numFmtId="0" fontId="18" fillId="0" borderId="9" xfId="0" applyFont="1" applyBorder="1"/>
    <xf numFmtId="43" fontId="18" fillId="3" borderId="9" xfId="0" applyNumberFormat="1" applyFont="1" applyFill="1" applyBorder="1"/>
    <xf numFmtId="0" fontId="18" fillId="10" borderId="9" xfId="0" applyFont="1" applyFill="1" applyBorder="1" applyAlignment="1">
      <alignment horizontal="center"/>
    </xf>
    <xf numFmtId="0" fontId="18" fillId="10" borderId="9" xfId="0" applyFont="1" applyFill="1" applyBorder="1"/>
    <xf numFmtId="43" fontId="18" fillId="10" borderId="9" xfId="0" applyNumberFormat="1" applyFont="1" applyFill="1" applyBorder="1"/>
    <xf numFmtId="14" fontId="18" fillId="0" borderId="9" xfId="0" applyNumberFormat="1" applyFont="1" applyBorder="1"/>
    <xf numFmtId="2" fontId="18" fillId="0" borderId="9" xfId="0" applyNumberFormat="1" applyFont="1" applyBorder="1"/>
    <xf numFmtId="43" fontId="18" fillId="2" borderId="9" xfId="0" applyNumberFormat="1" applyFont="1" applyFill="1" applyBorder="1"/>
    <xf numFmtId="41" fontId="18" fillId="0" borderId="9" xfId="0" applyNumberFormat="1" applyFont="1" applyBorder="1" applyAlignment="1">
      <alignment horizontal="center"/>
    </xf>
    <xf numFmtId="41" fontId="18" fillId="0" borderId="9" xfId="0" applyNumberFormat="1" applyFont="1" applyBorder="1"/>
    <xf numFmtId="0" fontId="18" fillId="0" borderId="0" xfId="0" quotePrefix="1" applyFont="1"/>
    <xf numFmtId="0" fontId="18" fillId="3" borderId="0" xfId="0" applyFont="1" applyFill="1"/>
    <xf numFmtId="0" fontId="18" fillId="0" borderId="9" xfId="0" applyFont="1" applyBorder="1" applyAlignment="1">
      <alignment horizontal="center"/>
    </xf>
    <xf numFmtId="43" fontId="18" fillId="0" borderId="9" xfId="0" applyNumberFormat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43" fontId="18" fillId="0" borderId="9" xfId="0" applyNumberFormat="1" applyFont="1" applyBorder="1" applyAlignment="1">
      <alignment horizontal="center"/>
    </xf>
    <xf numFmtId="43" fontId="18" fillId="0" borderId="9" xfId="0" applyNumberFormat="1" applyFont="1" applyFill="1" applyBorder="1"/>
    <xf numFmtId="1" fontId="11" fillId="0" borderId="2" xfId="0" applyNumberFormat="1" applyFont="1" applyFill="1" applyBorder="1" applyAlignment="1">
      <alignment horizontal="center" vertical="center"/>
    </xf>
    <xf numFmtId="17" fontId="11" fillId="2" borderId="2" xfId="0" applyNumberFormat="1" applyFont="1" applyFill="1" applyBorder="1" applyAlignment="1">
      <alignment horizontal="center" vertical="center"/>
    </xf>
    <xf numFmtId="165" fontId="11" fillId="2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17" fontId="11" fillId="2" borderId="19" xfId="0" applyNumberFormat="1" applyFont="1" applyFill="1" applyBorder="1" applyAlignment="1">
      <alignment horizontal="center" vertical="center"/>
    </xf>
    <xf numFmtId="17" fontId="11" fillId="2" borderId="20" xfId="0" applyNumberFormat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165" fontId="11" fillId="2" borderId="3" xfId="0" applyNumberFormat="1" applyFont="1" applyFill="1" applyBorder="1" applyAlignment="1">
      <alignment horizontal="center" vertical="center"/>
    </xf>
    <xf numFmtId="165" fontId="11" fillId="2" borderId="7" xfId="0" applyNumberFormat="1" applyFont="1" applyFill="1" applyBorder="1" applyAlignment="1">
      <alignment horizontal="center" vertical="center"/>
    </xf>
    <xf numFmtId="165" fontId="11" fillId="2" borderId="4" xfId="0" applyNumberFormat="1" applyFont="1" applyFill="1" applyBorder="1" applyAlignment="1">
      <alignment horizontal="center" vertical="center"/>
    </xf>
    <xf numFmtId="17" fontId="11" fillId="2" borderId="2" xfId="0" applyNumberFormat="1" applyFont="1" applyFill="1" applyBorder="1" applyAlignment="1">
      <alignment horizontal="center" vertical="center"/>
    </xf>
    <xf numFmtId="0" fontId="11" fillId="2" borderId="2" xfId="0" applyNumberFormat="1" applyFont="1" applyFill="1" applyBorder="1" applyAlignment="1">
      <alignment horizontal="center" vertical="center"/>
    </xf>
    <xf numFmtId="165" fontId="11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right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0" fontId="18" fillId="0" borderId="9" xfId="0" applyFont="1" applyBorder="1" applyAlignment="1">
      <alignment horizontal="center"/>
    </xf>
    <xf numFmtId="43" fontId="18" fillId="0" borderId="9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1" xfId="0" applyFont="1" applyBorder="1" applyAlignment="1">
      <alignment horizontal="center"/>
    </xf>
    <xf numFmtId="17" fontId="11" fillId="2" borderId="12" xfId="0" applyNumberFormat="1" applyFont="1" applyFill="1" applyBorder="1" applyAlignment="1">
      <alignment horizontal="center" vertical="center"/>
    </xf>
    <xf numFmtId="17" fontId="11" fillId="2" borderId="13" xfId="0" applyNumberFormat="1" applyFont="1" applyFill="1" applyBorder="1" applyAlignment="1">
      <alignment horizontal="center" vertical="center"/>
    </xf>
    <xf numFmtId="41" fontId="16" fillId="0" borderId="0" xfId="0" applyNumberFormat="1" applyFont="1" applyAlignment="1" applyProtection="1">
      <alignment horizontal="center" vertical="center"/>
    </xf>
    <xf numFmtId="0" fontId="16" fillId="0" borderId="0" xfId="0" applyNumberFormat="1" applyFont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41" fontId="16" fillId="0" borderId="9" xfId="0" applyNumberFormat="1" applyFont="1" applyBorder="1" applyAlignment="1" applyProtection="1">
      <alignment horizontal="center" vertical="center"/>
    </xf>
    <xf numFmtId="0" fontId="16" fillId="0" borderId="9" xfId="0" applyNumberFormat="1" applyFont="1" applyBorder="1" applyAlignment="1" applyProtection="1">
      <alignment horizontal="right" vertical="center"/>
    </xf>
    <xf numFmtId="0" fontId="20" fillId="0" borderId="0" xfId="0" applyFont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0" fontId="18" fillId="3" borderId="18" xfId="0" applyFont="1" applyFill="1" applyBorder="1" applyAlignment="1">
      <alignment horizontal="center" vertical="center"/>
    </xf>
    <xf numFmtId="165" fontId="11" fillId="0" borderId="0" xfId="0" applyNumberFormat="1" applyFont="1" applyFill="1" applyAlignment="1" applyProtection="1">
      <alignment vertical="center"/>
    </xf>
    <xf numFmtId="165" fontId="11" fillId="0" borderId="0" xfId="0" applyNumberFormat="1" applyFont="1" applyFill="1" applyAlignment="1" applyProtection="1">
      <alignment horizontal="center" vertical="center"/>
    </xf>
    <xf numFmtId="165" fontId="11" fillId="13" borderId="2" xfId="0" applyNumberFormat="1" applyFont="1" applyFill="1" applyBorder="1" applyAlignment="1">
      <alignment horizontal="center" vertical="center"/>
    </xf>
    <xf numFmtId="165" fontId="11" fillId="5" borderId="2" xfId="0" applyNumberFormat="1" applyFont="1" applyFill="1" applyBorder="1" applyAlignment="1">
      <alignment horizontal="center" vertical="center"/>
    </xf>
    <xf numFmtId="165" fontId="11" fillId="14" borderId="2" xfId="0" applyNumberFormat="1" applyFont="1" applyFill="1" applyBorder="1" applyAlignment="1">
      <alignment horizontal="center" vertical="center"/>
    </xf>
    <xf numFmtId="165" fontId="11" fillId="15" borderId="2" xfId="0" applyNumberFormat="1" applyFont="1" applyFill="1" applyBorder="1" applyAlignment="1">
      <alignment horizontal="center" vertical="center"/>
    </xf>
    <xf numFmtId="165" fontId="11" fillId="15" borderId="2" xfId="0" applyNumberFormat="1" applyFont="1" applyFill="1" applyBorder="1" applyAlignment="1">
      <alignment vertical="center"/>
    </xf>
    <xf numFmtId="165" fontId="11" fillId="13" borderId="4" xfId="0" applyNumberFormat="1" applyFont="1" applyFill="1" applyBorder="1" applyAlignment="1">
      <alignment horizontal="center" vertical="center"/>
    </xf>
    <xf numFmtId="41" fontId="11" fillId="13" borderId="2" xfId="0" applyNumberFormat="1" applyFont="1" applyFill="1" applyBorder="1" applyAlignment="1">
      <alignment vertical="center"/>
    </xf>
    <xf numFmtId="165" fontId="11" fillId="5" borderId="4" xfId="0" applyNumberFormat="1" applyFont="1" applyFill="1" applyBorder="1" applyAlignment="1">
      <alignment horizontal="center" vertical="center"/>
    </xf>
    <xf numFmtId="41" fontId="11" fillId="5" borderId="2" xfId="0" applyNumberFormat="1" applyFont="1" applyFill="1" applyBorder="1" applyAlignment="1">
      <alignment vertical="center"/>
    </xf>
    <xf numFmtId="165" fontId="11" fillId="14" borderId="4" xfId="0" applyNumberFormat="1" applyFont="1" applyFill="1" applyBorder="1" applyAlignment="1">
      <alignment horizontal="center" vertical="center"/>
    </xf>
    <xf numFmtId="41" fontId="11" fillId="14" borderId="2" xfId="0" applyNumberFormat="1" applyFont="1" applyFill="1" applyBorder="1" applyAlignment="1">
      <alignment vertical="center"/>
    </xf>
    <xf numFmtId="0" fontId="7" fillId="2" borderId="19" xfId="0" applyFont="1" applyFill="1" applyBorder="1" applyAlignment="1">
      <alignment vertical="center"/>
    </xf>
    <xf numFmtId="0" fontId="11" fillId="2" borderId="19" xfId="0" applyFont="1" applyFill="1" applyBorder="1" applyAlignment="1">
      <alignment horizontal="center" vertical="center" wrapText="1"/>
    </xf>
    <xf numFmtId="165" fontId="11" fillId="2" borderId="19" xfId="0" applyNumberFormat="1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vertical="center"/>
    </xf>
    <xf numFmtId="0" fontId="11" fillId="2" borderId="20" xfId="0" applyFont="1" applyFill="1" applyBorder="1" applyAlignment="1">
      <alignment horizontal="center" vertical="center" wrapText="1"/>
    </xf>
    <xf numFmtId="165" fontId="11" fillId="2" borderId="20" xfId="0" applyNumberFormat="1" applyFont="1" applyFill="1" applyBorder="1" applyAlignment="1">
      <alignment horizontal="center" vertical="center"/>
    </xf>
    <xf numFmtId="165" fontId="11" fillId="0" borderId="2" xfId="0" applyNumberFormat="1" applyFont="1" applyFill="1" applyBorder="1" applyAlignment="1">
      <alignment horizontal="left" vertical="center"/>
    </xf>
    <xf numFmtId="165" fontId="11" fillId="15" borderId="2" xfId="0" applyNumberFormat="1" applyFont="1" applyFill="1" applyBorder="1" applyAlignment="1">
      <alignment horizontal="center" vertical="center"/>
    </xf>
    <xf numFmtId="41" fontId="11" fillId="12" borderId="2" xfId="0" applyNumberFormat="1" applyFont="1" applyFill="1" applyBorder="1" applyAlignment="1">
      <alignment horizontal="center" vertical="center"/>
    </xf>
    <xf numFmtId="17" fontId="11" fillId="12" borderId="19" xfId="0" applyNumberFormat="1" applyFont="1" applyFill="1" applyBorder="1" applyAlignment="1">
      <alignment horizontal="center" vertical="center"/>
    </xf>
    <xf numFmtId="17" fontId="11" fillId="12" borderId="20" xfId="0" applyNumberFormat="1" applyFont="1" applyFill="1" applyBorder="1" applyAlignment="1">
      <alignment horizontal="center" vertical="center"/>
    </xf>
    <xf numFmtId="17" fontId="11" fillId="16" borderId="19" xfId="0" applyNumberFormat="1" applyFont="1" applyFill="1" applyBorder="1" applyAlignment="1">
      <alignment horizontal="center" vertical="center"/>
    </xf>
    <xf numFmtId="17" fontId="11" fillId="16" borderId="20" xfId="0" applyNumberFormat="1" applyFont="1" applyFill="1" applyBorder="1" applyAlignment="1">
      <alignment horizontal="center" vertical="center"/>
    </xf>
    <xf numFmtId="41" fontId="11" fillId="16" borderId="2" xfId="0" applyNumberFormat="1" applyFont="1" applyFill="1" applyBorder="1" applyAlignment="1">
      <alignment horizontal="center" vertical="center"/>
    </xf>
    <xf numFmtId="1" fontId="11" fillId="17" borderId="2" xfId="0" applyNumberFormat="1" applyFont="1" applyFill="1" applyBorder="1" applyAlignment="1" applyProtection="1">
      <alignment horizontal="center" vertical="center"/>
      <protection locked="0"/>
    </xf>
    <xf numFmtId="41" fontId="11" fillId="17" borderId="2" xfId="0" applyNumberFormat="1" applyFont="1" applyFill="1" applyBorder="1" applyAlignment="1" applyProtection="1">
      <alignment vertical="center"/>
    </xf>
    <xf numFmtId="165" fontId="11" fillId="17" borderId="2" xfId="0" applyNumberFormat="1" applyFont="1" applyFill="1" applyBorder="1" applyAlignment="1" applyProtection="1">
      <alignment horizontal="center" vertical="center"/>
      <protection locked="0"/>
    </xf>
    <xf numFmtId="41" fontId="11" fillId="17" borderId="2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6"/>
  <sheetViews>
    <sheetView tabSelected="1" view="pageBreakPreview" topLeftCell="C1" zoomScale="70" zoomScaleNormal="110" zoomScaleSheetLayoutView="70" workbookViewId="0">
      <selection activeCell="AK24" sqref="AK24"/>
    </sheetView>
  </sheetViews>
  <sheetFormatPr defaultRowHeight="14.25" x14ac:dyDescent="0.2"/>
  <cols>
    <col min="1" max="1" width="4.28515625" style="33" customWidth="1"/>
    <col min="2" max="2" width="40.42578125" style="33" bestFit="1" customWidth="1"/>
    <col min="3" max="3" width="10.140625" style="33" customWidth="1"/>
    <col min="4" max="4" width="7" style="62" customWidth="1"/>
    <col min="5" max="5" width="5.85546875" style="62" customWidth="1"/>
    <col min="6" max="6" width="4.85546875" style="33" customWidth="1"/>
    <col min="7" max="8" width="5" style="62" customWidth="1"/>
    <col min="9" max="9" width="8.85546875" style="33" bestFit="1" customWidth="1"/>
    <col min="10" max="10" width="10.85546875" style="33" customWidth="1"/>
    <col min="11" max="11" width="9.28515625" style="33" customWidth="1"/>
    <col min="12" max="12" width="12.5703125" style="33" bestFit="1" customWidth="1"/>
    <col min="13" max="13" width="10.85546875" style="33" bestFit="1" customWidth="1"/>
    <col min="14" max="14" width="9.42578125" style="33" bestFit="1" customWidth="1"/>
    <col min="15" max="15" width="10.7109375" style="33" bestFit="1" customWidth="1"/>
    <col min="16" max="16" width="12.28515625" style="33" bestFit="1" customWidth="1"/>
    <col min="17" max="17" width="4.7109375" style="33" customWidth="1"/>
    <col min="18" max="18" width="10" style="33" bestFit="1" customWidth="1"/>
    <col min="19" max="19" width="5.28515625" style="33" customWidth="1"/>
    <col min="20" max="20" width="10" style="33" bestFit="1" customWidth="1"/>
    <col min="21" max="21" width="6" style="62" bestFit="1" customWidth="1"/>
    <col min="22" max="22" width="11.42578125" style="33" customWidth="1"/>
    <col min="23" max="23" width="14.140625" style="33" bestFit="1" customWidth="1"/>
    <col min="24" max="24" width="17.7109375" style="33" bestFit="1" customWidth="1"/>
    <col min="25" max="25" width="4.7109375" style="62" customWidth="1"/>
    <col min="26" max="26" width="9.28515625" style="33" customWidth="1"/>
    <col min="27" max="27" width="10.42578125" style="33" bestFit="1" customWidth="1"/>
    <col min="28" max="28" width="4.7109375" style="62" customWidth="1"/>
    <col min="29" max="29" width="5.85546875" style="33" customWidth="1"/>
    <col min="30" max="30" width="10.42578125" style="62" bestFit="1" customWidth="1"/>
    <col min="31" max="31" width="10.85546875" style="33" customWidth="1"/>
    <col min="32" max="32" width="4.7109375" style="62" customWidth="1"/>
    <col min="33" max="33" width="5.85546875" style="33" customWidth="1"/>
    <col min="34" max="34" width="9.28515625" style="62" customWidth="1"/>
    <col min="35" max="35" width="10.85546875" style="33" customWidth="1"/>
    <col min="36" max="36" width="4.7109375" style="62" customWidth="1"/>
    <col min="37" max="37" width="5.85546875" style="33" customWidth="1"/>
    <col min="38" max="38" width="9.28515625" style="62" customWidth="1"/>
    <col min="39" max="39" width="10.85546875" style="33" customWidth="1"/>
    <col min="40" max="40" width="17.7109375" style="33" bestFit="1" customWidth="1"/>
    <col min="41" max="41" width="7.140625" style="62" customWidth="1"/>
    <col min="42" max="42" width="10.85546875" style="62" customWidth="1"/>
    <col min="43" max="43" width="17.28515625" style="33" bestFit="1" customWidth="1"/>
    <col min="44" max="44" width="13.42578125" style="33" bestFit="1" customWidth="1"/>
    <col min="45" max="16384" width="9.140625" style="33"/>
  </cols>
  <sheetData>
    <row r="1" spans="1:44" x14ac:dyDescent="0.2">
      <c r="A1" s="31" t="s">
        <v>74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2"/>
      <c r="V1" s="31"/>
      <c r="W1" s="31"/>
      <c r="X1" s="31"/>
      <c r="Y1" s="32"/>
      <c r="Z1" s="31"/>
      <c r="AA1" s="31"/>
      <c r="AB1" s="32"/>
      <c r="AC1" s="31"/>
      <c r="AD1" s="32"/>
      <c r="AE1" s="31"/>
      <c r="AF1" s="32"/>
      <c r="AG1" s="31"/>
      <c r="AH1" s="32"/>
      <c r="AI1" s="31"/>
      <c r="AJ1" s="32"/>
      <c r="AK1" s="31"/>
      <c r="AL1" s="32"/>
      <c r="AM1" s="31"/>
      <c r="AN1" s="31"/>
      <c r="AO1" s="31"/>
      <c r="AP1" s="31"/>
      <c r="AQ1" s="31"/>
      <c r="AR1" s="31"/>
    </row>
    <row r="2" spans="1:44" x14ac:dyDescent="0.2">
      <c r="A2" s="31" t="s">
        <v>64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2"/>
      <c r="V2" s="31"/>
      <c r="W2" s="31"/>
      <c r="X2" s="31"/>
      <c r="Y2" s="32"/>
      <c r="Z2" s="31"/>
      <c r="AA2" s="31"/>
      <c r="AB2" s="32"/>
      <c r="AC2" s="31"/>
      <c r="AD2" s="32"/>
      <c r="AE2" s="31"/>
      <c r="AF2" s="32"/>
      <c r="AG2" s="31"/>
      <c r="AH2" s="32"/>
      <c r="AI2" s="31"/>
      <c r="AJ2" s="32"/>
      <c r="AK2" s="31"/>
      <c r="AL2" s="32"/>
      <c r="AM2" s="31"/>
      <c r="AN2" s="31"/>
      <c r="AO2" s="31"/>
      <c r="AP2" s="31"/>
      <c r="AQ2" s="31"/>
      <c r="AR2" s="31"/>
    </row>
    <row r="3" spans="1:44" ht="15.75" customHeight="1" x14ac:dyDescent="0.2">
      <c r="A3" s="34" t="s">
        <v>65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5"/>
      <c r="V3" s="124"/>
      <c r="W3" s="124"/>
      <c r="X3" s="124"/>
      <c r="Y3" s="35"/>
      <c r="Z3" s="34"/>
      <c r="AA3" s="34"/>
      <c r="AB3" s="35"/>
      <c r="AC3" s="34"/>
      <c r="AD3" s="35"/>
      <c r="AE3" s="34"/>
      <c r="AF3" s="35"/>
      <c r="AG3" s="34"/>
      <c r="AH3" s="35"/>
      <c r="AI3" s="34"/>
      <c r="AJ3" s="35"/>
      <c r="AK3" s="34"/>
      <c r="AL3" s="35"/>
      <c r="AM3" s="34"/>
      <c r="AN3" s="124"/>
      <c r="AO3" s="34"/>
      <c r="AP3" s="34"/>
      <c r="AQ3" s="34"/>
      <c r="AR3" s="34"/>
    </row>
    <row r="4" spans="1:44" x14ac:dyDescent="0.2">
      <c r="A4" s="36" t="s">
        <v>280</v>
      </c>
      <c r="B4" s="37"/>
      <c r="C4" s="37"/>
      <c r="D4" s="38"/>
      <c r="E4" s="38"/>
      <c r="F4" s="39"/>
      <c r="G4" s="38"/>
      <c r="H4" s="38"/>
      <c r="I4" s="39"/>
      <c r="J4" s="39"/>
      <c r="K4" s="39"/>
      <c r="L4" s="39"/>
      <c r="M4" s="40"/>
      <c r="N4" s="40"/>
      <c r="O4" s="40"/>
      <c r="P4" s="40"/>
      <c r="Q4" s="40"/>
      <c r="R4" s="301"/>
      <c r="S4" s="301"/>
      <c r="T4" s="301"/>
      <c r="U4" s="302"/>
      <c r="V4" s="301"/>
      <c r="W4" s="301"/>
      <c r="X4" s="301"/>
      <c r="Y4" s="41"/>
      <c r="Z4" s="40"/>
      <c r="AA4" s="40"/>
      <c r="AB4" s="41"/>
      <c r="AC4" s="40"/>
      <c r="AD4" s="41"/>
      <c r="AE4" s="40"/>
      <c r="AF4" s="41"/>
      <c r="AG4" s="40"/>
      <c r="AH4" s="41"/>
      <c r="AI4" s="40"/>
      <c r="AJ4" s="41"/>
      <c r="AK4" s="40"/>
      <c r="AL4" s="41"/>
      <c r="AM4" s="40"/>
      <c r="AN4" s="301"/>
      <c r="AO4" s="302"/>
      <c r="AP4" s="302"/>
      <c r="AQ4" s="301"/>
      <c r="AR4" s="301"/>
    </row>
    <row r="5" spans="1:44" ht="4.5" customHeight="1" x14ac:dyDescent="0.2">
      <c r="A5" s="42"/>
      <c r="B5" s="43"/>
      <c r="C5" s="43"/>
      <c r="D5" s="44"/>
      <c r="E5" s="44"/>
      <c r="F5" s="45"/>
      <c r="G5" s="44"/>
      <c r="H5" s="44"/>
      <c r="I5" s="45"/>
      <c r="J5" s="45"/>
      <c r="K5" s="45"/>
      <c r="L5" s="45"/>
      <c r="M5" s="46"/>
      <c r="N5" s="46"/>
      <c r="O5" s="46"/>
      <c r="P5" s="46"/>
      <c r="Q5" s="46"/>
      <c r="R5" s="46"/>
      <c r="S5" s="46"/>
      <c r="T5" s="46"/>
      <c r="U5" s="47"/>
      <c r="V5" s="46"/>
      <c r="W5" s="46"/>
      <c r="X5" s="46"/>
      <c r="Y5" s="47"/>
      <c r="Z5" s="46"/>
      <c r="AA5" s="46"/>
      <c r="AB5" s="47"/>
      <c r="AC5" s="46"/>
      <c r="AD5" s="47"/>
      <c r="AE5" s="46"/>
      <c r="AF5" s="47"/>
      <c r="AG5" s="46"/>
      <c r="AH5" s="47"/>
      <c r="AI5" s="46"/>
      <c r="AJ5" s="47"/>
      <c r="AK5" s="46"/>
      <c r="AL5" s="47"/>
      <c r="AM5" s="46"/>
      <c r="AN5" s="46"/>
      <c r="AO5" s="47"/>
      <c r="AP5" s="47"/>
      <c r="AQ5" s="46"/>
      <c r="AR5" s="46"/>
    </row>
    <row r="6" spans="1:44" x14ac:dyDescent="0.2">
      <c r="A6" s="273" t="s">
        <v>90</v>
      </c>
      <c r="B6" s="273" t="s">
        <v>91</v>
      </c>
      <c r="C6" s="273" t="s">
        <v>89</v>
      </c>
      <c r="D6" s="274" t="s">
        <v>66</v>
      </c>
      <c r="E6" s="274"/>
      <c r="F6" s="274"/>
      <c r="G6" s="274" t="s">
        <v>56</v>
      </c>
      <c r="H6" s="274" t="s">
        <v>298</v>
      </c>
      <c r="I6" s="273" t="s">
        <v>284</v>
      </c>
      <c r="J6" s="273"/>
      <c r="K6" s="273" t="s">
        <v>104</v>
      </c>
      <c r="L6" s="273"/>
      <c r="M6" s="271" t="s">
        <v>285</v>
      </c>
      <c r="N6" s="271"/>
      <c r="O6" s="271" t="s">
        <v>286</v>
      </c>
      <c r="P6" s="271"/>
      <c r="Q6" s="271" t="s">
        <v>287</v>
      </c>
      <c r="R6" s="271"/>
      <c r="S6" s="271" t="s">
        <v>103</v>
      </c>
      <c r="T6" s="271"/>
      <c r="U6" s="267" t="s">
        <v>125</v>
      </c>
      <c r="V6" s="268"/>
      <c r="W6" s="308" t="s">
        <v>289</v>
      </c>
      <c r="X6" s="312" t="s">
        <v>295</v>
      </c>
      <c r="Y6" s="321" t="s">
        <v>108</v>
      </c>
      <c r="Z6" s="321"/>
      <c r="AA6" s="321"/>
      <c r="AB6" s="321" t="s">
        <v>299</v>
      </c>
      <c r="AC6" s="321"/>
      <c r="AD6" s="321"/>
      <c r="AE6" s="321"/>
      <c r="AF6" s="321" t="s">
        <v>300</v>
      </c>
      <c r="AG6" s="321"/>
      <c r="AH6" s="321"/>
      <c r="AI6" s="321"/>
      <c r="AJ6" s="321" t="s">
        <v>301</v>
      </c>
      <c r="AK6" s="321"/>
      <c r="AL6" s="321"/>
      <c r="AM6" s="321"/>
      <c r="AN6" s="310" t="s">
        <v>297</v>
      </c>
      <c r="AO6" s="266" t="s">
        <v>288</v>
      </c>
      <c r="AP6" s="268"/>
      <c r="AQ6" s="323" t="s">
        <v>67</v>
      </c>
      <c r="AR6" s="325" t="s">
        <v>269</v>
      </c>
    </row>
    <row r="7" spans="1:44" x14ac:dyDescent="0.2">
      <c r="A7" s="273"/>
      <c r="B7" s="273"/>
      <c r="C7" s="273"/>
      <c r="D7" s="49" t="s">
        <v>57</v>
      </c>
      <c r="E7" s="49" t="s">
        <v>58</v>
      </c>
      <c r="F7" s="48" t="s">
        <v>55</v>
      </c>
      <c r="G7" s="274"/>
      <c r="H7" s="274"/>
      <c r="I7" s="48" t="s">
        <v>11</v>
      </c>
      <c r="J7" s="48" t="s">
        <v>55</v>
      </c>
      <c r="K7" s="48" t="s">
        <v>11</v>
      </c>
      <c r="L7" s="50" t="s">
        <v>55</v>
      </c>
      <c r="M7" s="259" t="s">
        <v>11</v>
      </c>
      <c r="N7" s="259" t="s">
        <v>62</v>
      </c>
      <c r="O7" s="51" t="s">
        <v>11</v>
      </c>
      <c r="P7" s="51" t="s">
        <v>62</v>
      </c>
      <c r="Q7" s="259" t="s">
        <v>105</v>
      </c>
      <c r="R7" s="259" t="s">
        <v>106</v>
      </c>
      <c r="S7" s="259" t="s">
        <v>105</v>
      </c>
      <c r="T7" s="259" t="s">
        <v>106</v>
      </c>
      <c r="U7" s="259" t="s">
        <v>126</v>
      </c>
      <c r="V7" s="259" t="s">
        <v>11</v>
      </c>
      <c r="W7" s="303" t="s">
        <v>11</v>
      </c>
      <c r="X7" s="305" t="s">
        <v>11</v>
      </c>
      <c r="Y7" s="306" t="s">
        <v>105</v>
      </c>
      <c r="Z7" s="306" t="s">
        <v>109</v>
      </c>
      <c r="AA7" s="307" t="s">
        <v>110</v>
      </c>
      <c r="AB7" s="306" t="s">
        <v>105</v>
      </c>
      <c r="AC7" s="306" t="s">
        <v>107</v>
      </c>
      <c r="AD7" s="306" t="s">
        <v>112</v>
      </c>
      <c r="AE7" s="306" t="s">
        <v>111</v>
      </c>
      <c r="AF7" s="306" t="s">
        <v>105</v>
      </c>
      <c r="AG7" s="306" t="s">
        <v>107</v>
      </c>
      <c r="AH7" s="306" t="s">
        <v>112</v>
      </c>
      <c r="AI7" s="306" t="s">
        <v>111</v>
      </c>
      <c r="AJ7" s="306" t="s">
        <v>105</v>
      </c>
      <c r="AK7" s="306" t="s">
        <v>107</v>
      </c>
      <c r="AL7" s="306" t="s">
        <v>112</v>
      </c>
      <c r="AM7" s="306" t="s">
        <v>111</v>
      </c>
      <c r="AN7" s="304" t="s">
        <v>11</v>
      </c>
      <c r="AO7" s="259" t="s">
        <v>73</v>
      </c>
      <c r="AP7" s="259" t="s">
        <v>11</v>
      </c>
      <c r="AQ7" s="324"/>
      <c r="AR7" s="326"/>
    </row>
    <row r="8" spans="1:44" x14ac:dyDescent="0.2">
      <c r="A8" s="79" t="s">
        <v>122</v>
      </c>
      <c r="B8" s="79"/>
      <c r="C8" s="48"/>
      <c r="D8" s="49"/>
      <c r="E8" s="49"/>
      <c r="F8" s="48"/>
      <c r="G8" s="49"/>
      <c r="H8" s="261"/>
      <c r="I8" s="48"/>
      <c r="J8" s="48"/>
      <c r="K8" s="48"/>
      <c r="L8" s="50"/>
      <c r="M8" s="259"/>
      <c r="N8" s="259"/>
      <c r="O8" s="51"/>
      <c r="P8" s="51"/>
      <c r="Q8" s="259"/>
      <c r="R8" s="259"/>
      <c r="S8" s="259"/>
      <c r="T8" s="259"/>
      <c r="U8" s="259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</row>
    <row r="9" spans="1:44" s="58" customFormat="1" x14ac:dyDescent="0.2">
      <c r="A9" s="53">
        <v>1</v>
      </c>
      <c r="B9" s="54" t="s">
        <v>4</v>
      </c>
      <c r="C9" s="54" t="s">
        <v>52</v>
      </c>
      <c r="D9" s="55">
        <v>2006</v>
      </c>
      <c r="E9" s="55">
        <v>2022</v>
      </c>
      <c r="F9" s="53">
        <f>E9-D9</f>
        <v>16</v>
      </c>
      <c r="G9" s="55">
        <f>42+6</f>
        <v>48</v>
      </c>
      <c r="H9" s="55">
        <f>G9*4</f>
        <v>192</v>
      </c>
      <c r="I9" s="56">
        <f t="shared" ref="I9:I13" si="0">VLOOKUP(F9,BAKU,2)</f>
        <v>4500</v>
      </c>
      <c r="J9" s="56">
        <f>6*I9</f>
        <v>27000</v>
      </c>
      <c r="K9" s="76">
        <v>66000</v>
      </c>
      <c r="L9" s="56">
        <f>G9*K9+J9</f>
        <v>3195000</v>
      </c>
      <c r="M9" s="56">
        <v>450000</v>
      </c>
      <c r="N9" s="54" t="s">
        <v>132</v>
      </c>
      <c r="O9" s="56">
        <v>540000</v>
      </c>
      <c r="P9" s="53" t="s">
        <v>292</v>
      </c>
      <c r="Q9" s="88"/>
      <c r="R9" s="76">
        <f>Q9*66000</f>
        <v>0</v>
      </c>
      <c r="S9" s="88"/>
      <c r="T9" s="76">
        <f>S9*7500</f>
        <v>0</v>
      </c>
      <c r="U9" s="88"/>
      <c r="V9" s="76">
        <f>U9*13000</f>
        <v>0</v>
      </c>
      <c r="W9" s="309"/>
      <c r="X9" s="313">
        <f>J9+L9+M9+O9+R9+T9+V9+W9</f>
        <v>4212000</v>
      </c>
      <c r="Y9" s="87"/>
      <c r="Z9" s="85">
        <f>IF(C9="Guru",16500,IF(C9="TPG",14000,15250))</f>
        <v>14000</v>
      </c>
      <c r="AA9" s="85">
        <f t="shared" ref="AA9:AA13" si="1">Y9*Z9</f>
        <v>0</v>
      </c>
      <c r="AB9" s="87"/>
      <c r="AC9" s="86" t="s">
        <v>118</v>
      </c>
      <c r="AD9" s="82">
        <f>IF(AND(C9="Guru",AC9="S"),8250,IF(AND(C9="Guru",AC9="I"),16500,IF(AND(C9="TPG",AC9="S"),7000,IF(AND(C9="TPG",AC9="I"),14000,IF(AND(C9="GURU",AC9="A"),16500,14000)))))</f>
        <v>7000</v>
      </c>
      <c r="AE9" s="85">
        <f t="shared" ref="AE9:AE13" si="2">AB9*AD9</f>
        <v>0</v>
      </c>
      <c r="AF9" s="87"/>
      <c r="AG9" s="86" t="s">
        <v>119</v>
      </c>
      <c r="AH9" s="82">
        <f>IF(AND(G9="Guru",AG9="S"),8250,IF(AND(G9="Guru",AG9="I"),16500,IF(AND(G9="TPG",AG9="S"),7000,IF(AND(G9="TPG",AG9="I"),14000,IF(AND(G9="GURU",AG9="A"),16500,14000)))))</f>
        <v>14000</v>
      </c>
      <c r="AI9" s="85">
        <f t="shared" ref="AI9:AI13" si="3">AF9*AH9</f>
        <v>0</v>
      </c>
      <c r="AJ9" s="87"/>
      <c r="AK9" s="86" t="s">
        <v>115</v>
      </c>
      <c r="AL9" s="82">
        <f>IF(AND(G9="Guru",AK9="S"),8250,IF(AND(G9="Guru",AK9="I"),16500,IF(AND(G9="TPG",AK9="S"),7000,IF(AND(G9="TPG",AK9="I"),14000,IF(AND(G9="GURU",AK9="A"),16500,14000)))))</f>
        <v>14000</v>
      </c>
      <c r="AM9" s="85">
        <f t="shared" ref="AM9:AM13" si="4">AJ9*AL9</f>
        <v>0</v>
      </c>
      <c r="AN9" s="311">
        <f>AA9+AE9+AI9+AM9</f>
        <v>0</v>
      </c>
      <c r="AO9" s="78">
        <f>((H9-(AB9+AF9+AJ9))/H9)*100</f>
        <v>100</v>
      </c>
      <c r="AP9" s="83">
        <f>IF(AO9&lt;90,0,50000)</f>
        <v>50000</v>
      </c>
      <c r="AQ9" s="322">
        <f>X9+AP9-AN9</f>
        <v>4262000</v>
      </c>
      <c r="AR9" s="327">
        <v>200000</v>
      </c>
    </row>
    <row r="10" spans="1:44" s="58" customFormat="1" x14ac:dyDescent="0.2">
      <c r="A10" s="53">
        <v>2</v>
      </c>
      <c r="B10" s="54" t="s">
        <v>5</v>
      </c>
      <c r="C10" s="54" t="s">
        <v>52</v>
      </c>
      <c r="D10" s="55">
        <v>1998</v>
      </c>
      <c r="E10" s="55">
        <f>$E$9</f>
        <v>2022</v>
      </c>
      <c r="F10" s="53">
        <f t="shared" ref="F10:F16" si="5">E10-D10</f>
        <v>24</v>
      </c>
      <c r="G10" s="55">
        <v>48</v>
      </c>
      <c r="H10" s="55">
        <f t="shared" ref="H10:H69" si="6">G10*4</f>
        <v>192</v>
      </c>
      <c r="I10" s="56">
        <f t="shared" si="0"/>
        <v>6000</v>
      </c>
      <c r="J10" s="56">
        <f>12*I10</f>
        <v>72000</v>
      </c>
      <c r="K10" s="76">
        <v>56000</v>
      </c>
      <c r="L10" s="56">
        <f>G10*K10+J10</f>
        <v>2760000</v>
      </c>
      <c r="M10" s="56">
        <v>250000</v>
      </c>
      <c r="N10" s="54" t="s">
        <v>290</v>
      </c>
      <c r="O10" s="56">
        <v>487500</v>
      </c>
      <c r="P10" s="53" t="s">
        <v>292</v>
      </c>
      <c r="Q10" s="88"/>
      <c r="R10" s="76">
        <f t="shared" ref="R10:R75" si="7">Q10*66000</f>
        <v>0</v>
      </c>
      <c r="S10" s="88"/>
      <c r="T10" s="76">
        <f t="shared" ref="T10:T13" si="8">S10*7500</f>
        <v>0</v>
      </c>
      <c r="U10" s="88"/>
      <c r="V10" s="76">
        <f t="shared" ref="V10:V75" si="9">U10*13000</f>
        <v>0</v>
      </c>
      <c r="W10" s="309">
        <v>35000</v>
      </c>
      <c r="X10" s="313">
        <f t="shared" ref="X10:X69" si="10">J10+L10+M10+O10+R10+T10+V10+W10</f>
        <v>3604500</v>
      </c>
      <c r="Y10" s="87"/>
      <c r="Z10" s="85">
        <f>IF(C10="Guru",16500,IF(C10="TPG",14000,15250))</f>
        <v>14000</v>
      </c>
      <c r="AA10" s="85">
        <f t="shared" si="1"/>
        <v>0</v>
      </c>
      <c r="AB10" s="87"/>
      <c r="AC10" s="86" t="s">
        <v>118</v>
      </c>
      <c r="AD10" s="82">
        <f>IF(AND(C10="Guru",AC10="S"),8250,IF(AND(C10="Guru",AC10="I"),16500,IF(AND(C10="TPG",AC10="S"),7000,IF(AND(C10="TPG",AC10="I"),14000,IF(AND(C10="GURU",AC10="A"),16500,14000)))))</f>
        <v>7000</v>
      </c>
      <c r="AE10" s="85">
        <f t="shared" si="2"/>
        <v>0</v>
      </c>
      <c r="AF10" s="87"/>
      <c r="AG10" s="86" t="s">
        <v>119</v>
      </c>
      <c r="AH10" s="82">
        <f>IF(AND(G10="Guru",AG10="S"),8250,IF(AND(G10="Guru",AG10="I"),16500,IF(AND(G10="TPG",AG10="S"),7000,IF(AND(G10="TPG",AG10="I"),14000,IF(AND(G10="GURU",AG10="A"),16500,14000)))))</f>
        <v>14000</v>
      </c>
      <c r="AI10" s="85">
        <f t="shared" si="3"/>
        <v>0</v>
      </c>
      <c r="AJ10" s="87"/>
      <c r="AK10" s="86" t="s">
        <v>115</v>
      </c>
      <c r="AL10" s="82">
        <f>IF(AND(G10="Guru",AK10="S"),8250,IF(AND(G10="Guru",AK10="I"),16500,IF(AND(G10="TPG",AK10="S"),7000,IF(AND(G10="TPG",AK10="I"),14000,IF(AND(G10="GURU",AK10="A"),16500,14000)))))</f>
        <v>14000</v>
      </c>
      <c r="AM10" s="85">
        <f t="shared" si="4"/>
        <v>0</v>
      </c>
      <c r="AN10" s="311">
        <f t="shared" ref="AN10:AN69" si="11">AA10+AE10+AI10+AM10</f>
        <v>0</v>
      </c>
      <c r="AO10" s="78">
        <f t="shared" ref="AO10:AO13" si="12">((H10-(AB10+AF10+AJ10))/H10)*100</f>
        <v>100</v>
      </c>
      <c r="AP10" s="83">
        <f t="shared" ref="AP10:AP12" si="13">IF(AO10&lt;90,0,50000)</f>
        <v>50000</v>
      </c>
      <c r="AQ10" s="322">
        <f>X10+AP10-AN10</f>
        <v>3654500</v>
      </c>
      <c r="AR10" s="327">
        <v>200000</v>
      </c>
    </row>
    <row r="11" spans="1:44" s="58" customFormat="1" x14ac:dyDescent="0.2">
      <c r="A11" s="53">
        <v>3</v>
      </c>
      <c r="B11" s="54" t="s">
        <v>6</v>
      </c>
      <c r="C11" s="54" t="s">
        <v>51</v>
      </c>
      <c r="D11" s="55">
        <v>1992</v>
      </c>
      <c r="E11" s="55">
        <f t="shared" ref="E11:E13" si="14">$E$9</f>
        <v>2022</v>
      </c>
      <c r="F11" s="53">
        <f t="shared" si="5"/>
        <v>30</v>
      </c>
      <c r="G11" s="55">
        <f>36+12</f>
        <v>48</v>
      </c>
      <c r="H11" s="55">
        <f t="shared" si="6"/>
        <v>192</v>
      </c>
      <c r="I11" s="56">
        <f t="shared" si="0"/>
        <v>7000</v>
      </c>
      <c r="J11" s="56">
        <f>12*I11</f>
        <v>84000</v>
      </c>
      <c r="K11" s="76">
        <v>66000</v>
      </c>
      <c r="L11" s="56">
        <f>G11*K11+J11</f>
        <v>3252000</v>
      </c>
      <c r="M11" s="56">
        <v>325000</v>
      </c>
      <c r="N11" s="54" t="s">
        <v>291</v>
      </c>
      <c r="O11" s="56">
        <v>540000</v>
      </c>
      <c r="P11" s="53" t="s">
        <v>293</v>
      </c>
      <c r="Q11" s="88"/>
      <c r="R11" s="76">
        <f t="shared" si="7"/>
        <v>0</v>
      </c>
      <c r="S11" s="88"/>
      <c r="T11" s="76">
        <f t="shared" si="8"/>
        <v>0</v>
      </c>
      <c r="U11" s="88"/>
      <c r="V11" s="76">
        <f t="shared" si="9"/>
        <v>0</v>
      </c>
      <c r="W11" s="309"/>
      <c r="X11" s="313">
        <f t="shared" si="10"/>
        <v>4201000</v>
      </c>
      <c r="Y11" s="87"/>
      <c r="Z11" s="85">
        <f>IF(C11="Guru",16500,IF(C11="TPG",14000,15250))</f>
        <v>16500</v>
      </c>
      <c r="AA11" s="85">
        <f t="shared" si="1"/>
        <v>0</v>
      </c>
      <c r="AB11" s="87"/>
      <c r="AC11" s="86" t="s">
        <v>118</v>
      </c>
      <c r="AD11" s="82">
        <f>IF(AND(C11="Guru",AC11="S"),8250,IF(AND(C11="Guru",AC11="I"),16500,IF(AND(C11="TPG",AC11="S"),7000,IF(AND(C11="TPG",AC11="I"),14000,IF(AND(C11="GURU",AC11="A"),16500,14000)))))</f>
        <v>8250</v>
      </c>
      <c r="AE11" s="85">
        <f t="shared" si="2"/>
        <v>0</v>
      </c>
      <c r="AF11" s="87"/>
      <c r="AG11" s="86" t="s">
        <v>119</v>
      </c>
      <c r="AH11" s="82">
        <f>IF(AND(G11="Guru",AG11="S"),8250,IF(AND(G11="Guru",AG11="I"),16500,IF(AND(G11="TPG",AG11="S"),7000,IF(AND(G11="TPG",AG11="I"),14000,IF(AND(G11="GURU",AG11="A"),16500,14000)))))</f>
        <v>14000</v>
      </c>
      <c r="AI11" s="85">
        <f t="shared" si="3"/>
        <v>0</v>
      </c>
      <c r="AJ11" s="87"/>
      <c r="AK11" s="86" t="s">
        <v>115</v>
      </c>
      <c r="AL11" s="82">
        <f>IF(AND(G11="Guru",AK11="S"),8250,IF(AND(G11="Guru",AK11="I"),16500,IF(AND(G11="TPG",AK11="S"),7000,IF(AND(G11="TPG",AK11="I"),14000,IF(AND(G11="GURU",AK11="A"),16500,14000)))))</f>
        <v>14000</v>
      </c>
      <c r="AM11" s="85">
        <f t="shared" si="4"/>
        <v>0</v>
      </c>
      <c r="AN11" s="311">
        <f t="shared" si="11"/>
        <v>0</v>
      </c>
      <c r="AO11" s="78">
        <f t="shared" si="12"/>
        <v>100</v>
      </c>
      <c r="AP11" s="83">
        <f t="shared" si="13"/>
        <v>50000</v>
      </c>
      <c r="AQ11" s="322">
        <f>X11+AP11-AN11</f>
        <v>4251000</v>
      </c>
      <c r="AR11" s="327">
        <v>200000</v>
      </c>
    </row>
    <row r="12" spans="1:44" s="58" customFormat="1" x14ac:dyDescent="0.2">
      <c r="A12" s="53">
        <v>4</v>
      </c>
      <c r="B12" s="54" t="s">
        <v>166</v>
      </c>
      <c r="C12" s="54" t="s">
        <v>52</v>
      </c>
      <c r="D12" s="55">
        <v>2007</v>
      </c>
      <c r="E12" s="55">
        <f t="shared" si="14"/>
        <v>2022</v>
      </c>
      <c r="F12" s="53">
        <f>E12-D12</f>
        <v>15</v>
      </c>
      <c r="G12" s="55">
        <f>36+12</f>
        <v>48</v>
      </c>
      <c r="H12" s="55">
        <f t="shared" si="6"/>
        <v>192</v>
      </c>
      <c r="I12" s="56">
        <f>VLOOKUP(F12,BAKU,2)</f>
        <v>4500</v>
      </c>
      <c r="J12" s="56">
        <f t="shared" ref="J12:J13" si="15">12*I12</f>
        <v>54000</v>
      </c>
      <c r="K12" s="76">
        <v>56000</v>
      </c>
      <c r="L12" s="56">
        <f>G12*K12+J12</f>
        <v>2742000</v>
      </c>
      <c r="M12" s="56">
        <v>250000</v>
      </c>
      <c r="N12" s="54" t="s">
        <v>290</v>
      </c>
      <c r="O12" s="56">
        <v>382500</v>
      </c>
      <c r="P12" s="53" t="s">
        <v>294</v>
      </c>
      <c r="Q12" s="88"/>
      <c r="R12" s="76">
        <f t="shared" si="7"/>
        <v>0</v>
      </c>
      <c r="S12" s="88"/>
      <c r="T12" s="76">
        <f t="shared" si="8"/>
        <v>0</v>
      </c>
      <c r="U12" s="88"/>
      <c r="V12" s="76">
        <f t="shared" si="9"/>
        <v>0</v>
      </c>
      <c r="W12" s="309">
        <v>46000</v>
      </c>
      <c r="X12" s="313">
        <f t="shared" si="10"/>
        <v>3474500</v>
      </c>
      <c r="Y12" s="87"/>
      <c r="Z12" s="85">
        <f>IF(C12="Guru",16500,IF(C12="TPG",14000,15250))</f>
        <v>14000</v>
      </c>
      <c r="AA12" s="85">
        <f t="shared" si="1"/>
        <v>0</v>
      </c>
      <c r="AB12" s="87"/>
      <c r="AC12" s="86" t="s">
        <v>118</v>
      </c>
      <c r="AD12" s="82">
        <f>IF(AND(C12="Guru",AC12="S"),8250,IF(AND(C12="Guru",AC12="I"),16500,IF(AND(C12="TPG",AC12="S"),7000,IF(AND(C12="TPG",AC12="I"),14000,IF(AND(C12="GURU",AC12="A"),16500,14000)))))</f>
        <v>7000</v>
      </c>
      <c r="AE12" s="85">
        <f t="shared" si="2"/>
        <v>0</v>
      </c>
      <c r="AF12" s="87"/>
      <c r="AG12" s="86" t="s">
        <v>119</v>
      </c>
      <c r="AH12" s="82">
        <f>IF(AND(G12="Guru",AG12="S"),8250,IF(AND(G12="Guru",AG12="I"),16500,IF(AND(G12="TPG",AG12="S"),7000,IF(AND(G12="TPG",AG12="I"),14000,IF(AND(G12="GURU",AG12="A"),16500,14000)))))</f>
        <v>14000</v>
      </c>
      <c r="AI12" s="85">
        <f t="shared" si="3"/>
        <v>0</v>
      </c>
      <c r="AJ12" s="87"/>
      <c r="AK12" s="86" t="s">
        <v>115</v>
      </c>
      <c r="AL12" s="82">
        <f>IF(AND(G12="Guru",AK12="S"),8250,IF(AND(G12="Guru",AK12="I"),16500,IF(AND(G12="TPG",AK12="S"),7000,IF(AND(G12="TPG",AK12="I"),14000,IF(AND(G12="GURU",AK12="A"),16500,14000)))))</f>
        <v>14000</v>
      </c>
      <c r="AM12" s="85">
        <f t="shared" si="4"/>
        <v>0</v>
      </c>
      <c r="AN12" s="311">
        <f t="shared" si="11"/>
        <v>0</v>
      </c>
      <c r="AO12" s="78">
        <f t="shared" si="12"/>
        <v>100</v>
      </c>
      <c r="AP12" s="83">
        <f t="shared" si="13"/>
        <v>50000</v>
      </c>
      <c r="AQ12" s="322">
        <f>X12+AP12-AN12</f>
        <v>3524500</v>
      </c>
      <c r="AR12" s="327">
        <v>200000</v>
      </c>
    </row>
    <row r="13" spans="1:44" s="58" customFormat="1" x14ac:dyDescent="0.2">
      <c r="A13" s="53">
        <v>5</v>
      </c>
      <c r="B13" s="54" t="s">
        <v>81</v>
      </c>
      <c r="C13" s="54" t="s">
        <v>52</v>
      </c>
      <c r="D13" s="55">
        <v>2012</v>
      </c>
      <c r="E13" s="55">
        <f t="shared" si="14"/>
        <v>2022</v>
      </c>
      <c r="F13" s="53">
        <f t="shared" si="5"/>
        <v>10</v>
      </c>
      <c r="G13" s="55">
        <f t="shared" ref="G13" si="16">36+12</f>
        <v>48</v>
      </c>
      <c r="H13" s="55">
        <f t="shared" si="6"/>
        <v>192</v>
      </c>
      <c r="I13" s="56">
        <f t="shared" si="0"/>
        <v>3500</v>
      </c>
      <c r="J13" s="56">
        <f t="shared" si="15"/>
        <v>42000</v>
      </c>
      <c r="K13" s="76">
        <v>56000</v>
      </c>
      <c r="L13" s="56">
        <f>G13*K13+J13</f>
        <v>2730000</v>
      </c>
      <c r="M13" s="56">
        <v>250000</v>
      </c>
      <c r="N13" s="54" t="s">
        <v>290</v>
      </c>
      <c r="O13" s="56">
        <v>382500</v>
      </c>
      <c r="P13" s="53" t="s">
        <v>294</v>
      </c>
      <c r="Q13" s="88"/>
      <c r="R13" s="76">
        <f t="shared" si="7"/>
        <v>0</v>
      </c>
      <c r="S13" s="88"/>
      <c r="T13" s="76">
        <f t="shared" si="8"/>
        <v>0</v>
      </c>
      <c r="U13" s="88"/>
      <c r="V13" s="76">
        <f t="shared" si="9"/>
        <v>0</v>
      </c>
      <c r="W13" s="309">
        <v>58000</v>
      </c>
      <c r="X13" s="313">
        <f t="shared" si="10"/>
        <v>3462500</v>
      </c>
      <c r="Y13" s="87"/>
      <c r="Z13" s="85">
        <f>IF(C13="Guru",16500,IF(C13="TPG",14000,15250))</f>
        <v>14000</v>
      </c>
      <c r="AA13" s="85">
        <f t="shared" si="1"/>
        <v>0</v>
      </c>
      <c r="AB13" s="87"/>
      <c r="AC13" s="86" t="s">
        <v>118</v>
      </c>
      <c r="AD13" s="82">
        <f>IF(AND(C13="Guru",AC13="S"),8250,IF(AND(C13="Guru",AC13="I"),16500,IF(AND(C13="TPG",AC13="S"),7000,IF(AND(C13="TPG",AC13="I"),14000,IF(AND(C13="GURU",AC13="A"),16500,14000)))))</f>
        <v>7000</v>
      </c>
      <c r="AE13" s="85">
        <f t="shared" si="2"/>
        <v>0</v>
      </c>
      <c r="AF13" s="87"/>
      <c r="AG13" s="86" t="s">
        <v>119</v>
      </c>
      <c r="AH13" s="82">
        <f>IF(AND(G13="Guru",AG13="S"),8250,IF(AND(G13="Guru",AG13="I"),16500,IF(AND(G13="TPG",AG13="S"),7000,IF(AND(G13="TPG",AG13="I"),14000,IF(AND(G13="GURU",AG13="A"),16500,14000)))))</f>
        <v>14000</v>
      </c>
      <c r="AI13" s="85">
        <f t="shared" si="3"/>
        <v>0</v>
      </c>
      <c r="AJ13" s="87"/>
      <c r="AK13" s="86" t="s">
        <v>115</v>
      </c>
      <c r="AL13" s="82">
        <f>IF(AND(G13="Guru",AK13="S"),8250,IF(AND(G13="Guru",AK13="I"),16500,IF(AND(G13="TPG",AK13="S"),7000,IF(AND(G13="TPG",AK13="I"),14000,IF(AND(G13="GURU",AK13="A"),16500,14000)))))</f>
        <v>14000</v>
      </c>
      <c r="AM13" s="85">
        <f t="shared" si="4"/>
        <v>0</v>
      </c>
      <c r="AN13" s="311">
        <f t="shared" si="11"/>
        <v>0</v>
      </c>
      <c r="AO13" s="78">
        <f t="shared" si="12"/>
        <v>100</v>
      </c>
      <c r="AP13" s="83">
        <f>IF(AO13&lt;90,0,50000)</f>
        <v>50000</v>
      </c>
      <c r="AQ13" s="322">
        <f>X13+AP13-AN13</f>
        <v>3512500</v>
      </c>
      <c r="AR13" s="327">
        <v>200000</v>
      </c>
    </row>
    <row r="14" spans="1:44" x14ac:dyDescent="0.2">
      <c r="A14" s="79" t="s">
        <v>123</v>
      </c>
      <c r="B14" s="79"/>
      <c r="C14" s="48"/>
      <c r="D14" s="49"/>
      <c r="E14" s="49"/>
      <c r="F14" s="48"/>
      <c r="G14" s="49"/>
      <c r="H14" s="261"/>
      <c r="I14" s="48"/>
      <c r="J14" s="48"/>
      <c r="K14" s="48"/>
      <c r="L14" s="50"/>
      <c r="M14" s="259"/>
      <c r="N14" s="259"/>
      <c r="O14" s="51"/>
      <c r="P14" s="51"/>
      <c r="Q14" s="259"/>
      <c r="R14" s="52"/>
      <c r="S14" s="259"/>
      <c r="T14" s="52"/>
      <c r="U14" s="81"/>
      <c r="V14" s="52"/>
      <c r="W14" s="52"/>
      <c r="X14" s="52"/>
      <c r="Y14" s="84"/>
      <c r="Z14" s="51"/>
      <c r="AA14" s="52"/>
      <c r="AB14" s="84"/>
      <c r="AC14" s="80"/>
      <c r="AD14" s="223"/>
      <c r="AE14" s="52"/>
      <c r="AF14" s="84"/>
      <c r="AG14" s="80"/>
      <c r="AH14" s="259"/>
      <c r="AI14" s="52"/>
      <c r="AJ14" s="84"/>
      <c r="AK14" s="80"/>
      <c r="AL14" s="259"/>
      <c r="AM14" s="52"/>
      <c r="AN14" s="52"/>
      <c r="AO14" s="259"/>
      <c r="AP14" s="259"/>
      <c r="AQ14" s="259"/>
      <c r="AR14" s="259"/>
    </row>
    <row r="15" spans="1:44" s="58" customFormat="1" x14ac:dyDescent="0.2">
      <c r="A15" s="53">
        <v>6</v>
      </c>
      <c r="B15" s="61" t="s">
        <v>10</v>
      </c>
      <c r="C15" s="54" t="s">
        <v>51</v>
      </c>
      <c r="D15" s="55">
        <v>2007</v>
      </c>
      <c r="E15" s="55">
        <f t="shared" ref="E15:E16" si="17">$E$9</f>
        <v>2022</v>
      </c>
      <c r="F15" s="53">
        <f t="shared" si="5"/>
        <v>15</v>
      </c>
      <c r="G15" s="55">
        <v>30</v>
      </c>
      <c r="H15" s="55">
        <f t="shared" si="6"/>
        <v>120</v>
      </c>
      <c r="I15" s="56">
        <f t="shared" ref="I15:I16" si="18">VLOOKUP(F15,BAKU,2)</f>
        <v>4500</v>
      </c>
      <c r="J15" s="56">
        <f>30*4500</f>
        <v>135000</v>
      </c>
      <c r="K15" s="76">
        <v>66000</v>
      </c>
      <c r="L15" s="56">
        <f>G15*K15+J15</f>
        <v>2115000</v>
      </c>
      <c r="M15" s="56">
        <v>150000</v>
      </c>
      <c r="N15" s="54" t="s">
        <v>124</v>
      </c>
      <c r="O15" s="56"/>
      <c r="P15" s="54"/>
      <c r="Q15" s="88"/>
      <c r="R15" s="76">
        <f t="shared" si="7"/>
        <v>0</v>
      </c>
      <c r="S15" s="88"/>
      <c r="T15" s="76">
        <f t="shared" ref="T15:T16" si="19">S15*7500</f>
        <v>0</v>
      </c>
      <c r="U15" s="88"/>
      <c r="V15" s="76">
        <f t="shared" si="9"/>
        <v>0</v>
      </c>
      <c r="W15" s="309"/>
      <c r="X15" s="313">
        <f t="shared" si="10"/>
        <v>2400000</v>
      </c>
      <c r="Y15" s="87"/>
      <c r="Z15" s="85">
        <f>IF(C15="Guru",16500,IF(C15="TPG",14000,15250))</f>
        <v>16500</v>
      </c>
      <c r="AA15" s="85">
        <f t="shared" ref="AA15:AA16" si="20">Y15*Z15</f>
        <v>0</v>
      </c>
      <c r="AB15" s="87"/>
      <c r="AC15" s="86" t="s">
        <v>118</v>
      </c>
      <c r="AD15" s="82">
        <f>IF(AND(C15="Guru",AC15="S"),8250,IF(AND(C15="Guru",AC15="I"),16500,IF(AND(C15="TPG",AC15="S"),7000,IF(AND(C15="TPG",AC15="I"),14000,IF(AND(C15="GURU",AC15="A"),16500,14000)))))</f>
        <v>8250</v>
      </c>
      <c r="AE15" s="85">
        <f t="shared" ref="AE15:AE16" si="21">AB15*AD15</f>
        <v>0</v>
      </c>
      <c r="AF15" s="87"/>
      <c r="AG15" s="86" t="s">
        <v>119</v>
      </c>
      <c r="AH15" s="82">
        <f>IF(AND(G15="Guru",AG15="S"),8250,IF(AND(G15="Guru",AG15="I"),16500,IF(AND(G15="TPG",AG15="S"),7000,IF(AND(G15="TPG",AG15="I"),14000,IF(AND(G15="GURU",AG15="A"),16500,14000)))))</f>
        <v>14000</v>
      </c>
      <c r="AI15" s="85">
        <f t="shared" ref="AI15:AI16" si="22">AF15*AH15</f>
        <v>0</v>
      </c>
      <c r="AJ15" s="87"/>
      <c r="AK15" s="86" t="s">
        <v>115</v>
      </c>
      <c r="AL15" s="82">
        <f>IF(AND(K15="Guru",AK15="S"),8250,IF(AND(K15="Guru",AK15="I"),16500,IF(AND(K15="TPG",AK15="S"),7000,IF(AND(K15="TPG",AK15="I"),14000,IF(AND(K15="GURU",AK15="A"),16500,14000)))))</f>
        <v>14000</v>
      </c>
      <c r="AM15" s="85">
        <f t="shared" ref="AM15:AM16" si="23">AJ15*AL15</f>
        <v>0</v>
      </c>
      <c r="AN15" s="311">
        <f t="shared" si="11"/>
        <v>0</v>
      </c>
      <c r="AO15" s="78">
        <f t="shared" ref="AO15:AO16" si="24">((H15-(AB15+AF15+AJ15))/H15)*100</f>
        <v>100</v>
      </c>
      <c r="AP15" s="83">
        <v>50000</v>
      </c>
      <c r="AQ15" s="322">
        <f>X15+AP15-AN15</f>
        <v>2450000</v>
      </c>
      <c r="AR15" s="327">
        <v>100000</v>
      </c>
    </row>
    <row r="16" spans="1:44" s="58" customFormat="1" x14ac:dyDescent="0.2">
      <c r="A16" s="53">
        <v>7</v>
      </c>
      <c r="B16" s="61" t="s">
        <v>43</v>
      </c>
      <c r="C16" s="54" t="s">
        <v>51</v>
      </c>
      <c r="D16" s="55">
        <v>2021</v>
      </c>
      <c r="E16" s="55">
        <f t="shared" si="17"/>
        <v>2022</v>
      </c>
      <c r="F16" s="53">
        <f t="shared" si="5"/>
        <v>1</v>
      </c>
      <c r="G16" s="55">
        <v>30</v>
      </c>
      <c r="H16" s="55">
        <f t="shared" si="6"/>
        <v>120</v>
      </c>
      <c r="I16" s="56">
        <f t="shared" si="18"/>
        <v>1500</v>
      </c>
      <c r="J16" s="56">
        <f>30*1500</f>
        <v>45000</v>
      </c>
      <c r="K16" s="76">
        <v>66000</v>
      </c>
      <c r="L16" s="56">
        <f>G16*K16+J16</f>
        <v>2025000</v>
      </c>
      <c r="M16" s="56"/>
      <c r="N16" s="54"/>
      <c r="O16" s="56"/>
      <c r="P16" s="54"/>
      <c r="Q16" s="88"/>
      <c r="R16" s="76">
        <f t="shared" si="7"/>
        <v>0</v>
      </c>
      <c r="S16" s="88"/>
      <c r="T16" s="76">
        <f t="shared" si="19"/>
        <v>0</v>
      </c>
      <c r="U16" s="88"/>
      <c r="V16" s="76">
        <f t="shared" si="9"/>
        <v>0</v>
      </c>
      <c r="W16" s="309"/>
      <c r="X16" s="313">
        <f t="shared" si="10"/>
        <v>2070000</v>
      </c>
      <c r="Y16" s="87"/>
      <c r="Z16" s="85">
        <f>IF(C16="Guru",16500,IF(C16="TPG",14000,15250))</f>
        <v>16500</v>
      </c>
      <c r="AA16" s="85">
        <f t="shared" si="20"/>
        <v>0</v>
      </c>
      <c r="AB16" s="87"/>
      <c r="AC16" s="86" t="s">
        <v>118</v>
      </c>
      <c r="AD16" s="82">
        <f>IF(AND(C16="Guru",AC16="S"),8250,IF(AND(C16="Guru",AC16="I"),16500,IF(AND(C16="TPG",AC16="S"),7000,IF(AND(C16="TPG",AC16="I"),14000,IF(AND(C16="GURU",AC16="A"),16500,14000)))))</f>
        <v>8250</v>
      </c>
      <c r="AE16" s="85">
        <f t="shared" si="21"/>
        <v>0</v>
      </c>
      <c r="AF16" s="87"/>
      <c r="AG16" s="86" t="s">
        <v>119</v>
      </c>
      <c r="AH16" s="82">
        <f>IF(AND(G16="Guru",AG16="S"),8250,IF(AND(G16="Guru",AG16="I"),16500,IF(AND(G16="TPG",AG16="S"),7000,IF(AND(G16="TPG",AG16="I"),14000,IF(AND(G16="GURU",AG16="A"),16500,14000)))))</f>
        <v>14000</v>
      </c>
      <c r="AI16" s="85">
        <f t="shared" si="22"/>
        <v>0</v>
      </c>
      <c r="AJ16" s="87"/>
      <c r="AK16" s="86" t="s">
        <v>115</v>
      </c>
      <c r="AL16" s="82">
        <f>IF(AND(K16="Guru",AK16="S"),8250,IF(AND(K16="Guru",AK16="I"),16500,IF(AND(K16="TPG",AK16="S"),7000,IF(AND(K16="TPG",AK16="I"),14000,IF(AND(K16="GURU",AK16="A"),16500,14000)))))</f>
        <v>14000</v>
      </c>
      <c r="AM16" s="85">
        <f t="shared" si="23"/>
        <v>0</v>
      </c>
      <c r="AN16" s="311">
        <f t="shared" si="11"/>
        <v>0</v>
      </c>
      <c r="AO16" s="78">
        <f t="shared" si="24"/>
        <v>100</v>
      </c>
      <c r="AP16" s="83">
        <v>50000</v>
      </c>
      <c r="AQ16" s="322">
        <f>X16+AP16-AN16</f>
        <v>2120000</v>
      </c>
      <c r="AR16" s="327">
        <v>100000</v>
      </c>
    </row>
    <row r="17" spans="1:44" x14ac:dyDescent="0.2">
      <c r="A17" s="79" t="s">
        <v>128</v>
      </c>
      <c r="B17" s="314"/>
      <c r="C17" s="264"/>
      <c r="D17" s="315"/>
      <c r="E17" s="315"/>
      <c r="F17" s="264"/>
      <c r="G17" s="315"/>
      <c r="H17" s="315"/>
      <c r="I17" s="264"/>
      <c r="J17" s="264"/>
      <c r="K17" s="264"/>
      <c r="L17" s="262"/>
      <c r="M17" s="316"/>
      <c r="N17" s="316"/>
      <c r="O17" s="316"/>
      <c r="P17" s="51"/>
      <c r="Q17" s="259"/>
      <c r="R17" s="52"/>
      <c r="S17" s="259"/>
      <c r="T17" s="52"/>
      <c r="U17" s="81"/>
      <c r="V17" s="52"/>
      <c r="W17" s="52"/>
      <c r="X17" s="52"/>
      <c r="Y17" s="84"/>
      <c r="Z17" s="51"/>
      <c r="AA17" s="52"/>
      <c r="AB17" s="84"/>
      <c r="AC17" s="80"/>
      <c r="AD17" s="223"/>
      <c r="AE17" s="52"/>
      <c r="AF17" s="84"/>
      <c r="AG17" s="80"/>
      <c r="AH17" s="259"/>
      <c r="AI17" s="52"/>
      <c r="AJ17" s="84"/>
      <c r="AK17" s="80"/>
      <c r="AL17" s="259"/>
      <c r="AM17" s="52"/>
      <c r="AN17" s="52"/>
      <c r="AO17" s="259"/>
      <c r="AP17" s="259"/>
      <c r="AQ17" s="259"/>
      <c r="AR17" s="259"/>
    </row>
    <row r="18" spans="1:44" s="58" customFormat="1" x14ac:dyDescent="0.2">
      <c r="A18" s="53">
        <v>8</v>
      </c>
      <c r="B18" s="54" t="s">
        <v>9</v>
      </c>
      <c r="C18" s="54" t="s">
        <v>96</v>
      </c>
      <c r="D18" s="55">
        <v>1997</v>
      </c>
      <c r="E18" s="55">
        <f t="shared" ref="E18:E26" si="25">$E$9</f>
        <v>2022</v>
      </c>
      <c r="F18" s="53">
        <f t="shared" ref="F18" si="26">E18-D18</f>
        <v>25</v>
      </c>
      <c r="G18" s="257">
        <v>26</v>
      </c>
      <c r="H18" s="257">
        <v>26</v>
      </c>
      <c r="I18" s="123"/>
      <c r="J18" s="56">
        <v>180000</v>
      </c>
      <c r="K18" s="56">
        <v>54500</v>
      </c>
      <c r="L18" s="56">
        <f>K18*G18</f>
        <v>1417000</v>
      </c>
      <c r="M18" s="56">
        <v>70000</v>
      </c>
      <c r="N18" s="320" t="s">
        <v>304</v>
      </c>
      <c r="O18" s="56">
        <v>150000</v>
      </c>
      <c r="P18" s="320" t="s">
        <v>96</v>
      </c>
      <c r="Q18" s="88"/>
      <c r="R18" s="76">
        <f t="shared" si="7"/>
        <v>0</v>
      </c>
      <c r="S18" s="88"/>
      <c r="T18" s="76">
        <f t="shared" ref="T18:T26" si="27">S18*7500</f>
        <v>0</v>
      </c>
      <c r="U18" s="88"/>
      <c r="V18" s="76">
        <f t="shared" si="9"/>
        <v>0</v>
      </c>
      <c r="W18" s="309">
        <v>566500</v>
      </c>
      <c r="X18" s="313">
        <f>J18+L18+M18+O18+R18+T18+V18+W18</f>
        <v>2383500</v>
      </c>
      <c r="Y18" s="87"/>
      <c r="Z18" s="85">
        <v>6800</v>
      </c>
      <c r="AA18" s="85">
        <f t="shared" ref="AA18" si="28">Y18*Z18</f>
        <v>0</v>
      </c>
      <c r="AB18" s="87"/>
      <c r="AC18" s="86" t="s">
        <v>118</v>
      </c>
      <c r="AD18" s="82">
        <f>IF(AC18="S",27250,54500)</f>
        <v>27250</v>
      </c>
      <c r="AE18" s="85">
        <f t="shared" ref="AE18" si="29">AB18*AD18</f>
        <v>0</v>
      </c>
      <c r="AF18" s="87"/>
      <c r="AG18" s="86" t="s">
        <v>119</v>
      </c>
      <c r="AH18" s="82">
        <f>IF(AG18="S",27250,54500)</f>
        <v>54500</v>
      </c>
      <c r="AI18" s="85">
        <f t="shared" ref="AI18" si="30">AF18*AH18</f>
        <v>0</v>
      </c>
      <c r="AJ18" s="87"/>
      <c r="AK18" s="86" t="s">
        <v>115</v>
      </c>
      <c r="AL18" s="82">
        <f>IF(AK18="S",27250,54500)</f>
        <v>54500</v>
      </c>
      <c r="AM18" s="85">
        <f t="shared" ref="AM18" si="31">AJ18*AL18</f>
        <v>0</v>
      </c>
      <c r="AN18" s="311">
        <f t="shared" ref="AN18" si="32">AA18+AE18+AI18+AM18</f>
        <v>0</v>
      </c>
      <c r="AO18" s="78">
        <f t="shared" ref="AO18:AO26" si="33">((H18-(AB18+AF18+AJ18))/H18)*100</f>
        <v>100</v>
      </c>
      <c r="AP18" s="83">
        <v>50000</v>
      </c>
      <c r="AQ18" s="322">
        <f>X18+AP18-AN18</f>
        <v>2433500</v>
      </c>
      <c r="AR18" s="327">
        <v>150000</v>
      </c>
    </row>
    <row r="19" spans="1:44" s="58" customFormat="1" x14ac:dyDescent="0.2">
      <c r="A19" s="53">
        <v>9</v>
      </c>
      <c r="B19" s="54" t="s">
        <v>98</v>
      </c>
      <c r="C19" s="54" t="s">
        <v>61</v>
      </c>
      <c r="D19" s="55">
        <v>1989</v>
      </c>
      <c r="E19" s="55">
        <f t="shared" si="25"/>
        <v>2022</v>
      </c>
      <c r="F19" s="53">
        <f t="shared" ref="F19:F23" si="34">E19-D19</f>
        <v>33</v>
      </c>
      <c r="G19" s="257">
        <v>26</v>
      </c>
      <c r="H19" s="257">
        <v>26</v>
      </c>
      <c r="I19" s="123"/>
      <c r="J19" s="56">
        <v>202500</v>
      </c>
      <c r="K19" s="56">
        <v>54500</v>
      </c>
      <c r="L19" s="56">
        <f>K19*G19</f>
        <v>1417000</v>
      </c>
      <c r="M19" s="56">
        <v>70000</v>
      </c>
      <c r="N19" s="320" t="s">
        <v>304</v>
      </c>
      <c r="O19" s="56"/>
      <c r="P19" s="320"/>
      <c r="Q19" s="88"/>
      <c r="R19" s="76">
        <f t="shared" si="7"/>
        <v>0</v>
      </c>
      <c r="S19" s="88"/>
      <c r="T19" s="76">
        <f t="shared" si="27"/>
        <v>0</v>
      </c>
      <c r="U19" s="88"/>
      <c r="V19" s="76">
        <f t="shared" si="9"/>
        <v>0</v>
      </c>
      <c r="W19" s="309">
        <v>67500</v>
      </c>
      <c r="X19" s="313">
        <f>J19+L19+M19+O19+R19+T19+V19+W19</f>
        <v>1757000</v>
      </c>
      <c r="Y19" s="87"/>
      <c r="Z19" s="85">
        <v>6800</v>
      </c>
      <c r="AA19" s="85">
        <f t="shared" ref="AA19:AA23" si="35">Y19*Z19</f>
        <v>0</v>
      </c>
      <c r="AB19" s="87"/>
      <c r="AC19" s="86" t="s">
        <v>118</v>
      </c>
      <c r="AD19" s="82">
        <f>IF(AC19="S",27250,54500)</f>
        <v>27250</v>
      </c>
      <c r="AE19" s="85">
        <f t="shared" ref="AE19:AE23" si="36">AB19*AD19</f>
        <v>0</v>
      </c>
      <c r="AF19" s="87"/>
      <c r="AG19" s="86" t="s">
        <v>119</v>
      </c>
      <c r="AH19" s="82">
        <f>IF(AG19="S",27250,54500)</f>
        <v>54500</v>
      </c>
      <c r="AI19" s="85">
        <f t="shared" ref="AI19:AI23" si="37">AF19*AH19</f>
        <v>0</v>
      </c>
      <c r="AJ19" s="87"/>
      <c r="AK19" s="86" t="s">
        <v>115</v>
      </c>
      <c r="AL19" s="82">
        <f>IF(AK19="S",27250,54500)</f>
        <v>54500</v>
      </c>
      <c r="AM19" s="85">
        <f t="shared" ref="AM19:AM23" si="38">AJ19*AL19</f>
        <v>0</v>
      </c>
      <c r="AN19" s="311">
        <f t="shared" si="11"/>
        <v>0</v>
      </c>
      <c r="AO19" s="78">
        <f t="shared" si="33"/>
        <v>100</v>
      </c>
      <c r="AP19" s="83">
        <v>50000</v>
      </c>
      <c r="AQ19" s="322">
        <f>X19+AP19-AN19</f>
        <v>1807000</v>
      </c>
      <c r="AR19" s="327">
        <v>100000</v>
      </c>
    </row>
    <row r="20" spans="1:44" s="58" customFormat="1" ht="15" customHeight="1" x14ac:dyDescent="0.2">
      <c r="A20" s="53">
        <v>10</v>
      </c>
      <c r="B20" s="54" t="s">
        <v>12</v>
      </c>
      <c r="C20" s="54" t="s">
        <v>61</v>
      </c>
      <c r="D20" s="55">
        <v>1992</v>
      </c>
      <c r="E20" s="55">
        <f t="shared" si="25"/>
        <v>2022</v>
      </c>
      <c r="F20" s="53">
        <f t="shared" si="34"/>
        <v>30</v>
      </c>
      <c r="G20" s="53">
        <v>26</v>
      </c>
      <c r="H20" s="257">
        <v>26</v>
      </c>
      <c r="I20" s="123"/>
      <c r="J20" s="56">
        <v>217500</v>
      </c>
      <c r="K20" s="56">
        <v>54500</v>
      </c>
      <c r="L20" s="56">
        <f t="shared" ref="L20:L26" si="39">K20*G20</f>
        <v>1417000</v>
      </c>
      <c r="M20" s="56">
        <v>70000</v>
      </c>
      <c r="N20" s="320" t="s">
        <v>304</v>
      </c>
      <c r="O20" s="56"/>
      <c r="P20" s="320"/>
      <c r="Q20" s="88"/>
      <c r="R20" s="76">
        <f t="shared" si="7"/>
        <v>0</v>
      </c>
      <c r="S20" s="88"/>
      <c r="T20" s="76">
        <f t="shared" si="27"/>
        <v>0</v>
      </c>
      <c r="U20" s="88"/>
      <c r="V20" s="76">
        <f t="shared" si="9"/>
        <v>0</v>
      </c>
      <c r="W20" s="309"/>
      <c r="X20" s="313">
        <f t="shared" si="10"/>
        <v>1704500</v>
      </c>
      <c r="Y20" s="87"/>
      <c r="Z20" s="85">
        <v>6800</v>
      </c>
      <c r="AA20" s="85">
        <f t="shared" si="35"/>
        <v>0</v>
      </c>
      <c r="AB20" s="87"/>
      <c r="AC20" s="86" t="s">
        <v>118</v>
      </c>
      <c r="AD20" s="82">
        <f t="shared" ref="AD20:AD23" si="40">IF(AC20="S",27250,54500)</f>
        <v>27250</v>
      </c>
      <c r="AE20" s="85">
        <f t="shared" si="36"/>
        <v>0</v>
      </c>
      <c r="AF20" s="87"/>
      <c r="AG20" s="86" t="s">
        <v>119</v>
      </c>
      <c r="AH20" s="82">
        <f t="shared" ref="AH20:AH23" si="41">IF(AG20="S",27250,54500)</f>
        <v>54500</v>
      </c>
      <c r="AI20" s="85">
        <f t="shared" si="37"/>
        <v>0</v>
      </c>
      <c r="AJ20" s="87"/>
      <c r="AK20" s="86" t="s">
        <v>115</v>
      </c>
      <c r="AL20" s="82">
        <f t="shared" ref="AL20:AL23" si="42">IF(AK20="S",27250,54500)</f>
        <v>54500</v>
      </c>
      <c r="AM20" s="85">
        <f t="shared" si="38"/>
        <v>0</v>
      </c>
      <c r="AN20" s="311">
        <f t="shared" si="11"/>
        <v>0</v>
      </c>
      <c r="AO20" s="78">
        <f t="shared" si="33"/>
        <v>100</v>
      </c>
      <c r="AP20" s="83">
        <v>50000</v>
      </c>
      <c r="AQ20" s="322">
        <f>X20+AP20-AN20</f>
        <v>1754500</v>
      </c>
      <c r="AR20" s="327">
        <v>100000</v>
      </c>
    </row>
    <row r="21" spans="1:44" s="58" customFormat="1" x14ac:dyDescent="0.2">
      <c r="A21" s="53">
        <v>11</v>
      </c>
      <c r="B21" s="54" t="s">
        <v>49</v>
      </c>
      <c r="C21" s="54" t="s">
        <v>61</v>
      </c>
      <c r="D21" s="55">
        <v>1992</v>
      </c>
      <c r="E21" s="55">
        <f t="shared" si="25"/>
        <v>2022</v>
      </c>
      <c r="F21" s="53">
        <f t="shared" si="34"/>
        <v>30</v>
      </c>
      <c r="G21" s="53">
        <v>26</v>
      </c>
      <c r="H21" s="257">
        <v>26</v>
      </c>
      <c r="I21" s="123"/>
      <c r="J21" s="56">
        <v>217500</v>
      </c>
      <c r="K21" s="56">
        <v>54500</v>
      </c>
      <c r="L21" s="56">
        <f t="shared" si="39"/>
        <v>1417000</v>
      </c>
      <c r="M21" s="56">
        <v>70000</v>
      </c>
      <c r="N21" s="320" t="s">
        <v>304</v>
      </c>
      <c r="O21" s="56"/>
      <c r="P21" s="320"/>
      <c r="Q21" s="88"/>
      <c r="R21" s="76">
        <f t="shared" si="7"/>
        <v>0</v>
      </c>
      <c r="S21" s="88"/>
      <c r="T21" s="76">
        <f t="shared" si="27"/>
        <v>0</v>
      </c>
      <c r="U21" s="88"/>
      <c r="V21" s="76">
        <f t="shared" si="9"/>
        <v>0</v>
      </c>
      <c r="W21" s="309"/>
      <c r="X21" s="313">
        <f t="shared" si="10"/>
        <v>1704500</v>
      </c>
      <c r="Y21" s="87"/>
      <c r="Z21" s="85">
        <v>6800</v>
      </c>
      <c r="AA21" s="85">
        <f t="shared" si="35"/>
        <v>0</v>
      </c>
      <c r="AB21" s="87"/>
      <c r="AC21" s="86" t="s">
        <v>118</v>
      </c>
      <c r="AD21" s="82">
        <f t="shared" si="40"/>
        <v>27250</v>
      </c>
      <c r="AE21" s="85">
        <f t="shared" si="36"/>
        <v>0</v>
      </c>
      <c r="AF21" s="87"/>
      <c r="AG21" s="86" t="s">
        <v>119</v>
      </c>
      <c r="AH21" s="82">
        <f t="shared" si="41"/>
        <v>54500</v>
      </c>
      <c r="AI21" s="85">
        <f t="shared" si="37"/>
        <v>0</v>
      </c>
      <c r="AJ21" s="87"/>
      <c r="AK21" s="86" t="s">
        <v>115</v>
      </c>
      <c r="AL21" s="82">
        <f t="shared" si="42"/>
        <v>54500</v>
      </c>
      <c r="AM21" s="85">
        <f t="shared" si="38"/>
        <v>0</v>
      </c>
      <c r="AN21" s="311">
        <f t="shared" si="11"/>
        <v>0</v>
      </c>
      <c r="AO21" s="78">
        <f t="shared" si="33"/>
        <v>100</v>
      </c>
      <c r="AP21" s="83">
        <v>50000</v>
      </c>
      <c r="AQ21" s="322">
        <f>X21+AP21-AN21</f>
        <v>1754500</v>
      </c>
      <c r="AR21" s="327">
        <v>100000</v>
      </c>
    </row>
    <row r="22" spans="1:44" s="58" customFormat="1" x14ac:dyDescent="0.2">
      <c r="A22" s="53">
        <v>12</v>
      </c>
      <c r="B22" s="54" t="s">
        <v>60</v>
      </c>
      <c r="C22" s="54" t="s">
        <v>61</v>
      </c>
      <c r="D22" s="55">
        <v>2017</v>
      </c>
      <c r="E22" s="55">
        <f t="shared" si="25"/>
        <v>2022</v>
      </c>
      <c r="F22" s="53">
        <f t="shared" si="34"/>
        <v>5</v>
      </c>
      <c r="G22" s="53">
        <v>26</v>
      </c>
      <c r="H22" s="257">
        <v>26</v>
      </c>
      <c r="I22" s="123"/>
      <c r="J22" s="56">
        <v>92500</v>
      </c>
      <c r="K22" s="56">
        <v>54500</v>
      </c>
      <c r="L22" s="56">
        <f t="shared" si="39"/>
        <v>1417000</v>
      </c>
      <c r="M22" s="56">
        <v>70000</v>
      </c>
      <c r="N22" s="320" t="s">
        <v>304</v>
      </c>
      <c r="O22" s="56"/>
      <c r="P22" s="320"/>
      <c r="Q22" s="88"/>
      <c r="R22" s="76">
        <f t="shared" si="7"/>
        <v>0</v>
      </c>
      <c r="S22" s="88"/>
      <c r="T22" s="76">
        <f t="shared" si="27"/>
        <v>0</v>
      </c>
      <c r="U22" s="88"/>
      <c r="V22" s="76">
        <f t="shared" si="9"/>
        <v>0</v>
      </c>
      <c r="W22" s="309">
        <v>100000</v>
      </c>
      <c r="X22" s="313">
        <f t="shared" si="10"/>
        <v>1679500</v>
      </c>
      <c r="Y22" s="87"/>
      <c r="Z22" s="85">
        <v>6800</v>
      </c>
      <c r="AA22" s="85">
        <f t="shared" si="35"/>
        <v>0</v>
      </c>
      <c r="AB22" s="87"/>
      <c r="AC22" s="86" t="s">
        <v>118</v>
      </c>
      <c r="AD22" s="82">
        <f t="shared" si="40"/>
        <v>27250</v>
      </c>
      <c r="AE22" s="85">
        <f t="shared" si="36"/>
        <v>0</v>
      </c>
      <c r="AF22" s="87"/>
      <c r="AG22" s="86" t="s">
        <v>119</v>
      </c>
      <c r="AH22" s="82">
        <f t="shared" si="41"/>
        <v>54500</v>
      </c>
      <c r="AI22" s="85">
        <f t="shared" si="37"/>
        <v>0</v>
      </c>
      <c r="AJ22" s="87"/>
      <c r="AK22" s="86" t="s">
        <v>115</v>
      </c>
      <c r="AL22" s="82">
        <f t="shared" si="42"/>
        <v>54500</v>
      </c>
      <c r="AM22" s="85">
        <f t="shared" si="38"/>
        <v>0</v>
      </c>
      <c r="AN22" s="311">
        <f t="shared" si="11"/>
        <v>0</v>
      </c>
      <c r="AO22" s="78">
        <f t="shared" si="33"/>
        <v>100</v>
      </c>
      <c r="AP22" s="83">
        <v>50000</v>
      </c>
      <c r="AQ22" s="322">
        <f>X22+AP22-AN22</f>
        <v>1729500</v>
      </c>
      <c r="AR22" s="327">
        <v>100000</v>
      </c>
    </row>
    <row r="23" spans="1:44" s="58" customFormat="1" x14ac:dyDescent="0.2">
      <c r="A23" s="53">
        <v>13</v>
      </c>
      <c r="B23" s="54" t="s">
        <v>13</v>
      </c>
      <c r="C23" s="54" t="s">
        <v>61</v>
      </c>
      <c r="D23" s="55">
        <v>2002</v>
      </c>
      <c r="E23" s="55">
        <f t="shared" si="25"/>
        <v>2022</v>
      </c>
      <c r="F23" s="53">
        <f t="shared" si="34"/>
        <v>20</v>
      </c>
      <c r="G23" s="53">
        <v>26</v>
      </c>
      <c r="H23" s="257">
        <v>26</v>
      </c>
      <c r="I23" s="123"/>
      <c r="J23" s="56">
        <v>140000</v>
      </c>
      <c r="K23" s="56">
        <v>54500</v>
      </c>
      <c r="L23" s="56">
        <f t="shared" si="39"/>
        <v>1417000</v>
      </c>
      <c r="M23" s="56">
        <v>70000</v>
      </c>
      <c r="N23" s="320" t="s">
        <v>304</v>
      </c>
      <c r="O23" s="56"/>
      <c r="P23" s="320"/>
      <c r="Q23" s="88"/>
      <c r="R23" s="76">
        <f t="shared" si="7"/>
        <v>0</v>
      </c>
      <c r="S23" s="88"/>
      <c r="T23" s="76">
        <f t="shared" si="27"/>
        <v>0</v>
      </c>
      <c r="U23" s="88"/>
      <c r="V23" s="76">
        <f t="shared" si="9"/>
        <v>0</v>
      </c>
      <c r="W23" s="309">
        <v>224000</v>
      </c>
      <c r="X23" s="313">
        <f t="shared" si="10"/>
        <v>1851000</v>
      </c>
      <c r="Y23" s="87"/>
      <c r="Z23" s="85">
        <v>6800</v>
      </c>
      <c r="AA23" s="85">
        <f t="shared" si="35"/>
        <v>0</v>
      </c>
      <c r="AB23" s="87"/>
      <c r="AC23" s="86" t="s">
        <v>118</v>
      </c>
      <c r="AD23" s="82">
        <f t="shared" si="40"/>
        <v>27250</v>
      </c>
      <c r="AE23" s="85">
        <f t="shared" si="36"/>
        <v>0</v>
      </c>
      <c r="AF23" s="87"/>
      <c r="AG23" s="86" t="s">
        <v>119</v>
      </c>
      <c r="AH23" s="82">
        <f t="shared" si="41"/>
        <v>54500</v>
      </c>
      <c r="AI23" s="85">
        <f t="shared" si="37"/>
        <v>0</v>
      </c>
      <c r="AJ23" s="87"/>
      <c r="AK23" s="86" t="s">
        <v>115</v>
      </c>
      <c r="AL23" s="82">
        <f t="shared" si="42"/>
        <v>54500</v>
      </c>
      <c r="AM23" s="85">
        <f t="shared" si="38"/>
        <v>0</v>
      </c>
      <c r="AN23" s="311">
        <f t="shared" si="11"/>
        <v>0</v>
      </c>
      <c r="AO23" s="78">
        <f t="shared" si="33"/>
        <v>100</v>
      </c>
      <c r="AP23" s="83">
        <v>50000</v>
      </c>
      <c r="AQ23" s="322">
        <f>X23+AP23-AN23</f>
        <v>1901000</v>
      </c>
      <c r="AR23" s="327">
        <v>100000</v>
      </c>
    </row>
    <row r="24" spans="1:44" s="58" customFormat="1" x14ac:dyDescent="0.2">
      <c r="A24" s="53">
        <v>14</v>
      </c>
      <c r="B24" s="54" t="s">
        <v>181</v>
      </c>
      <c r="C24" s="54" t="s">
        <v>164</v>
      </c>
      <c r="D24" s="55">
        <v>2022</v>
      </c>
      <c r="E24" s="55">
        <f t="shared" si="25"/>
        <v>2022</v>
      </c>
      <c r="F24" s="53">
        <f>E24-D24</f>
        <v>0</v>
      </c>
      <c r="G24" s="53">
        <v>26</v>
      </c>
      <c r="H24" s="257">
        <v>26</v>
      </c>
      <c r="I24" s="123"/>
      <c r="J24" s="56">
        <v>80000</v>
      </c>
      <c r="K24" s="56">
        <v>54500</v>
      </c>
      <c r="L24" s="56">
        <f t="shared" si="39"/>
        <v>1417000</v>
      </c>
      <c r="M24" s="56">
        <v>70000</v>
      </c>
      <c r="N24" s="320" t="s">
        <v>304</v>
      </c>
      <c r="O24" s="56"/>
      <c r="P24" s="320"/>
      <c r="Q24" s="88"/>
      <c r="R24" s="76">
        <f t="shared" si="7"/>
        <v>0</v>
      </c>
      <c r="S24" s="88"/>
      <c r="T24" s="76">
        <f t="shared" si="27"/>
        <v>0</v>
      </c>
      <c r="U24" s="88"/>
      <c r="V24" s="76">
        <f t="shared" si="9"/>
        <v>0</v>
      </c>
      <c r="W24" s="309"/>
      <c r="X24" s="313">
        <f t="shared" si="10"/>
        <v>1567000</v>
      </c>
      <c r="Y24" s="87"/>
      <c r="Z24" s="85">
        <v>6800</v>
      </c>
      <c r="AA24" s="85">
        <f>Y24*Z24</f>
        <v>0</v>
      </c>
      <c r="AB24" s="87"/>
      <c r="AC24" s="86" t="s">
        <v>118</v>
      </c>
      <c r="AD24" s="82">
        <f>IF(AC24="S",27250,54500)</f>
        <v>27250</v>
      </c>
      <c r="AE24" s="85">
        <f>AB24*AD24</f>
        <v>0</v>
      </c>
      <c r="AF24" s="87"/>
      <c r="AG24" s="86" t="s">
        <v>119</v>
      </c>
      <c r="AH24" s="82">
        <f>IF(AG24="S",27250,54500)</f>
        <v>54500</v>
      </c>
      <c r="AI24" s="85">
        <f>AF24*AH24</f>
        <v>0</v>
      </c>
      <c r="AJ24" s="87"/>
      <c r="AK24" s="86" t="s">
        <v>115</v>
      </c>
      <c r="AL24" s="82">
        <f>IF(AK24="S",27250,54500)</f>
        <v>54500</v>
      </c>
      <c r="AM24" s="85">
        <f>AJ24*AL24</f>
        <v>0</v>
      </c>
      <c r="AN24" s="311">
        <f t="shared" si="11"/>
        <v>0</v>
      </c>
      <c r="AO24" s="78">
        <f t="shared" si="33"/>
        <v>100</v>
      </c>
      <c r="AP24" s="83">
        <v>50000</v>
      </c>
      <c r="AQ24" s="322">
        <f>X24+AP24-AN24</f>
        <v>1617000</v>
      </c>
      <c r="AR24" s="327">
        <v>100000</v>
      </c>
    </row>
    <row r="25" spans="1:44" s="58" customFormat="1" x14ac:dyDescent="0.2">
      <c r="A25" s="53">
        <v>15</v>
      </c>
      <c r="B25" s="54" t="s">
        <v>267</v>
      </c>
      <c r="C25" s="54" t="s">
        <v>265</v>
      </c>
      <c r="D25" s="55">
        <v>2022</v>
      </c>
      <c r="E25" s="55">
        <f t="shared" si="25"/>
        <v>2022</v>
      </c>
      <c r="F25" s="53">
        <f>E25-D25</f>
        <v>0</v>
      </c>
      <c r="G25" s="53">
        <v>26</v>
      </c>
      <c r="H25" s="257">
        <v>26</v>
      </c>
      <c r="I25" s="123"/>
      <c r="J25" s="56">
        <v>80000</v>
      </c>
      <c r="K25" s="56">
        <v>54500</v>
      </c>
      <c r="L25" s="56">
        <f t="shared" si="39"/>
        <v>1417000</v>
      </c>
      <c r="M25" s="56">
        <v>70000</v>
      </c>
      <c r="N25" s="320" t="s">
        <v>304</v>
      </c>
      <c r="O25" s="56">
        <v>200000</v>
      </c>
      <c r="P25" s="57" t="s">
        <v>296</v>
      </c>
      <c r="Q25" s="88"/>
      <c r="R25" s="76">
        <f t="shared" si="7"/>
        <v>0</v>
      </c>
      <c r="S25" s="88"/>
      <c r="T25" s="76">
        <f t="shared" si="27"/>
        <v>0</v>
      </c>
      <c r="U25" s="88"/>
      <c r="V25" s="76">
        <f t="shared" si="9"/>
        <v>0</v>
      </c>
      <c r="W25" s="309">
        <v>18000</v>
      </c>
      <c r="X25" s="313">
        <f t="shared" si="10"/>
        <v>1785000</v>
      </c>
      <c r="Y25" s="87"/>
      <c r="Z25" s="85">
        <v>6800</v>
      </c>
      <c r="AA25" s="85">
        <f>Y25*Z25</f>
        <v>0</v>
      </c>
      <c r="AB25" s="87"/>
      <c r="AC25" s="86" t="s">
        <v>118</v>
      </c>
      <c r="AD25" s="82">
        <f>IF(AC25="S",27250,54500)</f>
        <v>27250</v>
      </c>
      <c r="AE25" s="85">
        <f>AB25*AD25</f>
        <v>0</v>
      </c>
      <c r="AF25" s="87"/>
      <c r="AG25" s="86" t="s">
        <v>119</v>
      </c>
      <c r="AH25" s="82">
        <f>IF(AG25="S",27250,54500)</f>
        <v>54500</v>
      </c>
      <c r="AI25" s="85">
        <f>AF25*AH25</f>
        <v>0</v>
      </c>
      <c r="AJ25" s="87"/>
      <c r="AK25" s="86" t="s">
        <v>115</v>
      </c>
      <c r="AL25" s="82">
        <f>IF(AK25="S",27250,54500)</f>
        <v>54500</v>
      </c>
      <c r="AM25" s="85">
        <f>AJ25*AL25</f>
        <v>0</v>
      </c>
      <c r="AN25" s="311">
        <f t="shared" si="11"/>
        <v>0</v>
      </c>
      <c r="AO25" s="78">
        <f t="shared" si="33"/>
        <v>100</v>
      </c>
      <c r="AP25" s="83">
        <v>50000</v>
      </c>
      <c r="AQ25" s="322">
        <f>X25+AP25-AN25</f>
        <v>1835000</v>
      </c>
      <c r="AR25" s="327">
        <v>100000</v>
      </c>
    </row>
    <row r="26" spans="1:44" s="58" customFormat="1" x14ac:dyDescent="0.2">
      <c r="A26" s="53">
        <v>16</v>
      </c>
      <c r="B26" s="54" t="s">
        <v>263</v>
      </c>
      <c r="C26" s="54" t="s">
        <v>264</v>
      </c>
      <c r="D26" s="55">
        <v>2022</v>
      </c>
      <c r="E26" s="55">
        <f t="shared" si="25"/>
        <v>2022</v>
      </c>
      <c r="F26" s="53">
        <f t="shared" ref="F26" si="43">E26-D26</f>
        <v>0</v>
      </c>
      <c r="G26" s="53">
        <v>24</v>
      </c>
      <c r="H26" s="257">
        <v>26</v>
      </c>
      <c r="I26" s="123"/>
      <c r="J26" s="56">
        <v>65000</v>
      </c>
      <c r="K26" s="56">
        <v>54500</v>
      </c>
      <c r="L26" s="56">
        <f t="shared" si="39"/>
        <v>1308000</v>
      </c>
      <c r="M26" s="56"/>
      <c r="N26" s="320"/>
      <c r="O26" s="56"/>
      <c r="P26" s="57"/>
      <c r="Q26" s="88"/>
      <c r="R26" s="76">
        <f t="shared" si="7"/>
        <v>0</v>
      </c>
      <c r="S26" s="88"/>
      <c r="T26" s="76">
        <f t="shared" si="27"/>
        <v>0</v>
      </c>
      <c r="U26" s="88"/>
      <c r="V26" s="76">
        <f t="shared" si="9"/>
        <v>0</v>
      </c>
      <c r="W26" s="309">
        <v>17000</v>
      </c>
      <c r="X26" s="313">
        <f t="shared" si="10"/>
        <v>1390000</v>
      </c>
      <c r="Y26" s="87"/>
      <c r="Z26" s="85">
        <v>6800</v>
      </c>
      <c r="AA26" s="85">
        <f t="shared" ref="AA26" si="44">Y26*Z26</f>
        <v>0</v>
      </c>
      <c r="AB26" s="87"/>
      <c r="AC26" s="86" t="s">
        <v>118</v>
      </c>
      <c r="AD26" s="82">
        <f t="shared" ref="AD26" si="45">IF(AC26="S",27250,54500)</f>
        <v>27250</v>
      </c>
      <c r="AE26" s="85">
        <f t="shared" ref="AE26" si="46">AB26*AD26</f>
        <v>0</v>
      </c>
      <c r="AF26" s="87"/>
      <c r="AG26" s="86" t="s">
        <v>119</v>
      </c>
      <c r="AH26" s="82">
        <f t="shared" ref="AH26" si="47">IF(AG26="S",27250,54500)</f>
        <v>54500</v>
      </c>
      <c r="AI26" s="85">
        <f t="shared" ref="AI26" si="48">AF26*AH26</f>
        <v>0</v>
      </c>
      <c r="AJ26" s="87"/>
      <c r="AK26" s="86" t="s">
        <v>115</v>
      </c>
      <c r="AL26" s="82">
        <f t="shared" ref="AL26" si="49">IF(AK26="S",27250,54500)</f>
        <v>54500</v>
      </c>
      <c r="AM26" s="85">
        <f t="shared" ref="AM26" si="50">AJ26*AL26</f>
        <v>0</v>
      </c>
      <c r="AN26" s="311">
        <f t="shared" si="11"/>
        <v>0</v>
      </c>
      <c r="AO26" s="78">
        <f t="shared" si="33"/>
        <v>100</v>
      </c>
      <c r="AP26" s="83">
        <v>50000</v>
      </c>
      <c r="AQ26" s="322">
        <f>X26+AP26-AN26</f>
        <v>1440000</v>
      </c>
      <c r="AR26" s="327">
        <v>100000</v>
      </c>
    </row>
    <row r="27" spans="1:44" x14ac:dyDescent="0.2">
      <c r="A27" s="79" t="s">
        <v>127</v>
      </c>
      <c r="B27" s="317"/>
      <c r="C27" s="265"/>
      <c r="D27" s="318"/>
      <c r="E27" s="318"/>
      <c r="F27" s="265"/>
      <c r="G27" s="318"/>
      <c r="H27" s="318"/>
      <c r="I27" s="265"/>
      <c r="J27" s="265"/>
      <c r="K27" s="265"/>
      <c r="L27" s="263"/>
      <c r="M27" s="319"/>
      <c r="N27" s="319"/>
      <c r="O27" s="319"/>
      <c r="P27" s="51"/>
      <c r="Q27" s="259"/>
      <c r="R27" s="52"/>
      <c r="S27" s="259"/>
      <c r="T27" s="52"/>
      <c r="U27" s="77"/>
      <c r="V27" s="52"/>
      <c r="W27" s="52"/>
      <c r="X27" s="52"/>
      <c r="Y27" s="84"/>
      <c r="Z27" s="51"/>
      <c r="AA27" s="52"/>
      <c r="AB27" s="84"/>
      <c r="AC27" s="80"/>
      <c r="AD27" s="223"/>
      <c r="AE27" s="52"/>
      <c r="AF27" s="84"/>
      <c r="AG27" s="80"/>
      <c r="AH27" s="259"/>
      <c r="AI27" s="52"/>
      <c r="AJ27" s="84"/>
      <c r="AK27" s="80"/>
      <c r="AL27" s="259"/>
      <c r="AM27" s="52"/>
      <c r="AN27" s="52"/>
      <c r="AO27" s="259"/>
      <c r="AP27" s="259"/>
      <c r="AQ27" s="259"/>
      <c r="AR27" s="259"/>
    </row>
    <row r="28" spans="1:44" x14ac:dyDescent="0.2">
      <c r="A28" s="59">
        <v>17</v>
      </c>
      <c r="B28" s="60" t="s">
        <v>15</v>
      </c>
      <c r="C28" s="61" t="s">
        <v>51</v>
      </c>
      <c r="D28" s="53">
        <v>1996</v>
      </c>
      <c r="E28" s="55">
        <f t="shared" ref="E28:E37" si="51">$E$9</f>
        <v>2022</v>
      </c>
      <c r="F28" s="53">
        <f>E28-D28</f>
        <v>26</v>
      </c>
      <c r="G28" s="53">
        <v>20</v>
      </c>
      <c r="H28" s="55">
        <f t="shared" si="6"/>
        <v>80</v>
      </c>
      <c r="I28" s="56">
        <f t="shared" ref="I28:I56" si="52">VLOOKUP(F28,BAKU,2)</f>
        <v>6500</v>
      </c>
      <c r="J28" s="56">
        <f>IF(G28&gt;30,30*I28,G28*I28)</f>
        <v>130000</v>
      </c>
      <c r="K28" s="56">
        <f>IF(C28="Guru",66000,56000)</f>
        <v>66000</v>
      </c>
      <c r="L28" s="56">
        <f>IF(AND(C28="TPG",G28&lt;=24),G28*56000,IF(AND(C28="TPG",G28&gt;24),(24*56000)+((G28-24)*66000),G28*66000))</f>
        <v>1320000</v>
      </c>
      <c r="M28" s="91"/>
      <c r="N28" s="92"/>
      <c r="O28" s="91"/>
      <c r="P28" s="92"/>
      <c r="Q28" s="88"/>
      <c r="R28" s="76">
        <f t="shared" si="7"/>
        <v>0</v>
      </c>
      <c r="S28" s="88"/>
      <c r="T28" s="76">
        <f t="shared" ref="T28:T64" si="53">S28*7500</f>
        <v>0</v>
      </c>
      <c r="U28" s="88"/>
      <c r="V28" s="76">
        <f t="shared" si="9"/>
        <v>0</v>
      </c>
      <c r="W28" s="309"/>
      <c r="X28" s="313">
        <f t="shared" si="10"/>
        <v>1450000</v>
      </c>
      <c r="Y28" s="87"/>
      <c r="Z28" s="85">
        <f>IF(C28="Guru",16500,IF(C28="TPG",14000,15250))</f>
        <v>16500</v>
      </c>
      <c r="AA28" s="85">
        <f t="shared" ref="AA28:AA69" si="54">Y28*Z28</f>
        <v>0</v>
      </c>
      <c r="AB28" s="87"/>
      <c r="AC28" s="86" t="s">
        <v>118</v>
      </c>
      <c r="AD28" s="82">
        <f>IF(AND(C28="Guru",AC28="S"),8250,IF(AND(C28="Guru",AC28="I"),16500,IF(AND(C28="TPG",AC28="S"),7000,IF(AND(C28="TPG",AC28="I"),14000,IF(AND(C28="GURU",AC28="A"),16500,14000)))))</f>
        <v>8250</v>
      </c>
      <c r="AE28" s="85">
        <f>AB28*AD28</f>
        <v>0</v>
      </c>
      <c r="AF28" s="87"/>
      <c r="AG28" s="86" t="s">
        <v>119</v>
      </c>
      <c r="AH28" s="82">
        <f>IF(AND(G28="Guru",AG28="S"),8250,IF(AND(G28="Guru",AG28="I"),16500,IF(AND(G28="TPG",AG28="S"),7000,IF(AND(G28="TPG",AG28="I"),14000,IF(AND(G28="GURU",AG28="A"),16500,14000)))))</f>
        <v>14000</v>
      </c>
      <c r="AI28" s="85">
        <f>AF28*AH28</f>
        <v>0</v>
      </c>
      <c r="AJ28" s="87"/>
      <c r="AK28" s="86" t="s">
        <v>115</v>
      </c>
      <c r="AL28" s="82">
        <f>IF(AND(G28="Guru",AK28="S"),8250,IF(AND(G28="Guru",AK28="I"),16500,IF(AND(G28="TPG",AK28="S"),7000,IF(AND(G28="TPG",AK28="I"),14000,IF(AND(G28="GURU",AK28="A"),16500,14000)))))</f>
        <v>14000</v>
      </c>
      <c r="AM28" s="85">
        <f>AJ28*AL28</f>
        <v>0</v>
      </c>
      <c r="AN28" s="311">
        <f t="shared" si="11"/>
        <v>0</v>
      </c>
      <c r="AO28" s="78">
        <f t="shared" ref="AO28:AO64" si="55">((H28-(AB28+AF28+AJ28))/H28)*100</f>
        <v>100</v>
      </c>
      <c r="AP28" s="83">
        <f>IF(AO28&lt;100,0,50000)</f>
        <v>50000</v>
      </c>
      <c r="AQ28" s="322">
        <f>X28+AP28-AN28</f>
        <v>1500000</v>
      </c>
      <c r="AR28" s="327">
        <v>50000</v>
      </c>
    </row>
    <row r="29" spans="1:44" x14ac:dyDescent="0.2">
      <c r="A29" s="59">
        <v>18</v>
      </c>
      <c r="B29" s="60" t="s">
        <v>16</v>
      </c>
      <c r="C29" s="61" t="s">
        <v>51</v>
      </c>
      <c r="D29" s="53">
        <v>2001</v>
      </c>
      <c r="E29" s="55">
        <f t="shared" si="51"/>
        <v>2022</v>
      </c>
      <c r="F29" s="53">
        <f t="shared" ref="F29:F56" si="56">E29-D29</f>
        <v>21</v>
      </c>
      <c r="G29" s="53">
        <v>18</v>
      </c>
      <c r="H29" s="55">
        <f t="shared" si="6"/>
        <v>72</v>
      </c>
      <c r="I29" s="56">
        <f t="shared" si="52"/>
        <v>5500</v>
      </c>
      <c r="J29" s="56">
        <f t="shared" ref="J29:J62" si="57">IF(G29&gt;30,30*I29,G29*I29)</f>
        <v>99000</v>
      </c>
      <c r="K29" s="56">
        <f t="shared" ref="K29:K64" si="58">IF(C29="Guru",66000,56000)</f>
        <v>66000</v>
      </c>
      <c r="L29" s="56">
        <f>IF(AND(C29="TPG",G29&lt;=24),G29*56000,IF(AND(C29="TPG",G29&gt;24),(24*56000)+((G29-24)*66000),G29*66000))</f>
        <v>1188000</v>
      </c>
      <c r="M29" s="91"/>
      <c r="N29" s="92"/>
      <c r="O29" s="91"/>
      <c r="P29" s="92"/>
      <c r="Q29" s="88"/>
      <c r="R29" s="76">
        <f t="shared" si="7"/>
        <v>0</v>
      </c>
      <c r="S29" s="88"/>
      <c r="T29" s="76">
        <f t="shared" si="53"/>
        <v>0</v>
      </c>
      <c r="U29" s="88"/>
      <c r="V29" s="76">
        <f t="shared" si="9"/>
        <v>0</v>
      </c>
      <c r="W29" s="309"/>
      <c r="X29" s="313">
        <f t="shared" si="10"/>
        <v>1287000</v>
      </c>
      <c r="Y29" s="87"/>
      <c r="Z29" s="85">
        <f>IF(C29="Guru",16500,IF(C29="TPG",14000,15250))</f>
        <v>16500</v>
      </c>
      <c r="AA29" s="85">
        <f t="shared" si="54"/>
        <v>0</v>
      </c>
      <c r="AB29" s="87"/>
      <c r="AC29" s="86" t="s">
        <v>118</v>
      </c>
      <c r="AD29" s="82">
        <f>IF(AND(C29="Guru",AC29="S"),8250,IF(AND(C29="Guru",AC29="I"),16500,IF(AND(C29="TPG",AC29="S"),7000,IF(AND(C29="TPG",AC29="I"),14000,IF(AND(C29="GURU",AC29="A"),16500,14000)))))</f>
        <v>8250</v>
      </c>
      <c r="AE29" s="85">
        <f t="shared" ref="AE29:AE68" si="59">AB29*AD29</f>
        <v>0</v>
      </c>
      <c r="AF29" s="87"/>
      <c r="AG29" s="86" t="s">
        <v>119</v>
      </c>
      <c r="AH29" s="82">
        <f>IF(AND(G29="Guru",AG29="S"),8250,IF(AND(G29="Guru",AG29="I"),16500,IF(AND(G29="TPG",AG29="S"),7000,IF(AND(G29="TPG",AG29="I"),14000,IF(AND(G29="GURU",AG29="A"),16500,14000)))))</f>
        <v>14000</v>
      </c>
      <c r="AI29" s="85">
        <f t="shared" ref="AI29:AI68" si="60">AF29*AH29</f>
        <v>0</v>
      </c>
      <c r="AJ29" s="87"/>
      <c r="AK29" s="86" t="s">
        <v>115</v>
      </c>
      <c r="AL29" s="82">
        <f>IF(AND(G29="Guru",AK29="S"),8250,IF(AND(G29="Guru",AK29="I"),16500,IF(AND(G29="TPG",AK29="S"),7000,IF(AND(G29="TPG",AK29="I"),14000,IF(AND(G29="GURU",AK29="A"),16500,14000)))))</f>
        <v>14000</v>
      </c>
      <c r="AM29" s="85">
        <f t="shared" ref="AM29:AM68" si="61">AJ29*AL29</f>
        <v>0</v>
      </c>
      <c r="AN29" s="311">
        <f t="shared" si="11"/>
        <v>0</v>
      </c>
      <c r="AO29" s="78">
        <f t="shared" si="55"/>
        <v>100</v>
      </c>
      <c r="AP29" s="83">
        <f t="shared" ref="AP29:AP64" si="62">IF(AO29&lt;100,0,50000)</f>
        <v>50000</v>
      </c>
      <c r="AQ29" s="322">
        <f>X29+AP29-AN29</f>
        <v>1337000</v>
      </c>
      <c r="AR29" s="327">
        <v>25000</v>
      </c>
    </row>
    <row r="30" spans="1:44" x14ac:dyDescent="0.2">
      <c r="A30" s="59">
        <v>19</v>
      </c>
      <c r="B30" s="60" t="s">
        <v>17</v>
      </c>
      <c r="C30" s="61" t="s">
        <v>51</v>
      </c>
      <c r="D30" s="53">
        <v>2004</v>
      </c>
      <c r="E30" s="55">
        <f t="shared" si="51"/>
        <v>2022</v>
      </c>
      <c r="F30" s="53">
        <f t="shared" si="56"/>
        <v>18</v>
      </c>
      <c r="G30" s="53">
        <v>18</v>
      </c>
      <c r="H30" s="55">
        <f t="shared" si="6"/>
        <v>72</v>
      </c>
      <c r="I30" s="56">
        <f t="shared" si="52"/>
        <v>5000</v>
      </c>
      <c r="J30" s="56">
        <f t="shared" si="57"/>
        <v>90000</v>
      </c>
      <c r="K30" s="56">
        <f t="shared" si="58"/>
        <v>66000</v>
      </c>
      <c r="L30" s="56">
        <f>IF(AND(C30="TPG",G30&lt;=24),G30*56000,IF(AND(C30="TPG",G30&gt;24),(24*56000)+((G30-24)*66000),G30*66000))</f>
        <v>1188000</v>
      </c>
      <c r="M30" s="91"/>
      <c r="N30" s="92"/>
      <c r="O30" s="91"/>
      <c r="P30" s="92"/>
      <c r="Q30" s="88"/>
      <c r="R30" s="76">
        <f t="shared" si="7"/>
        <v>0</v>
      </c>
      <c r="S30" s="88"/>
      <c r="T30" s="76">
        <f t="shared" si="53"/>
        <v>0</v>
      </c>
      <c r="U30" s="88"/>
      <c r="V30" s="76">
        <f t="shared" si="9"/>
        <v>0</v>
      </c>
      <c r="W30" s="309"/>
      <c r="X30" s="313">
        <f t="shared" si="10"/>
        <v>1278000</v>
      </c>
      <c r="Y30" s="87"/>
      <c r="Z30" s="85">
        <f>IF(C30="Guru",16500,IF(C30="TPG",14000,15250))</f>
        <v>16500</v>
      </c>
      <c r="AA30" s="85">
        <f t="shared" si="54"/>
        <v>0</v>
      </c>
      <c r="AB30" s="87"/>
      <c r="AC30" s="86" t="s">
        <v>118</v>
      </c>
      <c r="AD30" s="82">
        <f>IF(AND(C30="Guru",AC30="S"),8250,IF(AND(C30="Guru",AC30="I"),16500,IF(AND(C30="TPG",AC30="S"),7000,IF(AND(C30="TPG",AC30="I"),14000,IF(AND(C30="GURU",AC30="A"),16500,14000)))))</f>
        <v>8250</v>
      </c>
      <c r="AE30" s="85">
        <f t="shared" si="59"/>
        <v>0</v>
      </c>
      <c r="AF30" s="87"/>
      <c r="AG30" s="86" t="s">
        <v>119</v>
      </c>
      <c r="AH30" s="82">
        <f>IF(AND(G30="Guru",AG30="S"),8250,IF(AND(G30="Guru",AG30="I"),16500,IF(AND(G30="TPG",AG30="S"),7000,IF(AND(G30="TPG",AG30="I"),14000,IF(AND(G30="GURU",AG30="A"),16500,14000)))))</f>
        <v>14000</v>
      </c>
      <c r="AI30" s="85">
        <f t="shared" si="60"/>
        <v>0</v>
      </c>
      <c r="AJ30" s="87"/>
      <c r="AK30" s="86" t="s">
        <v>115</v>
      </c>
      <c r="AL30" s="82">
        <f>IF(AND(G30="Guru",AK30="S"),8250,IF(AND(G30="Guru",AK30="I"),16500,IF(AND(G30="TPG",AK30="S"),7000,IF(AND(G30="TPG",AK30="I"),14000,IF(AND(G30="GURU",AK30="A"),16500,14000)))))</f>
        <v>14000</v>
      </c>
      <c r="AM30" s="85">
        <f t="shared" si="61"/>
        <v>0</v>
      </c>
      <c r="AN30" s="311">
        <f t="shared" si="11"/>
        <v>0</v>
      </c>
      <c r="AO30" s="78">
        <f t="shared" si="55"/>
        <v>100</v>
      </c>
      <c r="AP30" s="83">
        <f t="shared" si="62"/>
        <v>50000</v>
      </c>
      <c r="AQ30" s="322">
        <f>X30+AP30-AN30</f>
        <v>1328000</v>
      </c>
      <c r="AR30" s="327">
        <v>25000</v>
      </c>
    </row>
    <row r="31" spans="1:44" x14ac:dyDescent="0.2">
      <c r="A31" s="59">
        <v>20</v>
      </c>
      <c r="B31" s="60" t="s">
        <v>19</v>
      </c>
      <c r="C31" s="61" t="s">
        <v>51</v>
      </c>
      <c r="D31" s="53">
        <v>2010</v>
      </c>
      <c r="E31" s="55">
        <f t="shared" si="51"/>
        <v>2022</v>
      </c>
      <c r="F31" s="53">
        <f t="shared" si="56"/>
        <v>12</v>
      </c>
      <c r="G31" s="53">
        <v>6</v>
      </c>
      <c r="H31" s="55">
        <f t="shared" si="6"/>
        <v>24</v>
      </c>
      <c r="I31" s="56">
        <f t="shared" si="52"/>
        <v>4000</v>
      </c>
      <c r="J31" s="56">
        <f t="shared" si="57"/>
        <v>24000</v>
      </c>
      <c r="K31" s="56">
        <f t="shared" si="58"/>
        <v>66000</v>
      </c>
      <c r="L31" s="56">
        <f>IF(AND(C31="TPG",G31&lt;=24),G31*56000,IF(AND(C31="TPG",G31&gt;24),(24*56000)+((G31-24)*66000),G31*66000))</f>
        <v>396000</v>
      </c>
      <c r="M31" s="91"/>
      <c r="N31" s="92"/>
      <c r="O31" s="91"/>
      <c r="P31" s="92"/>
      <c r="Q31" s="88"/>
      <c r="R31" s="76">
        <f t="shared" si="7"/>
        <v>0</v>
      </c>
      <c r="S31" s="88"/>
      <c r="T31" s="76">
        <f t="shared" si="53"/>
        <v>0</v>
      </c>
      <c r="U31" s="88"/>
      <c r="V31" s="76">
        <f t="shared" si="9"/>
        <v>0</v>
      </c>
      <c r="W31" s="309"/>
      <c r="X31" s="313">
        <f t="shared" si="10"/>
        <v>420000</v>
      </c>
      <c r="Y31" s="87"/>
      <c r="Z31" s="85">
        <f>IF(C31="Guru",16500,IF(C31="TPG",14000,15250))</f>
        <v>16500</v>
      </c>
      <c r="AA31" s="85">
        <f t="shared" si="54"/>
        <v>0</v>
      </c>
      <c r="AB31" s="87"/>
      <c r="AC31" s="86" t="s">
        <v>118</v>
      </c>
      <c r="AD31" s="82">
        <f>IF(AND(C31="Guru",AC31="S"),8250,IF(AND(C31="Guru",AC31="I"),16500,IF(AND(C31="TPG",AC31="S"),7000,IF(AND(C31="TPG",AC31="I"),14000,IF(AND(C31="GURU",AC31="A"),16500,14000)))))</f>
        <v>8250</v>
      </c>
      <c r="AE31" s="85">
        <f t="shared" si="59"/>
        <v>0</v>
      </c>
      <c r="AF31" s="87"/>
      <c r="AG31" s="86" t="s">
        <v>119</v>
      </c>
      <c r="AH31" s="82">
        <f>IF(AND(G31="Guru",AG31="S"),8250,IF(AND(G31="Guru",AG31="I"),16500,IF(AND(G31="TPG",AG31="S"),7000,IF(AND(G31="TPG",AG31="I"),14000,IF(AND(G31="GURU",AG31="A"),16500,14000)))))</f>
        <v>14000</v>
      </c>
      <c r="AI31" s="85">
        <f t="shared" si="60"/>
        <v>0</v>
      </c>
      <c r="AJ31" s="87"/>
      <c r="AK31" s="86" t="s">
        <v>115</v>
      </c>
      <c r="AL31" s="82">
        <f>IF(AND(G31="Guru",AK31="S"),8250,IF(AND(G31="Guru",AK31="I"),16500,IF(AND(G31="TPG",AK31="S"),7000,IF(AND(G31="TPG",AK31="I"),14000,IF(AND(G31="GURU",AK31="A"),16500,14000)))))</f>
        <v>14000</v>
      </c>
      <c r="AM31" s="85">
        <f t="shared" si="61"/>
        <v>0</v>
      </c>
      <c r="AN31" s="311">
        <f t="shared" si="11"/>
        <v>0</v>
      </c>
      <c r="AO31" s="78">
        <f t="shared" si="55"/>
        <v>100</v>
      </c>
      <c r="AP31" s="83">
        <f t="shared" si="62"/>
        <v>50000</v>
      </c>
      <c r="AQ31" s="322">
        <f>X31+AP31-AN31</f>
        <v>470000</v>
      </c>
      <c r="AR31" s="327">
        <v>25000</v>
      </c>
    </row>
    <row r="32" spans="1:44" s="58" customFormat="1" x14ac:dyDescent="0.2">
      <c r="A32" s="59">
        <v>21</v>
      </c>
      <c r="B32" s="61" t="s">
        <v>20</v>
      </c>
      <c r="C32" s="61" t="s">
        <v>51</v>
      </c>
      <c r="D32" s="53">
        <v>2014</v>
      </c>
      <c r="E32" s="55">
        <f t="shared" si="51"/>
        <v>2022</v>
      </c>
      <c r="F32" s="53">
        <f t="shared" si="56"/>
        <v>8</v>
      </c>
      <c r="G32" s="53">
        <v>36</v>
      </c>
      <c r="H32" s="55">
        <f t="shared" si="6"/>
        <v>144</v>
      </c>
      <c r="I32" s="56">
        <f t="shared" si="52"/>
        <v>3500</v>
      </c>
      <c r="J32" s="56">
        <f t="shared" si="57"/>
        <v>105000</v>
      </c>
      <c r="K32" s="56">
        <f t="shared" si="58"/>
        <v>66000</v>
      </c>
      <c r="L32" s="56">
        <f>IF(AND(C32="TPG",G32&lt;=24),G32*56000,IF(AND(C32="TPG",G32&gt;24),(24*56000)+((G32-24)*66000),G32*66000))</f>
        <v>2376000</v>
      </c>
      <c r="M32" s="82">
        <v>100000</v>
      </c>
      <c r="N32" s="92" t="s">
        <v>71</v>
      </c>
      <c r="O32" s="82"/>
      <c r="P32" s="92"/>
      <c r="Q32" s="88"/>
      <c r="R32" s="76">
        <f t="shared" si="7"/>
        <v>0</v>
      </c>
      <c r="S32" s="88"/>
      <c r="T32" s="76">
        <f t="shared" si="53"/>
        <v>0</v>
      </c>
      <c r="U32" s="88"/>
      <c r="V32" s="76">
        <f t="shared" si="9"/>
        <v>0</v>
      </c>
      <c r="W32" s="309"/>
      <c r="X32" s="313">
        <f t="shared" si="10"/>
        <v>2581000</v>
      </c>
      <c r="Y32" s="87"/>
      <c r="Z32" s="85">
        <f>IF(C32="Guru",16500,IF(C32="TPG",14000,15250))</f>
        <v>16500</v>
      </c>
      <c r="AA32" s="85">
        <f t="shared" si="54"/>
        <v>0</v>
      </c>
      <c r="AB32" s="87"/>
      <c r="AC32" s="86" t="s">
        <v>118</v>
      </c>
      <c r="AD32" s="82">
        <f>IF(AND(C32="Guru",AC32="S"),8250,IF(AND(C32="Guru",AC32="I"),16500,IF(AND(C32="TPG",AC32="S"),7000,IF(AND(C32="TPG",AC32="I"),14000,IF(AND(C32="GURU",AC32="A"),16500,14000)))))</f>
        <v>8250</v>
      </c>
      <c r="AE32" s="85">
        <f t="shared" si="59"/>
        <v>0</v>
      </c>
      <c r="AF32" s="87"/>
      <c r="AG32" s="86" t="s">
        <v>119</v>
      </c>
      <c r="AH32" s="82">
        <f>IF(AND(G32="Guru",AG32="S"),8250,IF(AND(G32="Guru",AG32="I"),16500,IF(AND(G32="TPG",AG32="S"),7000,IF(AND(G32="TPG",AG32="I"),14000,IF(AND(G32="GURU",AG32="A"),16500,14000)))))</f>
        <v>14000</v>
      </c>
      <c r="AI32" s="85">
        <f t="shared" si="60"/>
        <v>0</v>
      </c>
      <c r="AJ32" s="87"/>
      <c r="AK32" s="86" t="s">
        <v>115</v>
      </c>
      <c r="AL32" s="82">
        <f>IF(AND(G32="Guru",AK32="S"),8250,IF(AND(G32="Guru",AK32="I"),16500,IF(AND(G32="TPG",AK32="S"),7000,IF(AND(G32="TPG",AK32="I"),14000,IF(AND(G32="GURU",AK32="A"),16500,14000)))))</f>
        <v>14000</v>
      </c>
      <c r="AM32" s="85">
        <f t="shared" si="61"/>
        <v>0</v>
      </c>
      <c r="AN32" s="311">
        <f t="shared" si="11"/>
        <v>0</v>
      </c>
      <c r="AO32" s="78">
        <f t="shared" si="55"/>
        <v>100</v>
      </c>
      <c r="AP32" s="83">
        <f t="shared" si="62"/>
        <v>50000</v>
      </c>
      <c r="AQ32" s="322">
        <f>X32+AP32-AN32</f>
        <v>2631000</v>
      </c>
      <c r="AR32" s="327">
        <v>125000</v>
      </c>
    </row>
    <row r="33" spans="1:44" x14ac:dyDescent="0.2">
      <c r="A33" s="59">
        <v>22</v>
      </c>
      <c r="B33" s="60" t="s">
        <v>21</v>
      </c>
      <c r="C33" s="61" t="s">
        <v>51</v>
      </c>
      <c r="D33" s="53">
        <v>2014</v>
      </c>
      <c r="E33" s="55">
        <f t="shared" si="51"/>
        <v>2022</v>
      </c>
      <c r="F33" s="53">
        <f t="shared" si="56"/>
        <v>8</v>
      </c>
      <c r="G33" s="53">
        <v>36</v>
      </c>
      <c r="H33" s="55">
        <f t="shared" si="6"/>
        <v>144</v>
      </c>
      <c r="I33" s="56">
        <f t="shared" si="52"/>
        <v>3500</v>
      </c>
      <c r="J33" s="56">
        <f t="shared" si="57"/>
        <v>105000</v>
      </c>
      <c r="K33" s="56">
        <f t="shared" si="58"/>
        <v>66000</v>
      </c>
      <c r="L33" s="56">
        <f>IF(AND(C33="TPG",G33&lt;=24),G33*56000,IF(AND(C33="TPG",G33&gt;24),(24*56000)+((G33-24)*66000),G33*66000))</f>
        <v>2376000</v>
      </c>
      <c r="M33" s="82">
        <v>100000</v>
      </c>
      <c r="N33" s="92" t="s">
        <v>71</v>
      </c>
      <c r="O33" s="82"/>
      <c r="P33" s="92"/>
      <c r="Q33" s="88"/>
      <c r="R33" s="76">
        <f t="shared" si="7"/>
        <v>0</v>
      </c>
      <c r="S33" s="88"/>
      <c r="T33" s="76">
        <f t="shared" si="53"/>
        <v>0</v>
      </c>
      <c r="U33" s="88"/>
      <c r="V33" s="76">
        <f t="shared" si="9"/>
        <v>0</v>
      </c>
      <c r="W33" s="309"/>
      <c r="X33" s="313">
        <f t="shared" si="10"/>
        <v>2581000</v>
      </c>
      <c r="Y33" s="87"/>
      <c r="Z33" s="85">
        <f>IF(C33="Guru",16500,IF(C33="TPG",14000,15250))</f>
        <v>16500</v>
      </c>
      <c r="AA33" s="85">
        <f t="shared" si="54"/>
        <v>0</v>
      </c>
      <c r="AB33" s="87"/>
      <c r="AC33" s="86" t="s">
        <v>118</v>
      </c>
      <c r="AD33" s="82">
        <f>IF(AND(C33="Guru",AC33="S"),8250,IF(AND(C33="Guru",AC33="I"),16500,IF(AND(C33="TPG",AC33="S"),7000,IF(AND(C33="TPG",AC33="I"),14000,IF(AND(C33="GURU",AC33="A"),16500,14000)))))</f>
        <v>8250</v>
      </c>
      <c r="AE33" s="85">
        <f t="shared" si="59"/>
        <v>0</v>
      </c>
      <c r="AF33" s="87"/>
      <c r="AG33" s="86" t="s">
        <v>119</v>
      </c>
      <c r="AH33" s="82">
        <f>IF(AND(G33="Guru",AG33="S"),8250,IF(AND(G33="Guru",AG33="I"),16500,IF(AND(G33="TPG",AG33="S"),7000,IF(AND(G33="TPG",AG33="I"),14000,IF(AND(G33="GURU",AG33="A"),16500,14000)))))</f>
        <v>14000</v>
      </c>
      <c r="AI33" s="85">
        <f t="shared" si="60"/>
        <v>0</v>
      </c>
      <c r="AJ33" s="87"/>
      <c r="AK33" s="86" t="s">
        <v>115</v>
      </c>
      <c r="AL33" s="82">
        <f>IF(AND(G33="Guru",AK33="S"),8250,IF(AND(G33="Guru",AK33="I"),16500,IF(AND(G33="TPG",AK33="S"),7000,IF(AND(G33="TPG",AK33="I"),14000,IF(AND(G33="GURU",AK33="A"),16500,14000)))))</f>
        <v>14000</v>
      </c>
      <c r="AM33" s="85">
        <f t="shared" si="61"/>
        <v>0</v>
      </c>
      <c r="AN33" s="311">
        <f t="shared" si="11"/>
        <v>0</v>
      </c>
      <c r="AO33" s="78">
        <f t="shared" si="55"/>
        <v>100</v>
      </c>
      <c r="AP33" s="83">
        <f t="shared" si="62"/>
        <v>50000</v>
      </c>
      <c r="AQ33" s="322">
        <f>X33+AP33-AN33</f>
        <v>2631000</v>
      </c>
      <c r="AR33" s="327">
        <v>150000</v>
      </c>
    </row>
    <row r="34" spans="1:44" x14ac:dyDescent="0.2">
      <c r="A34" s="59">
        <v>23</v>
      </c>
      <c r="B34" s="60" t="s">
        <v>22</v>
      </c>
      <c r="C34" s="61" t="s">
        <v>51</v>
      </c>
      <c r="D34" s="53">
        <v>2016</v>
      </c>
      <c r="E34" s="55">
        <f t="shared" si="51"/>
        <v>2022</v>
      </c>
      <c r="F34" s="53">
        <f t="shared" si="56"/>
        <v>6</v>
      </c>
      <c r="G34" s="53">
        <v>25</v>
      </c>
      <c r="H34" s="55">
        <f t="shared" si="6"/>
        <v>100</v>
      </c>
      <c r="I34" s="56">
        <f t="shared" si="52"/>
        <v>3000</v>
      </c>
      <c r="J34" s="56">
        <f t="shared" si="57"/>
        <v>75000</v>
      </c>
      <c r="K34" s="56">
        <f t="shared" si="58"/>
        <v>66000</v>
      </c>
      <c r="L34" s="56">
        <f>IF(AND(C34="TPG",G34&lt;=24),G34*56000,IF(AND(C34="TPG",G34&gt;24),(24*56000)+((G34-24)*66000),G34*66000))</f>
        <v>1650000</v>
      </c>
      <c r="M34" s="82">
        <v>100000</v>
      </c>
      <c r="N34" s="92" t="s">
        <v>71</v>
      </c>
      <c r="O34" s="82"/>
      <c r="P34" s="92"/>
      <c r="Q34" s="88"/>
      <c r="R34" s="76">
        <f t="shared" si="7"/>
        <v>0</v>
      </c>
      <c r="S34" s="88"/>
      <c r="T34" s="76">
        <f t="shared" si="53"/>
        <v>0</v>
      </c>
      <c r="U34" s="88"/>
      <c r="V34" s="76">
        <f t="shared" si="9"/>
        <v>0</v>
      </c>
      <c r="W34" s="309"/>
      <c r="X34" s="313">
        <f t="shared" si="10"/>
        <v>1825000</v>
      </c>
      <c r="Y34" s="87"/>
      <c r="Z34" s="85">
        <f>IF(C34="Guru",16500,IF(C34="TPG",14000,15250))</f>
        <v>16500</v>
      </c>
      <c r="AA34" s="85">
        <f t="shared" si="54"/>
        <v>0</v>
      </c>
      <c r="AB34" s="87"/>
      <c r="AC34" s="86" t="s">
        <v>118</v>
      </c>
      <c r="AD34" s="82">
        <f>IF(AND(C34="Guru",AC34="S"),8250,IF(AND(C34="Guru",AC34="I"),16500,IF(AND(C34="TPG",AC34="S"),7000,IF(AND(C34="TPG",AC34="I"),14000,IF(AND(C34="GURU",AC34="A"),16500,14000)))))</f>
        <v>8250</v>
      </c>
      <c r="AE34" s="85">
        <f t="shared" si="59"/>
        <v>0</v>
      </c>
      <c r="AF34" s="87"/>
      <c r="AG34" s="86" t="s">
        <v>119</v>
      </c>
      <c r="AH34" s="82">
        <f>IF(AND(G34="Guru",AG34="S"),8250,IF(AND(G34="Guru",AG34="I"),16500,IF(AND(G34="TPG",AG34="S"),7000,IF(AND(G34="TPG",AG34="I"),14000,IF(AND(G34="GURU",AG34="A"),16500,14000)))))</f>
        <v>14000</v>
      </c>
      <c r="AI34" s="85">
        <f t="shared" si="60"/>
        <v>0</v>
      </c>
      <c r="AJ34" s="87"/>
      <c r="AK34" s="86" t="s">
        <v>115</v>
      </c>
      <c r="AL34" s="82">
        <f>IF(AND(G34="Guru",AK34="S"),8250,IF(AND(G34="Guru",AK34="I"),16500,IF(AND(G34="TPG",AK34="S"),7000,IF(AND(G34="TPG",AK34="I"),14000,IF(AND(G34="GURU",AK34="A"),16500,14000)))))</f>
        <v>14000</v>
      </c>
      <c r="AM34" s="85">
        <f t="shared" si="61"/>
        <v>0</v>
      </c>
      <c r="AN34" s="311">
        <f t="shared" si="11"/>
        <v>0</v>
      </c>
      <c r="AO34" s="78">
        <f t="shared" si="55"/>
        <v>100</v>
      </c>
      <c r="AP34" s="83">
        <f t="shared" si="62"/>
        <v>50000</v>
      </c>
      <c r="AQ34" s="322">
        <f>X34+AP34-AN34</f>
        <v>1875000</v>
      </c>
      <c r="AR34" s="327">
        <v>125000</v>
      </c>
    </row>
    <row r="35" spans="1:44" x14ac:dyDescent="0.2">
      <c r="A35" s="59">
        <v>24</v>
      </c>
      <c r="B35" s="60" t="s">
        <v>220</v>
      </c>
      <c r="C35" s="61" t="s">
        <v>51</v>
      </c>
      <c r="D35" s="53">
        <v>2016</v>
      </c>
      <c r="E35" s="55">
        <f t="shared" si="51"/>
        <v>2022</v>
      </c>
      <c r="F35" s="53">
        <f t="shared" si="56"/>
        <v>6</v>
      </c>
      <c r="G35" s="53">
        <v>16</v>
      </c>
      <c r="H35" s="55">
        <f t="shared" si="6"/>
        <v>64</v>
      </c>
      <c r="I35" s="56">
        <f t="shared" si="52"/>
        <v>3000</v>
      </c>
      <c r="J35" s="56">
        <f t="shared" si="57"/>
        <v>48000</v>
      </c>
      <c r="K35" s="56">
        <f t="shared" si="58"/>
        <v>66000</v>
      </c>
      <c r="L35" s="56">
        <f>IF(AND(C35="TPG",G35&lt;=24),G35*56000,IF(AND(C35="TPG",G35&gt;24),(24*56000)+((G35-24)*66000),G35*66000))</f>
        <v>1056000</v>
      </c>
      <c r="M35" s="82">
        <v>125000</v>
      </c>
      <c r="N35" s="92" t="s">
        <v>71</v>
      </c>
      <c r="O35" s="82"/>
      <c r="P35" s="92"/>
      <c r="Q35" s="88"/>
      <c r="R35" s="76">
        <f t="shared" si="7"/>
        <v>0</v>
      </c>
      <c r="S35" s="88"/>
      <c r="T35" s="76">
        <f t="shared" si="53"/>
        <v>0</v>
      </c>
      <c r="U35" s="88"/>
      <c r="V35" s="76">
        <f t="shared" si="9"/>
        <v>0</v>
      </c>
      <c r="W35" s="309"/>
      <c r="X35" s="313">
        <f t="shared" si="10"/>
        <v>1229000</v>
      </c>
      <c r="Y35" s="87"/>
      <c r="Z35" s="85">
        <f>IF(C35="Guru",16500,IF(C35="TPG",14000,15250))</f>
        <v>16500</v>
      </c>
      <c r="AA35" s="85">
        <f t="shared" si="54"/>
        <v>0</v>
      </c>
      <c r="AB35" s="87"/>
      <c r="AC35" s="86" t="s">
        <v>118</v>
      </c>
      <c r="AD35" s="82">
        <f>IF(AND(C35="Guru",AC35="S"),8250,IF(AND(C35="Guru",AC35="I"),16500,IF(AND(C35="TPG",AC35="S"),7000,IF(AND(C35="TPG",AC35="I"),14000,IF(AND(C35="GURU",AC35="A"),16500,14000)))))</f>
        <v>8250</v>
      </c>
      <c r="AE35" s="85">
        <f t="shared" si="59"/>
        <v>0</v>
      </c>
      <c r="AF35" s="87"/>
      <c r="AG35" s="86" t="s">
        <v>119</v>
      </c>
      <c r="AH35" s="82">
        <f>IF(AND(G35="Guru",AG35="S"),8250,IF(AND(G35="Guru",AG35="I"),16500,IF(AND(G35="TPG",AG35="S"),7000,IF(AND(G35="TPG",AG35="I"),14000,IF(AND(G35="GURU",AG35="A"),16500,14000)))))</f>
        <v>14000</v>
      </c>
      <c r="AI35" s="85">
        <f t="shared" si="60"/>
        <v>0</v>
      </c>
      <c r="AJ35" s="87"/>
      <c r="AK35" s="86" t="s">
        <v>115</v>
      </c>
      <c r="AL35" s="82">
        <f>IF(AND(G35="Guru",AK35="S"),8250,IF(AND(G35="Guru",AK35="I"),16500,IF(AND(G35="TPG",AK35="S"),7000,IF(AND(G35="TPG",AK35="I"),14000,IF(AND(G35="GURU",AK35="A"),16500,14000)))))</f>
        <v>14000</v>
      </c>
      <c r="AM35" s="85">
        <f t="shared" si="61"/>
        <v>0</v>
      </c>
      <c r="AN35" s="311">
        <f t="shared" si="11"/>
        <v>0</v>
      </c>
      <c r="AO35" s="78">
        <f t="shared" si="55"/>
        <v>100</v>
      </c>
      <c r="AP35" s="83">
        <f t="shared" si="62"/>
        <v>50000</v>
      </c>
      <c r="AQ35" s="322">
        <f>X35+AP35-AN35</f>
        <v>1279000</v>
      </c>
      <c r="AR35" s="327">
        <v>100000</v>
      </c>
    </row>
    <row r="36" spans="1:44" x14ac:dyDescent="0.2">
      <c r="A36" s="59">
        <v>25</v>
      </c>
      <c r="B36" s="60" t="s">
        <v>281</v>
      </c>
      <c r="C36" s="61" t="s">
        <v>51</v>
      </c>
      <c r="D36" s="53">
        <v>2019</v>
      </c>
      <c r="E36" s="55">
        <f t="shared" si="51"/>
        <v>2022</v>
      </c>
      <c r="F36" s="53">
        <f t="shared" si="56"/>
        <v>3</v>
      </c>
      <c r="G36" s="53">
        <v>6</v>
      </c>
      <c r="H36" s="55">
        <f t="shared" si="6"/>
        <v>24</v>
      </c>
      <c r="I36" s="56">
        <f t="shared" si="52"/>
        <v>2500</v>
      </c>
      <c r="J36" s="56">
        <f t="shared" si="57"/>
        <v>15000</v>
      </c>
      <c r="K36" s="56">
        <f t="shared" si="58"/>
        <v>66000</v>
      </c>
      <c r="L36" s="56">
        <f>IF(AND(C36="TPG",G36&lt;=24),G36*56000,IF(AND(C36="TPG",G36&gt;24),(24*56000)+((G36-24)*66000),G36*66000))</f>
        <v>396000</v>
      </c>
      <c r="M36" s="91"/>
      <c r="N36" s="92"/>
      <c r="O36" s="91"/>
      <c r="P36" s="92"/>
      <c r="Q36" s="88"/>
      <c r="R36" s="76">
        <f t="shared" si="7"/>
        <v>0</v>
      </c>
      <c r="S36" s="88"/>
      <c r="T36" s="76">
        <f t="shared" si="53"/>
        <v>0</v>
      </c>
      <c r="U36" s="88"/>
      <c r="V36" s="76">
        <f t="shared" si="9"/>
        <v>0</v>
      </c>
      <c r="W36" s="309"/>
      <c r="X36" s="313">
        <f t="shared" si="10"/>
        <v>411000</v>
      </c>
      <c r="Y36" s="87"/>
      <c r="Z36" s="85">
        <f>IF(C36="Guru",16500,IF(C36="TPG",14000,15250))</f>
        <v>16500</v>
      </c>
      <c r="AA36" s="85">
        <f t="shared" si="54"/>
        <v>0</v>
      </c>
      <c r="AB36" s="87"/>
      <c r="AC36" s="86" t="s">
        <v>118</v>
      </c>
      <c r="AD36" s="82">
        <f>IF(AND(C36="Guru",AC36="S"),8250,IF(AND(C36="Guru",AC36="I"),16500,IF(AND(C36="TPG",AC36="S"),7000,IF(AND(C36="TPG",AC36="I"),14000,IF(AND(C36="GURU",AC36="A"),16500,14000)))))</f>
        <v>8250</v>
      </c>
      <c r="AE36" s="85">
        <f t="shared" si="59"/>
        <v>0</v>
      </c>
      <c r="AF36" s="87"/>
      <c r="AG36" s="86" t="s">
        <v>119</v>
      </c>
      <c r="AH36" s="82">
        <f>IF(AND(G36="Guru",AG36="S"),8250,IF(AND(G36="Guru",AG36="I"),16500,IF(AND(G36="TPG",AG36="S"),7000,IF(AND(G36="TPG",AG36="I"),14000,IF(AND(G36="GURU",AG36="A"),16500,14000)))))</f>
        <v>14000</v>
      </c>
      <c r="AI36" s="85">
        <f t="shared" si="60"/>
        <v>0</v>
      </c>
      <c r="AJ36" s="87"/>
      <c r="AK36" s="86" t="s">
        <v>115</v>
      </c>
      <c r="AL36" s="82">
        <f>IF(AND(G36="Guru",AK36="S"),8250,IF(AND(G36="Guru",AK36="I"),16500,IF(AND(G36="TPG",AK36="S"),7000,IF(AND(G36="TPG",AK36="I"),14000,IF(AND(G36="GURU",AK36="A"),16500,14000)))))</f>
        <v>14000</v>
      </c>
      <c r="AM36" s="85">
        <f t="shared" si="61"/>
        <v>0</v>
      </c>
      <c r="AN36" s="311">
        <f t="shared" si="11"/>
        <v>0</v>
      </c>
      <c r="AO36" s="78">
        <f t="shared" si="55"/>
        <v>100</v>
      </c>
      <c r="AP36" s="83">
        <f t="shared" si="62"/>
        <v>50000</v>
      </c>
      <c r="AQ36" s="322">
        <f>X36+AP36-AN36</f>
        <v>461000</v>
      </c>
      <c r="AR36" s="327">
        <v>25000</v>
      </c>
    </row>
    <row r="37" spans="1:44" x14ac:dyDescent="0.2">
      <c r="A37" s="59">
        <v>26</v>
      </c>
      <c r="B37" s="33" t="s">
        <v>25</v>
      </c>
      <c r="C37" s="61" t="s">
        <v>51</v>
      </c>
      <c r="D37" s="53">
        <v>2019</v>
      </c>
      <c r="E37" s="55">
        <f t="shared" si="51"/>
        <v>2022</v>
      </c>
      <c r="F37" s="53">
        <f t="shared" si="56"/>
        <v>3</v>
      </c>
      <c r="G37" s="53">
        <v>18</v>
      </c>
      <c r="H37" s="55">
        <f t="shared" si="6"/>
        <v>72</v>
      </c>
      <c r="I37" s="56">
        <f t="shared" si="52"/>
        <v>2500</v>
      </c>
      <c r="J37" s="56">
        <f t="shared" si="57"/>
        <v>45000</v>
      </c>
      <c r="K37" s="56">
        <f t="shared" si="58"/>
        <v>66000</v>
      </c>
      <c r="L37" s="56">
        <f>IF(AND(C37="TPG",G37&lt;=24),G37*56000,IF(AND(C37="TPG",G37&gt;24),(24*56000)+((G37-24)*66000),G37*66000))</f>
        <v>1188000</v>
      </c>
      <c r="M37" s="91"/>
      <c r="N37" s="92"/>
      <c r="O37" s="91"/>
      <c r="P37" s="92"/>
      <c r="Q37" s="88"/>
      <c r="R37" s="76">
        <f t="shared" si="7"/>
        <v>0</v>
      </c>
      <c r="S37" s="88"/>
      <c r="T37" s="76">
        <f t="shared" si="53"/>
        <v>0</v>
      </c>
      <c r="U37" s="88"/>
      <c r="V37" s="76">
        <f t="shared" si="9"/>
        <v>0</v>
      </c>
      <c r="W37" s="309"/>
      <c r="X37" s="313">
        <f t="shared" si="10"/>
        <v>1233000</v>
      </c>
      <c r="Y37" s="87"/>
      <c r="Z37" s="85">
        <f>IF(C37="Guru",16500,IF(C37="TPG",14000,15250))</f>
        <v>16500</v>
      </c>
      <c r="AA37" s="85">
        <f t="shared" si="54"/>
        <v>0</v>
      </c>
      <c r="AB37" s="87"/>
      <c r="AC37" s="86" t="s">
        <v>118</v>
      </c>
      <c r="AD37" s="82">
        <f>IF(AND(C37="Guru",AC37="S"),8250,IF(AND(C37="Guru",AC37="I"),16500,IF(AND(C37="TPG",AC37="S"),7000,IF(AND(C37="TPG",AC37="I"),14000,IF(AND(C37="GURU",AC37="A"),16500,14000)))))</f>
        <v>8250</v>
      </c>
      <c r="AE37" s="85">
        <f t="shared" si="59"/>
        <v>0</v>
      </c>
      <c r="AF37" s="87"/>
      <c r="AG37" s="86" t="s">
        <v>119</v>
      </c>
      <c r="AH37" s="82">
        <f>IF(AND(G37="Guru",AG37="S"),8250,IF(AND(G37="Guru",AG37="I"),16500,IF(AND(G37="TPG",AG37="S"),7000,IF(AND(G37="TPG",AG37="I"),14000,IF(AND(G37="GURU",AG37="A"),16500,14000)))))</f>
        <v>14000</v>
      </c>
      <c r="AI37" s="85">
        <f t="shared" si="60"/>
        <v>0</v>
      </c>
      <c r="AJ37" s="87"/>
      <c r="AK37" s="86" t="s">
        <v>115</v>
      </c>
      <c r="AL37" s="82">
        <f>IF(AND(G37="Guru",AK37="S"),8250,IF(AND(G37="Guru",AK37="I"),16500,IF(AND(G37="TPG",AK37="S"),7000,IF(AND(G37="TPG",AK37="I"),14000,IF(AND(G37="GURU",AK37="A"),16500,14000)))))</f>
        <v>14000</v>
      </c>
      <c r="AM37" s="85">
        <f t="shared" si="61"/>
        <v>0</v>
      </c>
      <c r="AN37" s="311">
        <f t="shared" si="11"/>
        <v>0</v>
      </c>
      <c r="AO37" s="78">
        <f t="shared" si="55"/>
        <v>100</v>
      </c>
      <c r="AP37" s="83">
        <f t="shared" si="62"/>
        <v>50000</v>
      </c>
      <c r="AQ37" s="322">
        <f>X37+AP37-AN37</f>
        <v>1283000</v>
      </c>
      <c r="AR37" s="327">
        <v>50000</v>
      </c>
    </row>
    <row r="38" spans="1:44" x14ac:dyDescent="0.2">
      <c r="A38" s="59">
        <v>27</v>
      </c>
      <c r="B38" s="33" t="s">
        <v>282</v>
      </c>
      <c r="C38" s="61" t="s">
        <v>51</v>
      </c>
      <c r="D38" s="53">
        <v>2019</v>
      </c>
      <c r="E38" s="55">
        <f>$E$9</f>
        <v>2022</v>
      </c>
      <c r="F38" s="53">
        <f t="shared" si="56"/>
        <v>3</v>
      </c>
      <c r="G38" s="53">
        <v>12</v>
      </c>
      <c r="H38" s="55">
        <f t="shared" si="6"/>
        <v>48</v>
      </c>
      <c r="I38" s="56">
        <f t="shared" si="52"/>
        <v>2500</v>
      </c>
      <c r="J38" s="56">
        <f t="shared" si="57"/>
        <v>30000</v>
      </c>
      <c r="K38" s="56">
        <f t="shared" si="58"/>
        <v>66000</v>
      </c>
      <c r="L38" s="56">
        <f>IF(AND(C38="TPG",G38&lt;=24),G38*56000,IF(AND(C38="TPG",G38&gt;24),(24*56000)+((G38-24)*66000),G38*66000))</f>
        <v>792000</v>
      </c>
      <c r="M38" s="82">
        <v>100000</v>
      </c>
      <c r="N38" s="92" t="s">
        <v>71</v>
      </c>
      <c r="O38" s="82"/>
      <c r="P38" s="92"/>
      <c r="Q38" s="88"/>
      <c r="R38" s="76">
        <f t="shared" si="7"/>
        <v>0</v>
      </c>
      <c r="S38" s="88"/>
      <c r="T38" s="76">
        <f t="shared" si="53"/>
        <v>0</v>
      </c>
      <c r="U38" s="88"/>
      <c r="V38" s="76">
        <f t="shared" si="9"/>
        <v>0</v>
      </c>
      <c r="W38" s="309"/>
      <c r="X38" s="313">
        <f t="shared" si="10"/>
        <v>922000</v>
      </c>
      <c r="Y38" s="87"/>
      <c r="Z38" s="85">
        <f>IF(C38="Guru",16500,IF(C38="TPG",14000,15250))</f>
        <v>16500</v>
      </c>
      <c r="AA38" s="85">
        <f t="shared" si="54"/>
        <v>0</v>
      </c>
      <c r="AB38" s="87"/>
      <c r="AC38" s="86" t="s">
        <v>118</v>
      </c>
      <c r="AD38" s="82">
        <f>IF(AND(C38="Guru",AC38="S"),8250,IF(AND(C38="Guru",AC38="I"),16500,IF(AND(C38="TPG",AC38="S"),7000,IF(AND(C38="TPG",AC38="I"),14000,IF(AND(C38="GURU",AC38="A"),16500,14000)))))</f>
        <v>8250</v>
      </c>
      <c r="AE38" s="85">
        <f t="shared" si="59"/>
        <v>0</v>
      </c>
      <c r="AF38" s="87"/>
      <c r="AG38" s="86" t="s">
        <v>119</v>
      </c>
      <c r="AH38" s="82">
        <f>IF(AND(G38="Guru",AG38="S"),8250,IF(AND(G38="Guru",AG38="I"),16500,IF(AND(G38="TPG",AG38="S"),7000,IF(AND(G38="TPG",AG38="I"),14000,IF(AND(G38="GURU",AG38="A"),16500,14000)))))</f>
        <v>14000</v>
      </c>
      <c r="AI38" s="85">
        <f t="shared" si="60"/>
        <v>0</v>
      </c>
      <c r="AJ38" s="87"/>
      <c r="AK38" s="86" t="s">
        <v>115</v>
      </c>
      <c r="AL38" s="82">
        <f>IF(AND(G38="Guru",AK38="S"),8250,IF(AND(G38="Guru",AK38="I"),16500,IF(AND(G38="TPG",AK38="S"),7000,IF(AND(G38="TPG",AK38="I"),14000,IF(AND(G38="GURU",AK38="A"),16500,14000)))))</f>
        <v>14000</v>
      </c>
      <c r="AM38" s="85">
        <f t="shared" si="61"/>
        <v>0</v>
      </c>
      <c r="AN38" s="311">
        <f t="shared" si="11"/>
        <v>0</v>
      </c>
      <c r="AO38" s="78">
        <f t="shared" si="55"/>
        <v>100</v>
      </c>
      <c r="AP38" s="83">
        <f t="shared" si="62"/>
        <v>50000</v>
      </c>
      <c r="AQ38" s="322">
        <f>X38+AP38-AN38</f>
        <v>972000</v>
      </c>
      <c r="AR38" s="327">
        <v>100000</v>
      </c>
    </row>
    <row r="39" spans="1:44" x14ac:dyDescent="0.2">
      <c r="A39" s="59">
        <v>28</v>
      </c>
      <c r="B39" s="60" t="s">
        <v>27</v>
      </c>
      <c r="C39" s="61" t="s">
        <v>51</v>
      </c>
      <c r="D39" s="53">
        <v>2019</v>
      </c>
      <c r="E39" s="55">
        <f>$E$9</f>
        <v>2022</v>
      </c>
      <c r="F39" s="53">
        <f t="shared" si="56"/>
        <v>3</v>
      </c>
      <c r="G39" s="53">
        <v>6</v>
      </c>
      <c r="H39" s="55">
        <f t="shared" si="6"/>
        <v>24</v>
      </c>
      <c r="I39" s="56">
        <f t="shared" si="52"/>
        <v>2500</v>
      </c>
      <c r="J39" s="56">
        <f t="shared" si="57"/>
        <v>15000</v>
      </c>
      <c r="K39" s="56">
        <f t="shared" si="58"/>
        <v>66000</v>
      </c>
      <c r="L39" s="56">
        <f>IF(AND(C39="TPG",G39&lt;=24),G39*56000,IF(AND(C39="TPG",G39&gt;24),(24*56000)+((G39-24)*66000),G39*66000))</f>
        <v>396000</v>
      </c>
      <c r="M39" s="91"/>
      <c r="N39" s="92"/>
      <c r="O39" s="91"/>
      <c r="P39" s="92"/>
      <c r="Q39" s="88"/>
      <c r="R39" s="76">
        <f t="shared" si="7"/>
        <v>0</v>
      </c>
      <c r="S39" s="88"/>
      <c r="T39" s="76">
        <f t="shared" si="53"/>
        <v>0</v>
      </c>
      <c r="U39" s="88"/>
      <c r="V39" s="76">
        <f t="shared" si="9"/>
        <v>0</v>
      </c>
      <c r="W39" s="309"/>
      <c r="X39" s="313">
        <f t="shared" si="10"/>
        <v>411000</v>
      </c>
      <c r="Y39" s="87"/>
      <c r="Z39" s="85">
        <f>IF(C39="Guru",16500,IF(C39="TPG",14000,15250))</f>
        <v>16500</v>
      </c>
      <c r="AA39" s="85">
        <f t="shared" si="54"/>
        <v>0</v>
      </c>
      <c r="AB39" s="87"/>
      <c r="AC39" s="86" t="s">
        <v>118</v>
      </c>
      <c r="AD39" s="82">
        <f>IF(AND(C39="Guru",AC39="S"),8250,IF(AND(C39="Guru",AC39="I"),16500,IF(AND(C39="TPG",AC39="S"),7000,IF(AND(C39="TPG",AC39="I"),14000,IF(AND(C39="GURU",AC39="A"),16500,14000)))))</f>
        <v>8250</v>
      </c>
      <c r="AE39" s="85">
        <f t="shared" si="59"/>
        <v>0</v>
      </c>
      <c r="AF39" s="87"/>
      <c r="AG39" s="86" t="s">
        <v>119</v>
      </c>
      <c r="AH39" s="82">
        <f>IF(AND(G39="Guru",AG39="S"),8250,IF(AND(G39="Guru",AG39="I"),16500,IF(AND(G39="TPG",AG39="S"),7000,IF(AND(G39="TPG",AG39="I"),14000,IF(AND(G39="GURU",AG39="A"),16500,14000)))))</f>
        <v>14000</v>
      </c>
      <c r="AI39" s="85">
        <f t="shared" si="60"/>
        <v>0</v>
      </c>
      <c r="AJ39" s="87"/>
      <c r="AK39" s="86" t="s">
        <v>115</v>
      </c>
      <c r="AL39" s="82">
        <f>IF(AND(G39="Guru",AK39="S"),8250,IF(AND(G39="Guru",AK39="I"),16500,IF(AND(G39="TPG",AK39="S"),7000,IF(AND(G39="TPG",AK39="I"),14000,IF(AND(G39="GURU",AK39="A"),16500,14000)))))</f>
        <v>14000</v>
      </c>
      <c r="AM39" s="85">
        <f t="shared" si="61"/>
        <v>0</v>
      </c>
      <c r="AN39" s="311">
        <f t="shared" si="11"/>
        <v>0</v>
      </c>
      <c r="AO39" s="78">
        <f t="shared" si="55"/>
        <v>100</v>
      </c>
      <c r="AP39" s="83">
        <f t="shared" si="62"/>
        <v>50000</v>
      </c>
      <c r="AQ39" s="322">
        <f>X39+AP39-AN39</f>
        <v>461000</v>
      </c>
      <c r="AR39" s="327">
        <v>50000</v>
      </c>
    </row>
    <row r="40" spans="1:44" x14ac:dyDescent="0.2">
      <c r="A40" s="59">
        <v>29</v>
      </c>
      <c r="B40" s="60" t="s">
        <v>41</v>
      </c>
      <c r="C40" s="61" t="s">
        <v>51</v>
      </c>
      <c r="D40" s="53">
        <v>2021</v>
      </c>
      <c r="E40" s="55">
        <v>2022</v>
      </c>
      <c r="F40" s="53">
        <f t="shared" si="56"/>
        <v>1</v>
      </c>
      <c r="G40" s="53">
        <v>20</v>
      </c>
      <c r="H40" s="55">
        <f t="shared" si="6"/>
        <v>80</v>
      </c>
      <c r="I40" s="56">
        <f t="shared" si="52"/>
        <v>1500</v>
      </c>
      <c r="J40" s="56">
        <f>IF(G40&gt;30,30*I40,G40*I40)</f>
        <v>30000</v>
      </c>
      <c r="K40" s="56">
        <f t="shared" si="58"/>
        <v>66000</v>
      </c>
      <c r="L40" s="56">
        <f>IF(AND(C40="TPG",G40&lt;=24),G40*56000,IF(AND(C40="TPG",G40&gt;24),(24*56000)+((G40-24)*66000),G40*66000))</f>
        <v>1320000</v>
      </c>
      <c r="M40" s="82">
        <v>100000</v>
      </c>
      <c r="N40" s="92" t="s">
        <v>72</v>
      </c>
      <c r="O40" s="82"/>
      <c r="P40" s="92"/>
      <c r="Q40" s="88"/>
      <c r="R40" s="76">
        <f t="shared" si="7"/>
        <v>0</v>
      </c>
      <c r="S40" s="88"/>
      <c r="T40" s="76">
        <f t="shared" si="53"/>
        <v>0</v>
      </c>
      <c r="U40" s="88"/>
      <c r="V40" s="76">
        <f t="shared" si="9"/>
        <v>0</v>
      </c>
      <c r="W40" s="309"/>
      <c r="X40" s="313">
        <f t="shared" si="10"/>
        <v>1450000</v>
      </c>
      <c r="Y40" s="87"/>
      <c r="Z40" s="85">
        <f>IF(C40="Guru",16500,IF(C40="TPG",14000,15250))</f>
        <v>16500</v>
      </c>
      <c r="AA40" s="85">
        <f t="shared" si="54"/>
        <v>0</v>
      </c>
      <c r="AB40" s="87"/>
      <c r="AC40" s="86" t="s">
        <v>118</v>
      </c>
      <c r="AD40" s="82">
        <f>IF(AND(C40="Guru",AC40="S"),8250,IF(AND(C40="Guru",AC40="I"),16500,IF(AND(C40="TPG",AC40="S"),7000,IF(AND(C40="TPG",AC40="I"),14000,IF(AND(C40="GURU",AC40="A"),16500,14000)))))</f>
        <v>8250</v>
      </c>
      <c r="AE40" s="85">
        <f t="shared" si="59"/>
        <v>0</v>
      </c>
      <c r="AF40" s="87"/>
      <c r="AG40" s="86" t="s">
        <v>119</v>
      </c>
      <c r="AH40" s="82">
        <f>IF(AND(G40="Guru",AG40="S"),8250,IF(AND(G40="Guru",AG40="I"),16500,IF(AND(G40="TPG",AG40="S"),7000,IF(AND(G40="TPG",AG40="I"),14000,IF(AND(G40="GURU",AG40="A"),16500,14000)))))</f>
        <v>14000</v>
      </c>
      <c r="AI40" s="85">
        <f t="shared" si="60"/>
        <v>0</v>
      </c>
      <c r="AJ40" s="87"/>
      <c r="AK40" s="86" t="s">
        <v>115</v>
      </c>
      <c r="AL40" s="82">
        <f>IF(AND(G40="Guru",AK40="S"),8250,IF(AND(G40="Guru",AK40="I"),16500,IF(AND(G40="TPG",AK40="S"),7000,IF(AND(G40="TPG",AK40="I"),14000,IF(AND(G40="GURU",AK40="A"),16500,14000)))))</f>
        <v>14000</v>
      </c>
      <c r="AM40" s="85">
        <f t="shared" si="61"/>
        <v>0</v>
      </c>
      <c r="AN40" s="311">
        <f t="shared" si="11"/>
        <v>0</v>
      </c>
      <c r="AO40" s="78">
        <f t="shared" si="55"/>
        <v>100</v>
      </c>
      <c r="AP40" s="83">
        <f t="shared" si="62"/>
        <v>50000</v>
      </c>
      <c r="AQ40" s="322">
        <f>X40+AP40-AN40</f>
        <v>1500000</v>
      </c>
      <c r="AR40" s="327">
        <v>100000</v>
      </c>
    </row>
    <row r="41" spans="1:44" x14ac:dyDescent="0.2">
      <c r="A41" s="59">
        <v>30</v>
      </c>
      <c r="B41" s="60" t="s">
        <v>69</v>
      </c>
      <c r="C41" s="61" t="s">
        <v>51</v>
      </c>
      <c r="D41" s="53">
        <v>2020</v>
      </c>
      <c r="E41" s="55">
        <f t="shared" ref="E41:E56" si="63">$E$9</f>
        <v>2022</v>
      </c>
      <c r="F41" s="53">
        <f t="shared" si="56"/>
        <v>2</v>
      </c>
      <c r="G41" s="53">
        <v>38</v>
      </c>
      <c r="H41" s="55">
        <f t="shared" si="6"/>
        <v>152</v>
      </c>
      <c r="I41" s="56">
        <f t="shared" si="52"/>
        <v>2500</v>
      </c>
      <c r="J41" s="56">
        <f t="shared" si="57"/>
        <v>75000</v>
      </c>
      <c r="K41" s="56">
        <f t="shared" si="58"/>
        <v>66000</v>
      </c>
      <c r="L41" s="56">
        <f>IF(AND(C41="TPG",G41&lt;=24),G41*56000,IF(AND(C41="TPG",G41&gt;24),(24*56000)+((G41-24)*66000),G41*66000))</f>
        <v>2508000</v>
      </c>
      <c r="M41" s="82">
        <v>100000</v>
      </c>
      <c r="N41" s="92" t="s">
        <v>71</v>
      </c>
      <c r="O41" s="82"/>
      <c r="P41" s="92"/>
      <c r="Q41" s="88"/>
      <c r="R41" s="76">
        <f t="shared" si="7"/>
        <v>0</v>
      </c>
      <c r="S41" s="88"/>
      <c r="T41" s="76">
        <f t="shared" si="53"/>
        <v>0</v>
      </c>
      <c r="U41" s="88"/>
      <c r="V41" s="76">
        <f t="shared" si="9"/>
        <v>0</v>
      </c>
      <c r="W41" s="309"/>
      <c r="X41" s="313">
        <f t="shared" si="10"/>
        <v>2683000</v>
      </c>
      <c r="Y41" s="87"/>
      <c r="Z41" s="85">
        <f>IF(C41="Guru",16500,IF(C41="TPG",14000,15250))</f>
        <v>16500</v>
      </c>
      <c r="AA41" s="85">
        <f t="shared" si="54"/>
        <v>0</v>
      </c>
      <c r="AB41" s="87"/>
      <c r="AC41" s="86" t="s">
        <v>118</v>
      </c>
      <c r="AD41" s="82">
        <f>IF(AND(C41="Guru",AC41="S"),8250,IF(AND(C41="Guru",AC41="I"),16500,IF(AND(C41="TPG",AC41="S"),7000,IF(AND(C41="TPG",AC41="I"),14000,IF(AND(C41="GURU",AC41="A"),16500,14000)))))</f>
        <v>8250</v>
      </c>
      <c r="AE41" s="85">
        <f t="shared" si="59"/>
        <v>0</v>
      </c>
      <c r="AF41" s="87"/>
      <c r="AG41" s="86" t="s">
        <v>119</v>
      </c>
      <c r="AH41" s="82">
        <f>IF(AND(G41="Guru",AG41="S"),8250,IF(AND(G41="Guru",AG41="I"),16500,IF(AND(G41="TPG",AG41="S"),7000,IF(AND(G41="TPG",AG41="I"),14000,IF(AND(G41="GURU",AG41="A"),16500,14000)))))</f>
        <v>14000</v>
      </c>
      <c r="AI41" s="85">
        <f t="shared" si="60"/>
        <v>0</v>
      </c>
      <c r="AJ41" s="87"/>
      <c r="AK41" s="86" t="s">
        <v>115</v>
      </c>
      <c r="AL41" s="82">
        <f>IF(AND(G41="Guru",AK41="S"),8250,IF(AND(G41="Guru",AK41="I"),16500,IF(AND(G41="TPG",AK41="S"),7000,IF(AND(G41="TPG",AK41="I"),14000,IF(AND(G41="GURU",AK41="A"),16500,14000)))))</f>
        <v>14000</v>
      </c>
      <c r="AM41" s="85">
        <f t="shared" si="61"/>
        <v>0</v>
      </c>
      <c r="AN41" s="311">
        <f t="shared" si="11"/>
        <v>0</v>
      </c>
      <c r="AO41" s="78">
        <f t="shared" si="55"/>
        <v>100</v>
      </c>
      <c r="AP41" s="83">
        <f t="shared" si="62"/>
        <v>50000</v>
      </c>
      <c r="AQ41" s="322">
        <f>X41+AP41-AN41</f>
        <v>2733000</v>
      </c>
      <c r="AR41" s="327">
        <v>150000</v>
      </c>
    </row>
    <row r="42" spans="1:44" x14ac:dyDescent="0.2">
      <c r="A42" s="59">
        <v>31</v>
      </c>
      <c r="B42" s="60" t="s">
        <v>42</v>
      </c>
      <c r="C42" s="61" t="s">
        <v>51</v>
      </c>
      <c r="D42" s="53">
        <v>2021</v>
      </c>
      <c r="E42" s="55">
        <f t="shared" si="63"/>
        <v>2022</v>
      </c>
      <c r="F42" s="53">
        <f t="shared" si="56"/>
        <v>1</v>
      </c>
      <c r="G42" s="53">
        <v>12</v>
      </c>
      <c r="H42" s="55">
        <f t="shared" si="6"/>
        <v>48</v>
      </c>
      <c r="I42" s="56">
        <f t="shared" si="52"/>
        <v>1500</v>
      </c>
      <c r="J42" s="56">
        <f t="shared" si="57"/>
        <v>18000</v>
      </c>
      <c r="K42" s="56">
        <f t="shared" si="58"/>
        <v>66000</v>
      </c>
      <c r="L42" s="56">
        <f>IF(AND(C42="TPG",G42&lt;=24),G42*56000,IF(AND(C42="TPG",G42&gt;24),(24*56000)+((G42-24)*66000),G42*66000))</f>
        <v>792000</v>
      </c>
      <c r="M42" s="91"/>
      <c r="N42" s="92"/>
      <c r="O42" s="91"/>
      <c r="P42" s="92"/>
      <c r="Q42" s="88"/>
      <c r="R42" s="76">
        <f t="shared" si="7"/>
        <v>0</v>
      </c>
      <c r="S42" s="88"/>
      <c r="T42" s="76">
        <f t="shared" si="53"/>
        <v>0</v>
      </c>
      <c r="U42" s="88"/>
      <c r="V42" s="76">
        <f t="shared" si="9"/>
        <v>0</v>
      </c>
      <c r="W42" s="309"/>
      <c r="X42" s="313">
        <f t="shared" si="10"/>
        <v>810000</v>
      </c>
      <c r="Y42" s="87"/>
      <c r="Z42" s="85">
        <f>IF(C42="Guru",16500,IF(C42="TPG",14000,15250))</f>
        <v>16500</v>
      </c>
      <c r="AA42" s="85">
        <f t="shared" si="54"/>
        <v>0</v>
      </c>
      <c r="AB42" s="87"/>
      <c r="AC42" s="86" t="s">
        <v>118</v>
      </c>
      <c r="AD42" s="82">
        <f>IF(AND(C42="Guru",AC42="S"),8250,IF(AND(C42="Guru",AC42="I"),16500,IF(AND(C42="TPG",AC42="S"),7000,IF(AND(C42="TPG",AC42="I"),14000,IF(AND(C42="GURU",AC42="A"),16500,14000)))))</f>
        <v>8250</v>
      </c>
      <c r="AE42" s="85">
        <f t="shared" si="59"/>
        <v>0</v>
      </c>
      <c r="AF42" s="87"/>
      <c r="AG42" s="86" t="s">
        <v>119</v>
      </c>
      <c r="AH42" s="82">
        <f>IF(AND(G42="Guru",AG42="S"),8250,IF(AND(G42="Guru",AG42="I"),16500,IF(AND(G42="TPG",AG42="S"),7000,IF(AND(G42="TPG",AG42="I"),14000,IF(AND(G42="GURU",AG42="A"),16500,14000)))))</f>
        <v>14000</v>
      </c>
      <c r="AI42" s="85">
        <f t="shared" si="60"/>
        <v>0</v>
      </c>
      <c r="AJ42" s="87"/>
      <c r="AK42" s="86" t="s">
        <v>115</v>
      </c>
      <c r="AL42" s="82">
        <f>IF(AND(G42="Guru",AK42="S"),8250,IF(AND(G42="Guru",AK42="I"),16500,IF(AND(G42="TPG",AK42="S"),7000,IF(AND(G42="TPG",AK42="I"),14000,IF(AND(G42="GURU",AK42="A"),16500,14000)))))</f>
        <v>14000</v>
      </c>
      <c r="AM42" s="85">
        <f t="shared" si="61"/>
        <v>0</v>
      </c>
      <c r="AN42" s="311">
        <f t="shared" si="11"/>
        <v>0</v>
      </c>
      <c r="AO42" s="78">
        <f t="shared" si="55"/>
        <v>100</v>
      </c>
      <c r="AP42" s="83">
        <f t="shared" si="62"/>
        <v>50000</v>
      </c>
      <c r="AQ42" s="322">
        <f>X42+AP42-AN42</f>
        <v>860000</v>
      </c>
      <c r="AR42" s="327">
        <v>25000</v>
      </c>
    </row>
    <row r="43" spans="1:44" x14ac:dyDescent="0.2">
      <c r="A43" s="59">
        <v>32</v>
      </c>
      <c r="B43" s="60" t="s">
        <v>50</v>
      </c>
      <c r="C43" s="61" t="s">
        <v>51</v>
      </c>
      <c r="D43" s="53">
        <v>2021</v>
      </c>
      <c r="E43" s="55">
        <f t="shared" si="63"/>
        <v>2022</v>
      </c>
      <c r="F43" s="53">
        <f t="shared" si="56"/>
        <v>1</v>
      </c>
      <c r="G43" s="53">
        <v>28</v>
      </c>
      <c r="H43" s="55">
        <f t="shared" si="6"/>
        <v>112</v>
      </c>
      <c r="I43" s="56">
        <f t="shared" si="52"/>
        <v>1500</v>
      </c>
      <c r="J43" s="56">
        <f t="shared" si="57"/>
        <v>42000</v>
      </c>
      <c r="K43" s="56">
        <f t="shared" si="58"/>
        <v>66000</v>
      </c>
      <c r="L43" s="56">
        <f>IF(AND(C43="TPG",G43&lt;=24),G43*56000,IF(AND(C43="TPG",G43&gt;24),(24*56000)+((G43-24)*66000),G43*66000))</f>
        <v>1848000</v>
      </c>
      <c r="M43" s="91"/>
      <c r="N43" s="92"/>
      <c r="O43" s="91"/>
      <c r="P43" s="92"/>
      <c r="Q43" s="88"/>
      <c r="R43" s="76">
        <f t="shared" si="7"/>
        <v>0</v>
      </c>
      <c r="S43" s="88"/>
      <c r="T43" s="76">
        <f t="shared" si="53"/>
        <v>0</v>
      </c>
      <c r="U43" s="88"/>
      <c r="V43" s="76">
        <f t="shared" si="9"/>
        <v>0</v>
      </c>
      <c r="W43" s="309"/>
      <c r="X43" s="313">
        <f t="shared" si="10"/>
        <v>1890000</v>
      </c>
      <c r="Y43" s="87"/>
      <c r="Z43" s="85">
        <f>IF(C43="Guru",16500,IF(C43="TPG",14000,15250))</f>
        <v>16500</v>
      </c>
      <c r="AA43" s="85">
        <f t="shared" si="54"/>
        <v>0</v>
      </c>
      <c r="AB43" s="87"/>
      <c r="AC43" s="86" t="s">
        <v>118</v>
      </c>
      <c r="AD43" s="82">
        <f>IF(AND(C43="Guru",AC43="S"),8250,IF(AND(C43="Guru",AC43="I"),16500,IF(AND(C43="TPG",AC43="S"),7000,IF(AND(C43="TPG",AC43="I"),14000,IF(AND(C43="GURU",AC43="A"),16500,14000)))))</f>
        <v>8250</v>
      </c>
      <c r="AE43" s="85">
        <f t="shared" si="59"/>
        <v>0</v>
      </c>
      <c r="AF43" s="87"/>
      <c r="AG43" s="86" t="s">
        <v>119</v>
      </c>
      <c r="AH43" s="82">
        <f>IF(AND(G43="Guru",AG43="S"),8250,IF(AND(G43="Guru",AG43="I"),16500,IF(AND(G43="TPG",AG43="S"),7000,IF(AND(G43="TPG",AG43="I"),14000,IF(AND(G43="GURU",AG43="A"),16500,14000)))))</f>
        <v>14000</v>
      </c>
      <c r="AI43" s="85">
        <f t="shared" si="60"/>
        <v>0</v>
      </c>
      <c r="AJ43" s="87"/>
      <c r="AK43" s="86" t="s">
        <v>115</v>
      </c>
      <c r="AL43" s="82">
        <f>IF(AND(G43="Guru",AK43="S"),8250,IF(AND(G43="Guru",AK43="I"),16500,IF(AND(G43="TPG",AK43="S"),7000,IF(AND(G43="TPG",AK43="I"),14000,IF(AND(G43="GURU",AK43="A"),16500,14000)))))</f>
        <v>14000</v>
      </c>
      <c r="AM43" s="85">
        <f t="shared" si="61"/>
        <v>0</v>
      </c>
      <c r="AN43" s="311">
        <f t="shared" si="11"/>
        <v>0</v>
      </c>
      <c r="AO43" s="78">
        <f t="shared" si="55"/>
        <v>100</v>
      </c>
      <c r="AP43" s="83">
        <f t="shared" si="62"/>
        <v>50000</v>
      </c>
      <c r="AQ43" s="322">
        <f>X43+AP43-AN43</f>
        <v>1940000</v>
      </c>
      <c r="AR43" s="327">
        <v>75000</v>
      </c>
    </row>
    <row r="44" spans="1:44" x14ac:dyDescent="0.2">
      <c r="A44" s="59">
        <v>33</v>
      </c>
      <c r="B44" s="60" t="s">
        <v>28</v>
      </c>
      <c r="C44" s="61" t="s">
        <v>52</v>
      </c>
      <c r="D44" s="53">
        <v>1993</v>
      </c>
      <c r="E44" s="55">
        <f t="shared" si="63"/>
        <v>2022</v>
      </c>
      <c r="F44" s="53">
        <f t="shared" si="56"/>
        <v>29</v>
      </c>
      <c r="G44" s="53">
        <v>32</v>
      </c>
      <c r="H44" s="55">
        <f t="shared" si="6"/>
        <v>128</v>
      </c>
      <c r="I44" s="56">
        <f t="shared" si="52"/>
        <v>7000</v>
      </c>
      <c r="J44" s="56">
        <f t="shared" si="57"/>
        <v>210000</v>
      </c>
      <c r="K44" s="56">
        <f t="shared" si="58"/>
        <v>56000</v>
      </c>
      <c r="L44" s="56">
        <f>IF(AND(C44="TPG",G44&lt;=24),G44*56000,IF(AND(C44="TPG",G44&gt;24),(24*56000)+((G44-24)*66000),G44*66000))</f>
        <v>1872000</v>
      </c>
      <c r="M44" s="82"/>
      <c r="N44" s="92"/>
      <c r="O44" s="82"/>
      <c r="P44" s="92"/>
      <c r="Q44" s="88"/>
      <c r="R44" s="76">
        <f t="shared" si="7"/>
        <v>0</v>
      </c>
      <c r="S44" s="88"/>
      <c r="T44" s="76">
        <f t="shared" si="53"/>
        <v>0</v>
      </c>
      <c r="U44" s="88"/>
      <c r="V44" s="76">
        <f t="shared" si="9"/>
        <v>0</v>
      </c>
      <c r="W44" s="309"/>
      <c r="X44" s="313">
        <f t="shared" si="10"/>
        <v>2082000</v>
      </c>
      <c r="Y44" s="87"/>
      <c r="Z44" s="85">
        <f>IF(C44="Guru",16500,IF(C44="TPG",14000,15250))</f>
        <v>14000</v>
      </c>
      <c r="AA44" s="85">
        <f t="shared" si="54"/>
        <v>0</v>
      </c>
      <c r="AB44" s="87"/>
      <c r="AC44" s="86" t="s">
        <v>118</v>
      </c>
      <c r="AD44" s="82">
        <f>IF(AND(C44="Guru",AC44="S"),8250,IF(AND(C44="Guru",AC44="I"),16500,IF(AND(C44="TPG",AC44="S"),7000,IF(AND(C44="TPG",AC44="I"),14000,IF(AND(C44="GURU",AC44="A"),16500,14000)))))</f>
        <v>7000</v>
      </c>
      <c r="AE44" s="85">
        <f t="shared" si="59"/>
        <v>0</v>
      </c>
      <c r="AF44" s="87"/>
      <c r="AG44" s="86" t="s">
        <v>119</v>
      </c>
      <c r="AH44" s="82">
        <f>IF(AND(G44="Guru",AG44="S"),8250,IF(AND(G44="Guru",AG44="I"),16500,IF(AND(G44="TPG",AG44="S"),7000,IF(AND(G44="TPG",AG44="I"),14000,IF(AND(G44="GURU",AG44="A"),16500,14000)))))</f>
        <v>14000</v>
      </c>
      <c r="AI44" s="85">
        <f t="shared" si="60"/>
        <v>0</v>
      </c>
      <c r="AJ44" s="87"/>
      <c r="AK44" s="86" t="s">
        <v>115</v>
      </c>
      <c r="AL44" s="82">
        <f>IF(AND(G44="Guru",AK44="S"),8250,IF(AND(G44="Guru",AK44="I"),16500,IF(AND(G44="TPG",AK44="S"),7000,IF(AND(G44="TPG",AK44="I"),14000,IF(AND(G44="GURU",AK44="A"),16500,14000)))))</f>
        <v>14000</v>
      </c>
      <c r="AM44" s="85">
        <f t="shared" si="61"/>
        <v>0</v>
      </c>
      <c r="AN44" s="311">
        <f t="shared" si="11"/>
        <v>0</v>
      </c>
      <c r="AO44" s="78">
        <f t="shared" si="55"/>
        <v>100</v>
      </c>
      <c r="AP44" s="83">
        <f t="shared" si="62"/>
        <v>50000</v>
      </c>
      <c r="AQ44" s="322">
        <f>X44+AP44-AN44</f>
        <v>2132000</v>
      </c>
      <c r="AR44" s="327">
        <v>125000</v>
      </c>
    </row>
    <row r="45" spans="1:44" x14ac:dyDescent="0.2">
      <c r="A45" s="59">
        <v>34</v>
      </c>
      <c r="B45" s="60" t="s">
        <v>29</v>
      </c>
      <c r="C45" s="61" t="s">
        <v>52</v>
      </c>
      <c r="D45" s="93">
        <v>1996</v>
      </c>
      <c r="E45" s="55">
        <f t="shared" si="63"/>
        <v>2022</v>
      </c>
      <c r="F45" s="53">
        <f t="shared" si="56"/>
        <v>26</v>
      </c>
      <c r="G45" s="53">
        <v>24</v>
      </c>
      <c r="H45" s="55">
        <f t="shared" si="6"/>
        <v>96</v>
      </c>
      <c r="I45" s="56">
        <f t="shared" si="52"/>
        <v>6500</v>
      </c>
      <c r="J45" s="56">
        <f t="shared" si="57"/>
        <v>156000</v>
      </c>
      <c r="K45" s="56">
        <f t="shared" si="58"/>
        <v>56000</v>
      </c>
      <c r="L45" s="56">
        <f>IF(AND(C45="TPG",G45&lt;=24),G45*56000,IF(AND(C45="TPG",G45&gt;24),(24*56000)+((G45-24)*66000),G45*66000))</f>
        <v>1344000</v>
      </c>
      <c r="M45" s="91"/>
      <c r="N45" s="92"/>
      <c r="O45" s="91"/>
      <c r="P45" s="92"/>
      <c r="Q45" s="88"/>
      <c r="R45" s="76">
        <f t="shared" si="7"/>
        <v>0</v>
      </c>
      <c r="S45" s="88"/>
      <c r="T45" s="76">
        <f t="shared" si="53"/>
        <v>0</v>
      </c>
      <c r="U45" s="88"/>
      <c r="V45" s="76">
        <f t="shared" si="9"/>
        <v>0</v>
      </c>
      <c r="W45" s="309"/>
      <c r="X45" s="313">
        <f t="shared" si="10"/>
        <v>1500000</v>
      </c>
      <c r="Y45" s="87"/>
      <c r="Z45" s="85">
        <f>IF(C45="Guru",16500,IF(C45="TPG",14000,15250))</f>
        <v>14000</v>
      </c>
      <c r="AA45" s="85">
        <f t="shared" si="54"/>
        <v>0</v>
      </c>
      <c r="AB45" s="87"/>
      <c r="AC45" s="86" t="s">
        <v>118</v>
      </c>
      <c r="AD45" s="82">
        <f>IF(AND(C45="Guru",AC45="S"),8250,IF(AND(C45="Guru",AC45="I"),16500,IF(AND(C45="TPG",AC45="S"),7000,IF(AND(C45="TPG",AC45="I"),14000,IF(AND(C45="GURU",AC45="A"),16500,14000)))))</f>
        <v>7000</v>
      </c>
      <c r="AE45" s="85">
        <f t="shared" si="59"/>
        <v>0</v>
      </c>
      <c r="AF45" s="87"/>
      <c r="AG45" s="86" t="s">
        <v>119</v>
      </c>
      <c r="AH45" s="82">
        <f>IF(AND(G45="Guru",AG45="S"),8250,IF(AND(G45="Guru",AG45="I"),16500,IF(AND(G45="TPG",AG45="S"),7000,IF(AND(G45="TPG",AG45="I"),14000,IF(AND(G45="GURU",AG45="A"),16500,14000)))))</f>
        <v>14000</v>
      </c>
      <c r="AI45" s="85">
        <f t="shared" si="60"/>
        <v>0</v>
      </c>
      <c r="AJ45" s="87"/>
      <c r="AK45" s="86" t="s">
        <v>115</v>
      </c>
      <c r="AL45" s="82">
        <f>IF(AND(G45="Guru",AK45="S"),8250,IF(AND(G45="Guru",AK45="I"),16500,IF(AND(G45="TPG",AK45="S"),7000,IF(AND(G45="TPG",AK45="I"),14000,IF(AND(G45="GURU",AK45="A"),16500,14000)))))</f>
        <v>14000</v>
      </c>
      <c r="AM45" s="85">
        <f t="shared" si="61"/>
        <v>0</v>
      </c>
      <c r="AN45" s="311">
        <f t="shared" si="11"/>
        <v>0</v>
      </c>
      <c r="AO45" s="78">
        <f t="shared" si="55"/>
        <v>100</v>
      </c>
      <c r="AP45" s="83">
        <f t="shared" si="62"/>
        <v>50000</v>
      </c>
      <c r="AQ45" s="322">
        <f>X45+AP45-AN45</f>
        <v>1550000</v>
      </c>
      <c r="AR45" s="327">
        <v>50000</v>
      </c>
    </row>
    <row r="46" spans="1:44" x14ac:dyDescent="0.2">
      <c r="A46" s="59">
        <v>35</v>
      </c>
      <c r="B46" s="33" t="s">
        <v>30</v>
      </c>
      <c r="C46" s="61" t="s">
        <v>52</v>
      </c>
      <c r="D46" s="53">
        <v>1999</v>
      </c>
      <c r="E46" s="55">
        <f t="shared" si="63"/>
        <v>2022</v>
      </c>
      <c r="F46" s="53">
        <f t="shared" si="56"/>
        <v>23</v>
      </c>
      <c r="G46" s="53">
        <v>22</v>
      </c>
      <c r="H46" s="55">
        <f t="shared" si="6"/>
        <v>88</v>
      </c>
      <c r="I46" s="56">
        <f t="shared" si="52"/>
        <v>6000</v>
      </c>
      <c r="J46" s="56">
        <f t="shared" si="57"/>
        <v>132000</v>
      </c>
      <c r="K46" s="56">
        <f t="shared" si="58"/>
        <v>56000</v>
      </c>
      <c r="L46" s="56">
        <f>IF(AND(C46="TPG",G46&lt;=24),G46*56000,IF(AND(C46="TPG",G46&gt;24),(24*56000)+((G46-24)*66000),G46*66000))</f>
        <v>1232000</v>
      </c>
      <c r="M46" s="82">
        <v>100000</v>
      </c>
      <c r="N46" s="92" t="s">
        <v>71</v>
      </c>
      <c r="O46" s="82"/>
      <c r="P46" s="92"/>
      <c r="Q46" s="88"/>
      <c r="R46" s="76">
        <f t="shared" si="7"/>
        <v>0</v>
      </c>
      <c r="S46" s="88"/>
      <c r="T46" s="76">
        <f t="shared" si="53"/>
        <v>0</v>
      </c>
      <c r="U46" s="88"/>
      <c r="V46" s="76">
        <f t="shared" si="9"/>
        <v>0</v>
      </c>
      <c r="W46" s="309"/>
      <c r="X46" s="313">
        <f t="shared" si="10"/>
        <v>1464000</v>
      </c>
      <c r="Y46" s="87"/>
      <c r="Z46" s="85">
        <f>IF(C46="Guru",16500,IF(C46="TPG",14000,15250))</f>
        <v>14000</v>
      </c>
      <c r="AA46" s="85">
        <f t="shared" si="54"/>
        <v>0</v>
      </c>
      <c r="AB46" s="87"/>
      <c r="AC46" s="86" t="s">
        <v>118</v>
      </c>
      <c r="AD46" s="82">
        <f>IF(AND(C46="Guru",AC46="S"),8250,IF(AND(C46="Guru",AC46="I"),16500,IF(AND(C46="TPG",AC46="S"),7000,IF(AND(C46="TPG",AC46="I"),14000,IF(AND(C46="GURU",AC46="A"),16500,14000)))))</f>
        <v>7000</v>
      </c>
      <c r="AE46" s="85">
        <f t="shared" si="59"/>
        <v>0</v>
      </c>
      <c r="AF46" s="87"/>
      <c r="AG46" s="86" t="s">
        <v>119</v>
      </c>
      <c r="AH46" s="82">
        <f>IF(AND(G46="Guru",AG46="S"),8250,IF(AND(G46="Guru",AG46="I"),16500,IF(AND(G46="TPG",AG46="S"),7000,IF(AND(G46="TPG",AG46="I"),14000,IF(AND(G46="GURU",AG46="A"),16500,14000)))))</f>
        <v>14000</v>
      </c>
      <c r="AI46" s="85">
        <f t="shared" si="60"/>
        <v>0</v>
      </c>
      <c r="AJ46" s="87"/>
      <c r="AK46" s="86" t="s">
        <v>115</v>
      </c>
      <c r="AL46" s="82">
        <f>IF(AND(G46="Guru",AK46="S"),8250,IF(AND(G46="Guru",AK46="I"),16500,IF(AND(G46="TPG",AK46="S"),7000,IF(AND(G46="TPG",AK46="I"),14000,IF(AND(G46="GURU",AK46="A"),16500,14000)))))</f>
        <v>14000</v>
      </c>
      <c r="AM46" s="85">
        <f t="shared" si="61"/>
        <v>0</v>
      </c>
      <c r="AN46" s="311">
        <f t="shared" si="11"/>
        <v>0</v>
      </c>
      <c r="AO46" s="78">
        <f t="shared" si="55"/>
        <v>100</v>
      </c>
      <c r="AP46" s="83">
        <f t="shared" si="62"/>
        <v>50000</v>
      </c>
      <c r="AQ46" s="322">
        <f>X46+AP46-AN46</f>
        <v>1514000</v>
      </c>
      <c r="AR46" s="327">
        <v>100000</v>
      </c>
    </row>
    <row r="47" spans="1:44" x14ac:dyDescent="0.2">
      <c r="A47" s="59">
        <v>36</v>
      </c>
      <c r="B47" s="60" t="s">
        <v>31</v>
      </c>
      <c r="C47" s="61" t="s">
        <v>52</v>
      </c>
      <c r="D47" s="53">
        <v>2000</v>
      </c>
      <c r="E47" s="55">
        <f t="shared" si="63"/>
        <v>2022</v>
      </c>
      <c r="F47" s="53">
        <f t="shared" si="56"/>
        <v>22</v>
      </c>
      <c r="G47" s="53">
        <v>28</v>
      </c>
      <c r="H47" s="55">
        <f t="shared" si="6"/>
        <v>112</v>
      </c>
      <c r="I47" s="56">
        <f t="shared" si="52"/>
        <v>5500</v>
      </c>
      <c r="J47" s="56">
        <f t="shared" si="57"/>
        <v>154000</v>
      </c>
      <c r="K47" s="56">
        <f t="shared" si="58"/>
        <v>56000</v>
      </c>
      <c r="L47" s="56">
        <f>IF(AND(C47="TPG",G47&lt;=24),G47*56000,IF(AND(C47="TPG",G47&gt;24),(24*56000)+((G47-24)*66000),G47*66000))</f>
        <v>1608000</v>
      </c>
      <c r="M47" s="82">
        <v>100000</v>
      </c>
      <c r="N47" s="92" t="s">
        <v>71</v>
      </c>
      <c r="O47" s="82"/>
      <c r="P47" s="92"/>
      <c r="Q47" s="88"/>
      <c r="R47" s="76">
        <f t="shared" si="7"/>
        <v>0</v>
      </c>
      <c r="S47" s="88"/>
      <c r="T47" s="76">
        <f t="shared" si="53"/>
        <v>0</v>
      </c>
      <c r="U47" s="88"/>
      <c r="V47" s="76">
        <f t="shared" si="9"/>
        <v>0</v>
      </c>
      <c r="W47" s="309"/>
      <c r="X47" s="313">
        <f t="shared" si="10"/>
        <v>1862000</v>
      </c>
      <c r="Y47" s="87"/>
      <c r="Z47" s="85">
        <f>IF(C47="Guru",16500,IF(C47="TPG",14000,15250))</f>
        <v>14000</v>
      </c>
      <c r="AA47" s="85">
        <f t="shared" si="54"/>
        <v>0</v>
      </c>
      <c r="AB47" s="87"/>
      <c r="AC47" s="86" t="s">
        <v>118</v>
      </c>
      <c r="AD47" s="82">
        <f>IF(AND(C47="Guru",AC47="S"),8250,IF(AND(C47="Guru",AC47="I"),16500,IF(AND(C47="TPG",AC47="S"),7000,IF(AND(C47="TPG",AC47="I"),14000,IF(AND(C47="GURU",AC47="A"),16500,14000)))))</f>
        <v>7000</v>
      </c>
      <c r="AE47" s="85">
        <f t="shared" si="59"/>
        <v>0</v>
      </c>
      <c r="AF47" s="87"/>
      <c r="AG47" s="86" t="s">
        <v>119</v>
      </c>
      <c r="AH47" s="82">
        <f>IF(AND(G47="Guru",AG47="S"),8250,IF(AND(G47="Guru",AG47="I"),16500,IF(AND(G47="TPG",AG47="S"),7000,IF(AND(G47="TPG",AG47="I"),14000,IF(AND(G47="GURU",AG47="A"),16500,14000)))))</f>
        <v>14000</v>
      </c>
      <c r="AI47" s="85">
        <f t="shared" si="60"/>
        <v>0</v>
      </c>
      <c r="AJ47" s="87"/>
      <c r="AK47" s="86" t="s">
        <v>115</v>
      </c>
      <c r="AL47" s="82">
        <f>IF(AND(G47="Guru",AK47="S"),8250,IF(AND(G47="Guru",AK47="I"),16500,IF(AND(G47="TPG",AK47="S"),7000,IF(AND(G47="TPG",AK47="I"),14000,IF(AND(G47="GURU",AK47="A"),16500,14000)))))</f>
        <v>14000</v>
      </c>
      <c r="AM47" s="85">
        <f t="shared" si="61"/>
        <v>0</v>
      </c>
      <c r="AN47" s="311">
        <f t="shared" si="11"/>
        <v>0</v>
      </c>
      <c r="AO47" s="78">
        <f t="shared" si="55"/>
        <v>100</v>
      </c>
      <c r="AP47" s="83">
        <f t="shared" si="62"/>
        <v>50000</v>
      </c>
      <c r="AQ47" s="322">
        <f>X47+AP47-AN47</f>
        <v>1912000</v>
      </c>
      <c r="AR47" s="327">
        <v>125000</v>
      </c>
    </row>
    <row r="48" spans="1:44" x14ac:dyDescent="0.2">
      <c r="A48" s="59">
        <v>37</v>
      </c>
      <c r="B48" s="60" t="s">
        <v>32</v>
      </c>
      <c r="C48" s="61" t="s">
        <v>52</v>
      </c>
      <c r="D48" s="53">
        <v>2000</v>
      </c>
      <c r="E48" s="55">
        <f t="shared" si="63"/>
        <v>2022</v>
      </c>
      <c r="F48" s="53">
        <f t="shared" si="56"/>
        <v>22</v>
      </c>
      <c r="G48" s="53">
        <v>26</v>
      </c>
      <c r="H48" s="55">
        <f t="shared" si="6"/>
        <v>104</v>
      </c>
      <c r="I48" s="56">
        <f t="shared" si="52"/>
        <v>5500</v>
      </c>
      <c r="J48" s="56">
        <f t="shared" si="57"/>
        <v>143000</v>
      </c>
      <c r="K48" s="56">
        <f t="shared" si="58"/>
        <v>56000</v>
      </c>
      <c r="L48" s="56">
        <f>IF(AND(C48="TPG",G48&lt;=24),G48*56000,IF(AND(C48="TPG",G48&gt;24),(24*56000)+((G48-24)*66000),G48*66000))</f>
        <v>1476000</v>
      </c>
      <c r="M48" s="82">
        <v>100000</v>
      </c>
      <c r="N48" s="92" t="s">
        <v>71</v>
      </c>
      <c r="O48" s="82"/>
      <c r="P48" s="92"/>
      <c r="Q48" s="88"/>
      <c r="R48" s="76">
        <f t="shared" si="7"/>
        <v>0</v>
      </c>
      <c r="S48" s="88"/>
      <c r="T48" s="76">
        <f t="shared" si="53"/>
        <v>0</v>
      </c>
      <c r="U48" s="88"/>
      <c r="V48" s="76">
        <f t="shared" si="9"/>
        <v>0</v>
      </c>
      <c r="W48" s="309"/>
      <c r="X48" s="313">
        <f t="shared" si="10"/>
        <v>1719000</v>
      </c>
      <c r="Y48" s="87"/>
      <c r="Z48" s="85">
        <f>IF(C48="Guru",16500,IF(C48="TPG",14000,15250))</f>
        <v>14000</v>
      </c>
      <c r="AA48" s="85">
        <f t="shared" si="54"/>
        <v>0</v>
      </c>
      <c r="AB48" s="87"/>
      <c r="AC48" s="86" t="s">
        <v>118</v>
      </c>
      <c r="AD48" s="82">
        <f>IF(AND(C48="Guru",AC48="S"),8250,IF(AND(C48="Guru",AC48="I"),16500,IF(AND(C48="TPG",AC48="S"),7000,IF(AND(C48="TPG",AC48="I"),14000,IF(AND(C48="GURU",AC48="A"),16500,14000)))))</f>
        <v>7000</v>
      </c>
      <c r="AE48" s="85">
        <f t="shared" si="59"/>
        <v>0</v>
      </c>
      <c r="AF48" s="87"/>
      <c r="AG48" s="86" t="s">
        <v>119</v>
      </c>
      <c r="AH48" s="82">
        <f>IF(AND(G48="Guru",AG48="S"),8250,IF(AND(G48="Guru",AG48="I"),16500,IF(AND(G48="TPG",AG48="S"),7000,IF(AND(G48="TPG",AG48="I"),14000,IF(AND(G48="GURU",AG48="A"),16500,14000)))))</f>
        <v>14000</v>
      </c>
      <c r="AI48" s="85">
        <f t="shared" si="60"/>
        <v>0</v>
      </c>
      <c r="AJ48" s="87"/>
      <c r="AK48" s="86" t="s">
        <v>115</v>
      </c>
      <c r="AL48" s="82">
        <f>IF(AND(G48="Guru",AK48="S"),8250,IF(AND(G48="Guru",AK48="I"),16500,IF(AND(G48="TPG",AK48="S"),7000,IF(AND(G48="TPG",AK48="I"),14000,IF(AND(G48="GURU",AK48="A"),16500,14000)))))</f>
        <v>14000</v>
      </c>
      <c r="AM48" s="85">
        <f t="shared" si="61"/>
        <v>0</v>
      </c>
      <c r="AN48" s="311">
        <f t="shared" si="11"/>
        <v>0</v>
      </c>
      <c r="AO48" s="78">
        <f t="shared" si="55"/>
        <v>100</v>
      </c>
      <c r="AP48" s="83">
        <f t="shared" si="62"/>
        <v>50000</v>
      </c>
      <c r="AQ48" s="322">
        <f>X48+AP48-AN48</f>
        <v>1769000</v>
      </c>
      <c r="AR48" s="327">
        <v>125000</v>
      </c>
    </row>
    <row r="49" spans="1:44" x14ac:dyDescent="0.2">
      <c r="A49" s="59">
        <v>38</v>
      </c>
      <c r="B49" s="33" t="s">
        <v>33</v>
      </c>
      <c r="C49" s="61" t="s">
        <v>52</v>
      </c>
      <c r="D49" s="53">
        <v>2001</v>
      </c>
      <c r="E49" s="55">
        <f t="shared" si="63"/>
        <v>2022</v>
      </c>
      <c r="F49" s="53">
        <f t="shared" si="56"/>
        <v>21</v>
      </c>
      <c r="G49" s="53">
        <v>30</v>
      </c>
      <c r="H49" s="55">
        <f t="shared" si="6"/>
        <v>120</v>
      </c>
      <c r="I49" s="56">
        <f t="shared" si="52"/>
        <v>5500</v>
      </c>
      <c r="J49" s="56">
        <f t="shared" si="57"/>
        <v>165000</v>
      </c>
      <c r="K49" s="56">
        <f t="shared" si="58"/>
        <v>56000</v>
      </c>
      <c r="L49" s="56">
        <f>IF(AND(C49="TPG",G49&lt;=24),G49*56000,IF(AND(C49="TPG",G49&gt;24),(24*56000)+((G49-24)*66000),G49*66000))</f>
        <v>1740000</v>
      </c>
      <c r="M49" s="82">
        <v>100000</v>
      </c>
      <c r="N49" s="92" t="s">
        <v>71</v>
      </c>
      <c r="O49" s="82"/>
      <c r="P49" s="92"/>
      <c r="Q49" s="88"/>
      <c r="R49" s="76">
        <f t="shared" si="7"/>
        <v>0</v>
      </c>
      <c r="S49" s="88"/>
      <c r="T49" s="76">
        <f t="shared" si="53"/>
        <v>0</v>
      </c>
      <c r="U49" s="88"/>
      <c r="V49" s="76">
        <f t="shared" si="9"/>
        <v>0</v>
      </c>
      <c r="W49" s="309"/>
      <c r="X49" s="313">
        <f t="shared" si="10"/>
        <v>2005000</v>
      </c>
      <c r="Y49" s="87"/>
      <c r="Z49" s="85">
        <f>IF(C49="Guru",16500,IF(C49="TPG",14000,15250))</f>
        <v>14000</v>
      </c>
      <c r="AA49" s="85">
        <f t="shared" si="54"/>
        <v>0</v>
      </c>
      <c r="AB49" s="87"/>
      <c r="AC49" s="86" t="s">
        <v>118</v>
      </c>
      <c r="AD49" s="82">
        <f>IF(AND(C49="Guru",AC49="S"),8250,IF(AND(C49="Guru",AC49="I"),16500,IF(AND(C49="TPG",AC49="S"),7000,IF(AND(C49="TPG",AC49="I"),14000,IF(AND(C49="GURU",AC49="A"),16500,14000)))))</f>
        <v>7000</v>
      </c>
      <c r="AE49" s="85">
        <f t="shared" si="59"/>
        <v>0</v>
      </c>
      <c r="AF49" s="87"/>
      <c r="AG49" s="86" t="s">
        <v>119</v>
      </c>
      <c r="AH49" s="82">
        <f>IF(AND(G49="Guru",AG49="S"),8250,IF(AND(G49="Guru",AG49="I"),16500,IF(AND(G49="TPG",AG49="S"),7000,IF(AND(G49="TPG",AG49="I"),14000,IF(AND(G49="GURU",AG49="A"),16500,14000)))))</f>
        <v>14000</v>
      </c>
      <c r="AI49" s="85">
        <f t="shared" si="60"/>
        <v>0</v>
      </c>
      <c r="AJ49" s="87"/>
      <c r="AK49" s="86" t="s">
        <v>115</v>
      </c>
      <c r="AL49" s="82">
        <f>IF(AND(G49="Guru",AK49="S"),8250,IF(AND(G49="Guru",AK49="I"),16500,IF(AND(G49="TPG",AK49="S"),7000,IF(AND(G49="TPG",AK49="I"),14000,IF(AND(G49="GURU",AK49="A"),16500,14000)))))</f>
        <v>14000</v>
      </c>
      <c r="AM49" s="85">
        <f t="shared" si="61"/>
        <v>0</v>
      </c>
      <c r="AN49" s="311">
        <f t="shared" si="11"/>
        <v>0</v>
      </c>
      <c r="AO49" s="78">
        <f t="shared" si="55"/>
        <v>100</v>
      </c>
      <c r="AP49" s="83">
        <f t="shared" si="62"/>
        <v>50000</v>
      </c>
      <c r="AQ49" s="322">
        <f>X49+AP49-AN49</f>
        <v>2055000</v>
      </c>
      <c r="AR49" s="327">
        <v>125000</v>
      </c>
    </row>
    <row r="50" spans="1:44" x14ac:dyDescent="0.2">
      <c r="A50" s="59">
        <v>39</v>
      </c>
      <c r="B50" s="60" t="s">
        <v>34</v>
      </c>
      <c r="C50" s="61" t="s">
        <v>52</v>
      </c>
      <c r="D50" s="53">
        <v>2004</v>
      </c>
      <c r="E50" s="55">
        <f t="shared" si="63"/>
        <v>2022</v>
      </c>
      <c r="F50" s="53">
        <f t="shared" si="56"/>
        <v>18</v>
      </c>
      <c r="G50" s="53">
        <v>32</v>
      </c>
      <c r="H50" s="55">
        <f t="shared" si="6"/>
        <v>128</v>
      </c>
      <c r="I50" s="56">
        <f t="shared" si="52"/>
        <v>5000</v>
      </c>
      <c r="J50" s="56">
        <f>IF(G50&gt;30,30*I50,G50*I50)</f>
        <v>150000</v>
      </c>
      <c r="K50" s="56">
        <f t="shared" si="58"/>
        <v>56000</v>
      </c>
      <c r="L50" s="56">
        <f>IF(AND(C50="TPG",G50&lt;=24),G50*56000,IF(AND(C50="TPG",G50&gt;24),(24*56000)+((G50-24)*66000),G50*66000))</f>
        <v>1872000</v>
      </c>
      <c r="M50" s="82">
        <v>100000</v>
      </c>
      <c r="N50" s="92" t="s">
        <v>71</v>
      </c>
      <c r="O50" s="82"/>
      <c r="P50" s="92"/>
      <c r="Q50" s="88"/>
      <c r="R50" s="76">
        <f t="shared" si="7"/>
        <v>0</v>
      </c>
      <c r="S50" s="88"/>
      <c r="T50" s="76">
        <f t="shared" si="53"/>
        <v>0</v>
      </c>
      <c r="U50" s="88"/>
      <c r="V50" s="76">
        <f t="shared" si="9"/>
        <v>0</v>
      </c>
      <c r="W50" s="309"/>
      <c r="X50" s="313">
        <f t="shared" si="10"/>
        <v>2122000</v>
      </c>
      <c r="Y50" s="87"/>
      <c r="Z50" s="85">
        <f>IF(C50="Guru",16500,IF(C50="TPG",14000,15250))</f>
        <v>14000</v>
      </c>
      <c r="AA50" s="85">
        <f t="shared" si="54"/>
        <v>0</v>
      </c>
      <c r="AB50" s="87"/>
      <c r="AC50" s="86" t="s">
        <v>118</v>
      </c>
      <c r="AD50" s="82">
        <f>IF(AND(C50="Guru",AC50="S"),8250,IF(AND(C50="Guru",AC50="I"),16500,IF(AND(C50="TPG",AC50="S"),7000,IF(AND(C50="TPG",AC50="I"),14000,IF(AND(C50="GURU",AC50="A"),16500,14000)))))</f>
        <v>7000</v>
      </c>
      <c r="AE50" s="85">
        <f t="shared" si="59"/>
        <v>0</v>
      </c>
      <c r="AF50" s="87"/>
      <c r="AG50" s="86" t="s">
        <v>119</v>
      </c>
      <c r="AH50" s="82">
        <f>IF(AND(G50="Guru",AG50="S"),8250,IF(AND(G50="Guru",AG50="I"),16500,IF(AND(G50="TPG",AG50="S"),7000,IF(AND(G50="TPG",AG50="I"),14000,IF(AND(G50="GURU",AG50="A"),16500,14000)))))</f>
        <v>14000</v>
      </c>
      <c r="AI50" s="85">
        <f t="shared" si="60"/>
        <v>0</v>
      </c>
      <c r="AJ50" s="87"/>
      <c r="AK50" s="86" t="s">
        <v>115</v>
      </c>
      <c r="AL50" s="82">
        <f>IF(AND(G50="Guru",AK50="S"),8250,IF(AND(G50="Guru",AK50="I"),16500,IF(AND(G50="TPG",AK50="S"),7000,IF(AND(G50="TPG",AK50="I"),14000,IF(AND(G50="GURU",AK50="A"),16500,14000)))))</f>
        <v>14000</v>
      </c>
      <c r="AM50" s="85">
        <f t="shared" si="61"/>
        <v>0</v>
      </c>
      <c r="AN50" s="311">
        <f t="shared" si="11"/>
        <v>0</v>
      </c>
      <c r="AO50" s="78">
        <f t="shared" si="55"/>
        <v>100</v>
      </c>
      <c r="AP50" s="83">
        <f t="shared" si="62"/>
        <v>50000</v>
      </c>
      <c r="AQ50" s="322">
        <f>X50+AP50-AN50</f>
        <v>2172000</v>
      </c>
      <c r="AR50" s="327">
        <v>125000</v>
      </c>
    </row>
    <row r="51" spans="1:44" x14ac:dyDescent="0.2">
      <c r="A51" s="59">
        <v>40</v>
      </c>
      <c r="B51" s="60" t="s">
        <v>35</v>
      </c>
      <c r="C51" s="61" t="s">
        <v>52</v>
      </c>
      <c r="D51" s="53">
        <v>2005</v>
      </c>
      <c r="E51" s="55">
        <f t="shared" si="63"/>
        <v>2022</v>
      </c>
      <c r="F51" s="53">
        <f t="shared" si="56"/>
        <v>17</v>
      </c>
      <c r="G51" s="53">
        <v>28</v>
      </c>
      <c r="H51" s="55">
        <f t="shared" si="6"/>
        <v>112</v>
      </c>
      <c r="I51" s="56">
        <f t="shared" si="52"/>
        <v>5000</v>
      </c>
      <c r="J51" s="56">
        <f t="shared" si="57"/>
        <v>140000</v>
      </c>
      <c r="K51" s="56">
        <f t="shared" si="58"/>
        <v>56000</v>
      </c>
      <c r="L51" s="56">
        <f>IF(AND(C51="TPG",G51&lt;=24),G51*56000,IF(AND(C51="TPG",G51&gt;24),(24*56000)+((G51-24)*66000),G51*66000))</f>
        <v>1608000</v>
      </c>
      <c r="M51" s="82"/>
      <c r="N51" s="92"/>
      <c r="O51" s="82"/>
      <c r="P51" s="92"/>
      <c r="Q51" s="88"/>
      <c r="R51" s="76">
        <f t="shared" si="7"/>
        <v>0</v>
      </c>
      <c r="S51" s="88"/>
      <c r="T51" s="76">
        <f t="shared" si="53"/>
        <v>0</v>
      </c>
      <c r="U51" s="88"/>
      <c r="V51" s="76">
        <f t="shared" si="9"/>
        <v>0</v>
      </c>
      <c r="W51" s="309"/>
      <c r="X51" s="313">
        <f t="shared" si="10"/>
        <v>1748000</v>
      </c>
      <c r="Y51" s="87"/>
      <c r="Z51" s="85">
        <f>IF(C51="Guru",16500,IF(C51="TPG",14000,15250))</f>
        <v>14000</v>
      </c>
      <c r="AA51" s="85">
        <f t="shared" si="54"/>
        <v>0</v>
      </c>
      <c r="AB51" s="87"/>
      <c r="AC51" s="86" t="s">
        <v>118</v>
      </c>
      <c r="AD51" s="82">
        <f>IF(AND(C51="Guru",AC51="S"),8250,IF(AND(C51="Guru",AC51="I"),16500,IF(AND(C51="TPG",AC51="S"),7000,IF(AND(C51="TPG",AC51="I"),14000,IF(AND(C51="GURU",AC51="A"),16500,14000)))))</f>
        <v>7000</v>
      </c>
      <c r="AE51" s="85">
        <f t="shared" si="59"/>
        <v>0</v>
      </c>
      <c r="AF51" s="87"/>
      <c r="AG51" s="86" t="s">
        <v>119</v>
      </c>
      <c r="AH51" s="82">
        <f>IF(AND(G51="Guru",AG51="S"),8250,IF(AND(G51="Guru",AG51="I"),16500,IF(AND(G51="TPG",AG51="S"),7000,IF(AND(G51="TPG",AG51="I"),14000,IF(AND(G51="GURU",AG51="A"),16500,14000)))))</f>
        <v>14000</v>
      </c>
      <c r="AI51" s="85">
        <f t="shared" si="60"/>
        <v>0</v>
      </c>
      <c r="AJ51" s="87"/>
      <c r="AK51" s="86" t="s">
        <v>115</v>
      </c>
      <c r="AL51" s="82">
        <f>IF(AND(G51="Guru",AK51="S"),8250,IF(AND(G51="Guru",AK51="I"),16500,IF(AND(G51="TPG",AK51="S"),7000,IF(AND(G51="TPG",AK51="I"),14000,IF(AND(G51="GURU",AK51="A"),16500,14000)))))</f>
        <v>14000</v>
      </c>
      <c r="AM51" s="85">
        <f t="shared" si="61"/>
        <v>0</v>
      </c>
      <c r="AN51" s="311">
        <f t="shared" si="11"/>
        <v>0</v>
      </c>
      <c r="AO51" s="78">
        <f t="shared" si="55"/>
        <v>100</v>
      </c>
      <c r="AP51" s="83">
        <f t="shared" si="62"/>
        <v>50000</v>
      </c>
      <c r="AQ51" s="322">
        <f>X51+AP51-AN51</f>
        <v>1798000</v>
      </c>
      <c r="AR51" s="327">
        <v>125000</v>
      </c>
    </row>
    <row r="52" spans="1:44" x14ac:dyDescent="0.2">
      <c r="A52" s="59">
        <v>41</v>
      </c>
      <c r="B52" s="60" t="s">
        <v>36</v>
      </c>
      <c r="C52" s="61" t="s">
        <v>52</v>
      </c>
      <c r="D52" s="53">
        <v>2005</v>
      </c>
      <c r="E52" s="55">
        <f t="shared" si="63"/>
        <v>2022</v>
      </c>
      <c r="F52" s="53">
        <f t="shared" si="56"/>
        <v>17</v>
      </c>
      <c r="G52" s="53">
        <v>39</v>
      </c>
      <c r="H52" s="55">
        <f t="shared" si="6"/>
        <v>156</v>
      </c>
      <c r="I52" s="56">
        <f t="shared" si="52"/>
        <v>5000</v>
      </c>
      <c r="J52" s="56">
        <f t="shared" si="57"/>
        <v>150000</v>
      </c>
      <c r="K52" s="56">
        <f t="shared" si="58"/>
        <v>56000</v>
      </c>
      <c r="L52" s="56">
        <f>IF(AND(C52="TPG",G52&lt;=24),G52*56000,IF(AND(C52="TPG",G52&gt;24),(24*56000)+((G52-24)*66000),G52*66000))</f>
        <v>2334000</v>
      </c>
      <c r="M52" s="82">
        <v>125000</v>
      </c>
      <c r="N52" s="92" t="s">
        <v>71</v>
      </c>
      <c r="O52" s="82"/>
      <c r="P52" s="92"/>
      <c r="Q52" s="88"/>
      <c r="R52" s="76">
        <f t="shared" si="7"/>
        <v>0</v>
      </c>
      <c r="S52" s="88"/>
      <c r="T52" s="76">
        <f t="shared" si="53"/>
        <v>0</v>
      </c>
      <c r="U52" s="88"/>
      <c r="V52" s="76">
        <f t="shared" si="9"/>
        <v>0</v>
      </c>
      <c r="W52" s="309"/>
      <c r="X52" s="313">
        <f t="shared" si="10"/>
        <v>2609000</v>
      </c>
      <c r="Y52" s="87"/>
      <c r="Z52" s="85">
        <f>IF(C52="Guru",16500,IF(C52="TPG",14000,15250))</f>
        <v>14000</v>
      </c>
      <c r="AA52" s="85">
        <f t="shared" si="54"/>
        <v>0</v>
      </c>
      <c r="AB52" s="87"/>
      <c r="AC52" s="86" t="s">
        <v>118</v>
      </c>
      <c r="AD52" s="82">
        <f>IF(AND(C52="Guru",AC52="S"),8250,IF(AND(C52="Guru",AC52="I"),16500,IF(AND(C52="TPG",AC52="S"),7000,IF(AND(C52="TPG",AC52="I"),14000,IF(AND(C52="GURU",AC52="A"),16500,14000)))))</f>
        <v>7000</v>
      </c>
      <c r="AE52" s="85">
        <f t="shared" si="59"/>
        <v>0</v>
      </c>
      <c r="AF52" s="87"/>
      <c r="AG52" s="86" t="s">
        <v>119</v>
      </c>
      <c r="AH52" s="82">
        <f>IF(AND(G52="Guru",AG52="S"),8250,IF(AND(G52="Guru",AG52="I"),16500,IF(AND(G52="TPG",AG52="S"),7000,IF(AND(G52="TPG",AG52="I"),14000,IF(AND(G52="GURU",AG52="A"),16500,14000)))))</f>
        <v>14000</v>
      </c>
      <c r="AI52" s="85">
        <f t="shared" si="60"/>
        <v>0</v>
      </c>
      <c r="AJ52" s="87"/>
      <c r="AK52" s="86" t="s">
        <v>115</v>
      </c>
      <c r="AL52" s="82">
        <f>IF(AND(G52="Guru",AK52="S"),8250,IF(AND(G52="Guru",AK52="I"),16500,IF(AND(G52="TPG",AK52="S"),7000,IF(AND(G52="TPG",AK52="I"),14000,IF(AND(G52="GURU",AK52="A"),16500,14000)))))</f>
        <v>14000</v>
      </c>
      <c r="AM52" s="85">
        <f t="shared" si="61"/>
        <v>0</v>
      </c>
      <c r="AN52" s="311">
        <f t="shared" si="11"/>
        <v>0</v>
      </c>
      <c r="AO52" s="78">
        <f t="shared" si="55"/>
        <v>100</v>
      </c>
      <c r="AP52" s="83">
        <f t="shared" si="62"/>
        <v>50000</v>
      </c>
      <c r="AQ52" s="322">
        <f>X52+AP52-AN52</f>
        <v>2659000</v>
      </c>
      <c r="AR52" s="327">
        <v>150000</v>
      </c>
    </row>
    <row r="53" spans="1:44" x14ac:dyDescent="0.2">
      <c r="A53" s="59">
        <v>42</v>
      </c>
      <c r="B53" s="60" t="s">
        <v>37</v>
      </c>
      <c r="C53" s="61" t="s">
        <v>52</v>
      </c>
      <c r="D53" s="53">
        <v>2006</v>
      </c>
      <c r="E53" s="55">
        <f t="shared" si="63"/>
        <v>2022</v>
      </c>
      <c r="F53" s="53">
        <f t="shared" si="56"/>
        <v>16</v>
      </c>
      <c r="G53" s="53">
        <v>24</v>
      </c>
      <c r="H53" s="55">
        <f t="shared" si="6"/>
        <v>96</v>
      </c>
      <c r="I53" s="56">
        <f t="shared" si="52"/>
        <v>4500</v>
      </c>
      <c r="J53" s="56">
        <f t="shared" si="57"/>
        <v>108000</v>
      </c>
      <c r="K53" s="56">
        <f t="shared" si="58"/>
        <v>56000</v>
      </c>
      <c r="L53" s="56">
        <f>IF(AND(C53="TPG",G53&lt;=24),G53*56000,IF(AND(C53="TPG",G53&gt;24),(24*56000)+((G53-24)*66000),G53*66000))</f>
        <v>1344000</v>
      </c>
      <c r="M53" s="82">
        <v>100000</v>
      </c>
      <c r="N53" s="92" t="s">
        <v>71</v>
      </c>
      <c r="O53" s="82"/>
      <c r="P53" s="92"/>
      <c r="Q53" s="88"/>
      <c r="R53" s="76">
        <f t="shared" si="7"/>
        <v>0</v>
      </c>
      <c r="S53" s="88"/>
      <c r="T53" s="76">
        <f t="shared" si="53"/>
        <v>0</v>
      </c>
      <c r="U53" s="88"/>
      <c r="V53" s="76">
        <f t="shared" si="9"/>
        <v>0</v>
      </c>
      <c r="W53" s="309"/>
      <c r="X53" s="313">
        <f t="shared" si="10"/>
        <v>1552000</v>
      </c>
      <c r="Y53" s="87"/>
      <c r="Z53" s="85">
        <f>IF(C53="Guru",16500,IF(C53="TPG",14000,15250))</f>
        <v>14000</v>
      </c>
      <c r="AA53" s="85">
        <f t="shared" si="54"/>
        <v>0</v>
      </c>
      <c r="AB53" s="87"/>
      <c r="AC53" s="86" t="s">
        <v>118</v>
      </c>
      <c r="AD53" s="82">
        <f>IF(AND(C53="Guru",AC53="S"),8250,IF(AND(C53="Guru",AC53="I"),16500,IF(AND(C53="TPG",AC53="S"),7000,IF(AND(C53="TPG",AC53="I"),14000,IF(AND(C53="GURU",AC53="A"),16500,14000)))))</f>
        <v>7000</v>
      </c>
      <c r="AE53" s="85">
        <f t="shared" si="59"/>
        <v>0</v>
      </c>
      <c r="AF53" s="87"/>
      <c r="AG53" s="86" t="s">
        <v>119</v>
      </c>
      <c r="AH53" s="82">
        <f>IF(AND(G53="Guru",AG53="S"),8250,IF(AND(G53="Guru",AG53="I"),16500,IF(AND(G53="TPG",AG53="S"),7000,IF(AND(G53="TPG",AG53="I"),14000,IF(AND(G53="GURU",AG53="A"),16500,14000)))))</f>
        <v>14000</v>
      </c>
      <c r="AI53" s="85">
        <f t="shared" si="60"/>
        <v>0</v>
      </c>
      <c r="AJ53" s="87"/>
      <c r="AK53" s="86" t="s">
        <v>115</v>
      </c>
      <c r="AL53" s="82">
        <f>IF(AND(G53="Guru",AK53="S"),8250,IF(AND(G53="Guru",AK53="I"),16500,IF(AND(G53="TPG",AK53="S"),7000,IF(AND(G53="TPG",AK53="I"),14000,IF(AND(G53="GURU",AK53="A"),16500,14000)))))</f>
        <v>14000</v>
      </c>
      <c r="AM53" s="85">
        <f t="shared" si="61"/>
        <v>0</v>
      </c>
      <c r="AN53" s="311">
        <f t="shared" si="11"/>
        <v>0</v>
      </c>
      <c r="AO53" s="78">
        <f t="shared" si="55"/>
        <v>100</v>
      </c>
      <c r="AP53" s="83">
        <f t="shared" si="62"/>
        <v>50000</v>
      </c>
      <c r="AQ53" s="322">
        <f>X53+AP53-AN53</f>
        <v>1602000</v>
      </c>
      <c r="AR53" s="327">
        <v>100000</v>
      </c>
    </row>
    <row r="54" spans="1:44" x14ac:dyDescent="0.2">
      <c r="A54" s="59">
        <v>43</v>
      </c>
      <c r="B54" s="60" t="s">
        <v>38</v>
      </c>
      <c r="C54" s="61" t="s">
        <v>52</v>
      </c>
      <c r="D54" s="53">
        <v>2008</v>
      </c>
      <c r="E54" s="55">
        <f t="shared" si="63"/>
        <v>2022</v>
      </c>
      <c r="F54" s="53">
        <f t="shared" si="56"/>
        <v>14</v>
      </c>
      <c r="G54" s="53">
        <v>26</v>
      </c>
      <c r="H54" s="55">
        <f t="shared" si="6"/>
        <v>104</v>
      </c>
      <c r="I54" s="56">
        <f t="shared" si="52"/>
        <v>4500</v>
      </c>
      <c r="J54" s="56">
        <f t="shared" si="57"/>
        <v>117000</v>
      </c>
      <c r="K54" s="56">
        <f t="shared" si="58"/>
        <v>56000</v>
      </c>
      <c r="L54" s="56">
        <f>IF(AND(C54="TPG",G54&lt;=24),G54*56000,IF(AND(C54="TPG",G54&gt;24),(24*56000)+((G54-24)*66000),G54*66000))</f>
        <v>1476000</v>
      </c>
      <c r="M54" s="82">
        <v>100000</v>
      </c>
      <c r="N54" s="92" t="s">
        <v>71</v>
      </c>
      <c r="O54" s="82"/>
      <c r="P54" s="92"/>
      <c r="Q54" s="88"/>
      <c r="R54" s="76">
        <f t="shared" si="7"/>
        <v>0</v>
      </c>
      <c r="S54" s="88"/>
      <c r="T54" s="76">
        <f t="shared" si="53"/>
        <v>0</v>
      </c>
      <c r="U54" s="88"/>
      <c r="V54" s="76">
        <f t="shared" si="9"/>
        <v>0</v>
      </c>
      <c r="W54" s="309"/>
      <c r="X54" s="313">
        <f t="shared" si="10"/>
        <v>1693000</v>
      </c>
      <c r="Y54" s="87"/>
      <c r="Z54" s="85">
        <f>IF(C54="Guru",16500,IF(C54="TPG",14000,15250))</f>
        <v>14000</v>
      </c>
      <c r="AA54" s="85">
        <f t="shared" si="54"/>
        <v>0</v>
      </c>
      <c r="AB54" s="87"/>
      <c r="AC54" s="86" t="s">
        <v>118</v>
      </c>
      <c r="AD54" s="82">
        <f>IF(AND(C54="Guru",AC54="S"),8250,IF(AND(C54="Guru",AC54="I"),16500,IF(AND(C54="TPG",AC54="S"),7000,IF(AND(C54="TPG",AC54="I"),14000,IF(AND(C54="GURU",AC54="A"),16500,14000)))))</f>
        <v>7000</v>
      </c>
      <c r="AE54" s="85">
        <f t="shared" si="59"/>
        <v>0</v>
      </c>
      <c r="AF54" s="87"/>
      <c r="AG54" s="86" t="s">
        <v>119</v>
      </c>
      <c r="AH54" s="82">
        <f>IF(AND(G54="Guru",AG54="S"),8250,IF(AND(G54="Guru",AG54="I"),16500,IF(AND(G54="TPG",AG54="S"),7000,IF(AND(G54="TPG",AG54="I"),14000,IF(AND(G54="GURU",AG54="A"),16500,14000)))))</f>
        <v>14000</v>
      </c>
      <c r="AI54" s="85">
        <f t="shared" si="60"/>
        <v>0</v>
      </c>
      <c r="AJ54" s="87"/>
      <c r="AK54" s="86" t="s">
        <v>115</v>
      </c>
      <c r="AL54" s="82">
        <f>IF(AND(G54="Guru",AK54="S"),8250,IF(AND(G54="Guru",AK54="I"),16500,IF(AND(G54="TPG",AK54="S"),7000,IF(AND(G54="TPG",AK54="I"),14000,IF(AND(G54="GURU",AK54="A"),16500,14000)))))</f>
        <v>14000</v>
      </c>
      <c r="AM54" s="85">
        <f t="shared" si="61"/>
        <v>0</v>
      </c>
      <c r="AN54" s="311">
        <f t="shared" si="11"/>
        <v>0</v>
      </c>
      <c r="AO54" s="78">
        <f t="shared" si="55"/>
        <v>100</v>
      </c>
      <c r="AP54" s="83">
        <f t="shared" si="62"/>
        <v>50000</v>
      </c>
      <c r="AQ54" s="322">
        <f>X54+AP54-AN54</f>
        <v>1743000</v>
      </c>
      <c r="AR54" s="327">
        <v>125000</v>
      </c>
    </row>
    <row r="55" spans="1:44" x14ac:dyDescent="0.2">
      <c r="A55" s="59">
        <v>44</v>
      </c>
      <c r="B55" s="60" t="s">
        <v>39</v>
      </c>
      <c r="C55" s="61" t="s">
        <v>52</v>
      </c>
      <c r="D55" s="53">
        <v>2008</v>
      </c>
      <c r="E55" s="55">
        <f t="shared" si="63"/>
        <v>2022</v>
      </c>
      <c r="F55" s="53">
        <f t="shared" si="56"/>
        <v>14</v>
      </c>
      <c r="G55" s="94">
        <v>24</v>
      </c>
      <c r="H55" s="55">
        <f t="shared" si="6"/>
        <v>96</v>
      </c>
      <c r="I55" s="56">
        <f t="shared" si="52"/>
        <v>4500</v>
      </c>
      <c r="J55" s="56">
        <f t="shared" si="57"/>
        <v>108000</v>
      </c>
      <c r="K55" s="56">
        <f t="shared" si="58"/>
        <v>56000</v>
      </c>
      <c r="L55" s="56">
        <f>IF(AND(C55="TPG",G55&lt;=24),G55*56000,IF(AND(C55="TPG",G55&gt;24),(24*56000)+((G55-24)*66000),G55*66000))</f>
        <v>1344000</v>
      </c>
      <c r="M55" s="82">
        <v>125000</v>
      </c>
      <c r="N55" s="92" t="s">
        <v>71</v>
      </c>
      <c r="O55" s="82"/>
      <c r="P55" s="92"/>
      <c r="Q55" s="88"/>
      <c r="R55" s="76">
        <f t="shared" si="7"/>
        <v>0</v>
      </c>
      <c r="S55" s="88"/>
      <c r="T55" s="76">
        <f t="shared" si="53"/>
        <v>0</v>
      </c>
      <c r="U55" s="88"/>
      <c r="V55" s="76">
        <f t="shared" si="9"/>
        <v>0</v>
      </c>
      <c r="W55" s="309"/>
      <c r="X55" s="313">
        <f t="shared" si="10"/>
        <v>1577000</v>
      </c>
      <c r="Y55" s="87"/>
      <c r="Z55" s="85">
        <f>IF(C55="Guru",16500,IF(C55="TPG",14000,15250))</f>
        <v>14000</v>
      </c>
      <c r="AA55" s="85">
        <f t="shared" si="54"/>
        <v>0</v>
      </c>
      <c r="AB55" s="87"/>
      <c r="AC55" s="86" t="s">
        <v>118</v>
      </c>
      <c r="AD55" s="82">
        <f>IF(AND(C55="Guru",AC55="S"),8250,IF(AND(C55="Guru",AC55="I"),16500,IF(AND(C55="TPG",AC55="S"),7000,IF(AND(C55="TPG",AC55="I"),14000,IF(AND(C55="GURU",AC55="A"),16500,14000)))))</f>
        <v>7000</v>
      </c>
      <c r="AE55" s="85">
        <f t="shared" si="59"/>
        <v>0</v>
      </c>
      <c r="AF55" s="87"/>
      <c r="AG55" s="86" t="s">
        <v>119</v>
      </c>
      <c r="AH55" s="82">
        <f>IF(AND(G55="Guru",AG55="S"),8250,IF(AND(G55="Guru",AG55="I"),16500,IF(AND(G55="TPG",AG55="S"),7000,IF(AND(G55="TPG",AG55="I"),14000,IF(AND(G55="GURU",AG55="A"),16500,14000)))))</f>
        <v>14000</v>
      </c>
      <c r="AI55" s="85">
        <f t="shared" si="60"/>
        <v>0</v>
      </c>
      <c r="AJ55" s="87"/>
      <c r="AK55" s="86" t="s">
        <v>115</v>
      </c>
      <c r="AL55" s="82">
        <f>IF(AND(G55="Guru",AK55="S"),8250,IF(AND(G55="Guru",AK55="I"),16500,IF(AND(G55="TPG",AK55="S"),7000,IF(AND(G55="TPG",AK55="I"),14000,IF(AND(G55="GURU",AK55="A"),16500,14000)))))</f>
        <v>14000</v>
      </c>
      <c r="AM55" s="85">
        <f t="shared" si="61"/>
        <v>0</v>
      </c>
      <c r="AN55" s="311">
        <f t="shared" si="11"/>
        <v>0</v>
      </c>
      <c r="AO55" s="78">
        <f t="shared" si="55"/>
        <v>100</v>
      </c>
      <c r="AP55" s="83">
        <f t="shared" si="62"/>
        <v>50000</v>
      </c>
      <c r="AQ55" s="322">
        <f>X55+AP55-AN55</f>
        <v>1627000</v>
      </c>
      <c r="AR55" s="327">
        <v>100000</v>
      </c>
    </row>
    <row r="56" spans="1:44" x14ac:dyDescent="0.2">
      <c r="A56" s="59">
        <v>45</v>
      </c>
      <c r="B56" s="60" t="s">
        <v>40</v>
      </c>
      <c r="C56" s="61" t="s">
        <v>52</v>
      </c>
      <c r="D56" s="53">
        <v>2007</v>
      </c>
      <c r="E56" s="55">
        <f t="shared" si="63"/>
        <v>2022</v>
      </c>
      <c r="F56" s="53">
        <f t="shared" si="56"/>
        <v>15</v>
      </c>
      <c r="G56" s="94">
        <v>22</v>
      </c>
      <c r="H56" s="55">
        <f t="shared" si="6"/>
        <v>88</v>
      </c>
      <c r="I56" s="56">
        <f t="shared" si="52"/>
        <v>4500</v>
      </c>
      <c r="J56" s="56">
        <f t="shared" si="57"/>
        <v>99000</v>
      </c>
      <c r="K56" s="56">
        <f t="shared" si="58"/>
        <v>56000</v>
      </c>
      <c r="L56" s="56">
        <f>IF(AND(C56="TPG",G56&lt;=24),G56*56000,IF(AND(C56="TPG",G56&gt;24),(24*56000)+((G56-24)*66000),G56*66000))</f>
        <v>1232000</v>
      </c>
      <c r="M56" s="91"/>
      <c r="N56" s="92"/>
      <c r="O56" s="91"/>
      <c r="P56" s="92"/>
      <c r="Q56" s="88"/>
      <c r="R56" s="76">
        <f t="shared" si="7"/>
        <v>0</v>
      </c>
      <c r="S56" s="88"/>
      <c r="T56" s="76">
        <f t="shared" si="53"/>
        <v>0</v>
      </c>
      <c r="U56" s="88"/>
      <c r="V56" s="76">
        <f t="shared" si="9"/>
        <v>0</v>
      </c>
      <c r="W56" s="309"/>
      <c r="X56" s="313">
        <f t="shared" si="10"/>
        <v>1331000</v>
      </c>
      <c r="Y56" s="87"/>
      <c r="Z56" s="85">
        <f>IF(C56="Guru",16500,IF(C56="TPG",14000,15250))</f>
        <v>14000</v>
      </c>
      <c r="AA56" s="85">
        <f t="shared" si="54"/>
        <v>0</v>
      </c>
      <c r="AB56" s="87"/>
      <c r="AC56" s="86" t="s">
        <v>118</v>
      </c>
      <c r="AD56" s="82">
        <f>IF(AND(C56="Guru",AC56="S"),8250,IF(AND(C56="Guru",AC56="I"),16500,IF(AND(C56="TPG",AC56="S"),7000,IF(AND(C56="TPG",AC56="I"),14000,IF(AND(C56="GURU",AC56="A"),16500,14000)))))</f>
        <v>7000</v>
      </c>
      <c r="AE56" s="85">
        <f t="shared" si="59"/>
        <v>0</v>
      </c>
      <c r="AF56" s="87"/>
      <c r="AG56" s="86" t="s">
        <v>119</v>
      </c>
      <c r="AH56" s="82">
        <f>IF(AND(G56="Guru",AG56="S"),8250,IF(AND(G56="Guru",AG56="I"),16500,IF(AND(G56="TPG",AG56="S"),7000,IF(AND(G56="TPG",AG56="I"),14000,IF(AND(G56="GURU",AG56="A"),16500,14000)))))</f>
        <v>14000</v>
      </c>
      <c r="AI56" s="85">
        <f t="shared" si="60"/>
        <v>0</v>
      </c>
      <c r="AJ56" s="87"/>
      <c r="AK56" s="86" t="s">
        <v>115</v>
      </c>
      <c r="AL56" s="82">
        <f>IF(AND(G56="Guru",AK56="S"),8250,IF(AND(G56="Guru",AK56="I"),16500,IF(AND(G56="TPG",AK56="S"),7000,IF(AND(G56="TPG",AK56="I"),14000,IF(AND(G56="GURU",AK56="A"),16500,14000)))))</f>
        <v>14000</v>
      </c>
      <c r="AM56" s="85">
        <f t="shared" si="61"/>
        <v>0</v>
      </c>
      <c r="AN56" s="311">
        <f t="shared" si="11"/>
        <v>0</v>
      </c>
      <c r="AO56" s="78">
        <f t="shared" si="55"/>
        <v>100</v>
      </c>
      <c r="AP56" s="83">
        <f t="shared" si="62"/>
        <v>50000</v>
      </c>
      <c r="AQ56" s="322">
        <f>X56+AP56-AN56</f>
        <v>1381000</v>
      </c>
      <c r="AR56" s="327">
        <v>50000</v>
      </c>
    </row>
    <row r="57" spans="1:44" x14ac:dyDescent="0.2">
      <c r="A57" s="59">
        <v>46</v>
      </c>
      <c r="B57" s="61" t="s">
        <v>18</v>
      </c>
      <c r="C57" s="61" t="s">
        <v>52</v>
      </c>
      <c r="D57" s="53">
        <v>2008</v>
      </c>
      <c r="E57" s="55">
        <v>2022</v>
      </c>
      <c r="F57" s="53">
        <f t="shared" ref="F57:F64" si="64">E57-D57</f>
        <v>14</v>
      </c>
      <c r="G57" s="53">
        <v>33</v>
      </c>
      <c r="H57" s="55">
        <f t="shared" si="6"/>
        <v>132</v>
      </c>
      <c r="I57" s="56">
        <f>VLOOKUP(F57,BAKU,2)</f>
        <v>4500</v>
      </c>
      <c r="J57" s="56">
        <f t="shared" si="57"/>
        <v>135000</v>
      </c>
      <c r="K57" s="56">
        <f t="shared" si="58"/>
        <v>56000</v>
      </c>
      <c r="L57" s="56">
        <f>IF(AND(C57="TPG",G57&lt;=24),G57*56000,IF(AND(C57="TPG",G57&gt;24),(24*56000)+((G57-24)*66000),G57*66000))</f>
        <v>1938000</v>
      </c>
      <c r="M57" s="82">
        <v>125000</v>
      </c>
      <c r="N57" s="92" t="s">
        <v>71</v>
      </c>
      <c r="O57" s="82"/>
      <c r="P57" s="92"/>
      <c r="Q57" s="88"/>
      <c r="R57" s="76">
        <f t="shared" si="7"/>
        <v>0</v>
      </c>
      <c r="S57" s="88"/>
      <c r="T57" s="76">
        <f t="shared" si="53"/>
        <v>0</v>
      </c>
      <c r="U57" s="88"/>
      <c r="V57" s="76">
        <f t="shared" si="9"/>
        <v>0</v>
      </c>
      <c r="W57" s="309"/>
      <c r="X57" s="313">
        <f t="shared" si="10"/>
        <v>2198000</v>
      </c>
      <c r="Y57" s="87"/>
      <c r="Z57" s="85">
        <f>IF(C57="Guru",16500,IF(C57="TPG",14000,15250))</f>
        <v>14000</v>
      </c>
      <c r="AA57" s="85">
        <f>Y57*Z57</f>
        <v>0</v>
      </c>
      <c r="AB57" s="87"/>
      <c r="AC57" s="86" t="s">
        <v>118</v>
      </c>
      <c r="AD57" s="82">
        <f>IF(AND(C57="Guru",AC57="S"),8250,IF(AND(C57="Guru",AC57="I"),16500,IF(AND(C57="TPG",AC57="S"),7000,IF(AND(C57="TPG",AC57="I"),14000,IF(AND(C57="GURU",AC57="A"),16500,14000)))))</f>
        <v>7000</v>
      </c>
      <c r="AE57" s="85">
        <f t="shared" si="59"/>
        <v>0</v>
      </c>
      <c r="AF57" s="87"/>
      <c r="AG57" s="86" t="s">
        <v>119</v>
      </c>
      <c r="AH57" s="82">
        <f>IF(AND(G57="Guru",AG57="S"),8250,IF(AND(G57="Guru",AG57="I"),16500,IF(AND(G57="TPG",AG57="S"),7000,IF(AND(G57="TPG",AG57="I"),14000,IF(AND(G57="GURU",AG57="A"),16500,14000)))))</f>
        <v>14000</v>
      </c>
      <c r="AI57" s="85">
        <f t="shared" si="60"/>
        <v>0</v>
      </c>
      <c r="AJ57" s="87"/>
      <c r="AK57" s="86" t="s">
        <v>115</v>
      </c>
      <c r="AL57" s="82">
        <f>IF(AND(G57="Guru",AK57="S"),8250,IF(AND(G57="Guru",AK57="I"),16500,IF(AND(G57="TPG",AK57="S"),7000,IF(AND(G57="TPG",AK57="I"),14000,IF(AND(G57="GURU",AK57="A"),16500,14000)))))</f>
        <v>14000</v>
      </c>
      <c r="AM57" s="85">
        <f t="shared" si="61"/>
        <v>0</v>
      </c>
      <c r="AN57" s="311">
        <f t="shared" si="11"/>
        <v>0</v>
      </c>
      <c r="AO57" s="78">
        <f t="shared" si="55"/>
        <v>100</v>
      </c>
      <c r="AP57" s="83">
        <f t="shared" si="62"/>
        <v>50000</v>
      </c>
      <c r="AQ57" s="322">
        <f>X57+AP57-AN57</f>
        <v>2248000</v>
      </c>
      <c r="AR57" s="327">
        <v>125000</v>
      </c>
    </row>
    <row r="58" spans="1:44" s="58" customFormat="1" x14ac:dyDescent="0.2">
      <c r="A58" s="59">
        <v>47</v>
      </c>
      <c r="B58" s="61" t="s">
        <v>133</v>
      </c>
      <c r="C58" s="61" t="s">
        <v>51</v>
      </c>
      <c r="D58" s="53">
        <v>2022</v>
      </c>
      <c r="E58" s="53">
        <f>$E$9</f>
        <v>2022</v>
      </c>
      <c r="F58" s="53">
        <f t="shared" si="64"/>
        <v>0</v>
      </c>
      <c r="G58" s="53">
        <v>24</v>
      </c>
      <c r="H58" s="55">
        <f t="shared" si="6"/>
        <v>96</v>
      </c>
      <c r="I58" s="56">
        <f>VLOOKUP(F58,BAKU,2)</f>
        <v>1500</v>
      </c>
      <c r="J58" s="56">
        <f t="shared" si="57"/>
        <v>36000</v>
      </c>
      <c r="K58" s="56">
        <f t="shared" si="58"/>
        <v>66000</v>
      </c>
      <c r="L58" s="56">
        <f>IF(AND(C58="TPG",G58&lt;=24),G58*56000,IF(AND(C58="TPG",G58&gt;24),(24*56000)+((G58-24)*66000),G58*66000))</f>
        <v>1584000</v>
      </c>
      <c r="M58" s="91"/>
      <c r="N58" s="92"/>
      <c r="O58" s="91"/>
      <c r="P58" s="92"/>
      <c r="Q58" s="88"/>
      <c r="R58" s="76">
        <f t="shared" si="7"/>
        <v>0</v>
      </c>
      <c r="S58" s="88"/>
      <c r="T58" s="76">
        <f t="shared" si="53"/>
        <v>0</v>
      </c>
      <c r="U58" s="88"/>
      <c r="V58" s="76">
        <f t="shared" si="9"/>
        <v>0</v>
      </c>
      <c r="W58" s="309"/>
      <c r="X58" s="313">
        <f t="shared" si="10"/>
        <v>1620000</v>
      </c>
      <c r="Y58" s="87"/>
      <c r="Z58" s="85">
        <f>IF(C58="Guru",16500,IF(C58="TPG",14000,15250))</f>
        <v>16500</v>
      </c>
      <c r="AA58" s="85">
        <f t="shared" ref="AA58" si="65">Y58*Z58</f>
        <v>0</v>
      </c>
      <c r="AB58" s="87"/>
      <c r="AC58" s="86" t="s">
        <v>118</v>
      </c>
      <c r="AD58" s="82">
        <f>IF(AND(C58="Guru",AC58="S"),8250,IF(AND(C58="Guru",AC58="I"),16500,IF(AND(C58="TPG",AC58="S"),7000,IF(AND(C58="TPG",AC58="I"),14000,IF(AND(C58="GURU",AC58="A"),16500,14000)))))</f>
        <v>8250</v>
      </c>
      <c r="AE58" s="85">
        <f t="shared" si="59"/>
        <v>0</v>
      </c>
      <c r="AF58" s="87"/>
      <c r="AG58" s="86" t="s">
        <v>119</v>
      </c>
      <c r="AH58" s="82">
        <f>IF(AND(G58="Guru",AG58="S"),8250,IF(AND(G58="Guru",AG58="I"),16500,IF(AND(G58="TPG",AG58="S"),7000,IF(AND(G58="TPG",AG58="I"),14000,IF(AND(G58="GURU",AG58="A"),16500,14000)))))</f>
        <v>14000</v>
      </c>
      <c r="AI58" s="85">
        <f t="shared" si="60"/>
        <v>0</v>
      </c>
      <c r="AJ58" s="87"/>
      <c r="AK58" s="86" t="s">
        <v>115</v>
      </c>
      <c r="AL58" s="82">
        <f>IF(AND(G58="Guru",AK58="S"),8250,IF(AND(G58="Guru",AK58="I"),16500,IF(AND(G58="TPG",AK58="S"),7000,IF(AND(G58="TPG",AK58="I"),14000,IF(AND(G58="GURU",AK58="A"),16500,14000)))))</f>
        <v>14000</v>
      </c>
      <c r="AM58" s="85">
        <f t="shared" si="61"/>
        <v>0</v>
      </c>
      <c r="AN58" s="311">
        <f t="shared" si="11"/>
        <v>0</v>
      </c>
      <c r="AO58" s="78">
        <f t="shared" si="55"/>
        <v>100</v>
      </c>
      <c r="AP58" s="83">
        <f t="shared" si="62"/>
        <v>50000</v>
      </c>
      <c r="AQ58" s="322">
        <f>X58+AP58-AN58</f>
        <v>1670000</v>
      </c>
      <c r="AR58" s="327">
        <v>50000</v>
      </c>
    </row>
    <row r="59" spans="1:44" x14ac:dyDescent="0.2">
      <c r="A59" s="59">
        <v>48</v>
      </c>
      <c r="B59" s="60" t="s">
        <v>165</v>
      </c>
      <c r="C59" s="61" t="s">
        <v>51</v>
      </c>
      <c r="D59" s="53">
        <v>2022</v>
      </c>
      <c r="E59" s="55">
        <f>$E$9</f>
        <v>2022</v>
      </c>
      <c r="F59" s="53">
        <f t="shared" si="64"/>
        <v>0</v>
      </c>
      <c r="G59" s="53">
        <v>24</v>
      </c>
      <c r="H59" s="55">
        <f t="shared" si="6"/>
        <v>96</v>
      </c>
      <c r="I59" s="56">
        <f>VLOOKUP(F59,BAKU,2)</f>
        <v>1500</v>
      </c>
      <c r="J59" s="56">
        <f t="shared" si="57"/>
        <v>36000</v>
      </c>
      <c r="K59" s="56">
        <f t="shared" si="58"/>
        <v>66000</v>
      </c>
      <c r="L59" s="56">
        <f>IF(AND(C59="TPG",G59&lt;=24),G59*56000,IF(AND(C59="TPG",G59&gt;24),(24*56000)+((G59-24)*66000),G59*66000))</f>
        <v>1584000</v>
      </c>
      <c r="M59" s="82"/>
      <c r="N59" s="92"/>
      <c r="O59" s="82"/>
      <c r="P59" s="92"/>
      <c r="Q59" s="88"/>
      <c r="R59" s="76">
        <f t="shared" si="7"/>
        <v>0</v>
      </c>
      <c r="S59" s="88"/>
      <c r="T59" s="76">
        <f t="shared" si="53"/>
        <v>0</v>
      </c>
      <c r="U59" s="88"/>
      <c r="V59" s="76">
        <f t="shared" si="9"/>
        <v>0</v>
      </c>
      <c r="W59" s="309"/>
      <c r="X59" s="313">
        <f t="shared" si="10"/>
        <v>1620000</v>
      </c>
      <c r="Y59" s="87"/>
      <c r="Z59" s="85">
        <f>IF(C59="Guru",16500,IF(C59="TPG",14000,15250))</f>
        <v>16500</v>
      </c>
      <c r="AA59" s="85">
        <f>Y59*Z59</f>
        <v>0</v>
      </c>
      <c r="AB59" s="87"/>
      <c r="AC59" s="86" t="s">
        <v>118</v>
      </c>
      <c r="AD59" s="82">
        <f>IF(AND(C59="Guru",AC59="S"),8250,IF(AND(C59="Guru",AC59="I"),16500,IF(AND(C59="TPG",AC59="S"),7000,IF(AND(C59="TPG",AC59="I"),14000,IF(AND(C59="GURU",AC59="A"),16500,14000)))))</f>
        <v>8250</v>
      </c>
      <c r="AE59" s="85">
        <f t="shared" si="59"/>
        <v>0</v>
      </c>
      <c r="AF59" s="87"/>
      <c r="AG59" s="86" t="s">
        <v>119</v>
      </c>
      <c r="AH59" s="82">
        <f>IF(AND(G59="Guru",AG59="S"),8250,IF(AND(G59="Guru",AG59="I"),16500,IF(AND(G59="TPG",AG59="S"),7000,IF(AND(G59="TPG",AG59="I"),14000,IF(AND(G59="GURU",AG59="A"),16500,14000)))))</f>
        <v>14000</v>
      </c>
      <c r="AI59" s="85">
        <f t="shared" si="60"/>
        <v>0</v>
      </c>
      <c r="AJ59" s="87"/>
      <c r="AK59" s="86" t="s">
        <v>115</v>
      </c>
      <c r="AL59" s="82">
        <f>IF(AND(G59="Guru",AK59="S"),8250,IF(AND(G59="Guru",AK59="I"),16500,IF(AND(G59="TPG",AK59="S"),7000,IF(AND(G59="TPG",AK59="I"),14000,IF(AND(G59="GURU",AK59="A"),16500,14000)))))</f>
        <v>14000</v>
      </c>
      <c r="AM59" s="85">
        <f t="shared" si="61"/>
        <v>0</v>
      </c>
      <c r="AN59" s="311">
        <f t="shared" si="11"/>
        <v>0</v>
      </c>
      <c r="AO59" s="78">
        <f t="shared" si="55"/>
        <v>100</v>
      </c>
      <c r="AP59" s="83">
        <f t="shared" si="62"/>
        <v>50000</v>
      </c>
      <c r="AQ59" s="322">
        <f>X59+AP59-AN59</f>
        <v>1670000</v>
      </c>
      <c r="AR59" s="327">
        <v>50000</v>
      </c>
    </row>
    <row r="60" spans="1:44" x14ac:dyDescent="0.2">
      <c r="A60" s="59">
        <v>49</v>
      </c>
      <c r="B60" s="60" t="s">
        <v>266</v>
      </c>
      <c r="C60" s="61" t="s">
        <v>51</v>
      </c>
      <c r="D60" s="53">
        <v>2022</v>
      </c>
      <c r="E60" s="55">
        <f>$E$9</f>
        <v>2022</v>
      </c>
      <c r="F60" s="53">
        <f t="shared" si="64"/>
        <v>0</v>
      </c>
      <c r="G60" s="53">
        <v>8</v>
      </c>
      <c r="H60" s="55">
        <f t="shared" si="6"/>
        <v>32</v>
      </c>
      <c r="I60" s="56">
        <f>VLOOKUP(F60,BAKU,2)</f>
        <v>1500</v>
      </c>
      <c r="J60" s="56">
        <f t="shared" si="57"/>
        <v>12000</v>
      </c>
      <c r="K60" s="56">
        <f t="shared" si="58"/>
        <v>66000</v>
      </c>
      <c r="L60" s="56">
        <f>IF(AND(C60="TPG",G60&lt;=24),G60*56000,IF(AND(C60="TPG",G60&gt;24),(24*56000)+((G60-24)*66000),G60*66000))</f>
        <v>528000</v>
      </c>
      <c r="M60" s="82"/>
      <c r="N60" s="92"/>
      <c r="O60" s="82"/>
      <c r="P60" s="92"/>
      <c r="Q60" s="88"/>
      <c r="R60" s="76">
        <f t="shared" si="7"/>
        <v>0</v>
      </c>
      <c r="S60" s="88"/>
      <c r="T60" s="76">
        <f t="shared" si="53"/>
        <v>0</v>
      </c>
      <c r="U60" s="88"/>
      <c r="V60" s="76">
        <f t="shared" si="9"/>
        <v>0</v>
      </c>
      <c r="W60" s="309"/>
      <c r="X60" s="313">
        <f t="shared" si="10"/>
        <v>540000</v>
      </c>
      <c r="Y60" s="87"/>
      <c r="Z60" s="85">
        <f>IF(C60="Guru",16500,IF(C60="TPG",14000,15250))</f>
        <v>16500</v>
      </c>
      <c r="AA60" s="85">
        <f>Y60*Z60</f>
        <v>0</v>
      </c>
      <c r="AB60" s="87"/>
      <c r="AC60" s="86" t="s">
        <v>118</v>
      </c>
      <c r="AD60" s="82">
        <f>IF(AND(C60="Guru",AC60="S"),8250,IF(AND(C60="Guru",AC60="I"),16500,IF(AND(C60="TPG",AC60="S"),7000,IF(AND(C60="TPG",AC60="I"),14000,IF(AND(C60="GURU",AC60="A"),16500,14000)))))</f>
        <v>8250</v>
      </c>
      <c r="AE60" s="85">
        <f t="shared" si="59"/>
        <v>0</v>
      </c>
      <c r="AF60" s="87"/>
      <c r="AG60" s="86" t="s">
        <v>119</v>
      </c>
      <c r="AH60" s="82">
        <f>IF(AND(G60="Guru",AG60="S"),8250,IF(AND(G60="Guru",AG60="I"),16500,IF(AND(G60="TPG",AG60="S"),7000,IF(AND(G60="TPG",AG60="I"),14000,IF(AND(G60="GURU",AG60="A"),16500,14000)))))</f>
        <v>14000</v>
      </c>
      <c r="AI60" s="85">
        <f t="shared" si="60"/>
        <v>0</v>
      </c>
      <c r="AJ60" s="87"/>
      <c r="AK60" s="86" t="s">
        <v>115</v>
      </c>
      <c r="AL60" s="82">
        <f>IF(AND(G60="Guru",AK60="S"),8250,IF(AND(G60="Guru",AK60="I"),16500,IF(AND(G60="TPG",AK60="S"),7000,IF(AND(G60="TPG",AK60="I"),14000,IF(AND(G60="GURU",AK60="A"),16500,14000)))))</f>
        <v>14000</v>
      </c>
      <c r="AM60" s="85">
        <f t="shared" si="61"/>
        <v>0</v>
      </c>
      <c r="AN60" s="311">
        <f t="shared" si="11"/>
        <v>0</v>
      </c>
      <c r="AO60" s="78">
        <f t="shared" si="55"/>
        <v>100</v>
      </c>
      <c r="AP60" s="83">
        <f t="shared" si="62"/>
        <v>50000</v>
      </c>
      <c r="AQ60" s="322">
        <f>X60+AP60-AN60</f>
        <v>590000</v>
      </c>
      <c r="AR60" s="327">
        <v>25000</v>
      </c>
    </row>
    <row r="61" spans="1:44" x14ac:dyDescent="0.2">
      <c r="A61" s="59">
        <v>50</v>
      </c>
      <c r="B61" s="60" t="s">
        <v>268</v>
      </c>
      <c r="C61" s="61" t="s">
        <v>51</v>
      </c>
      <c r="D61" s="53">
        <v>2022</v>
      </c>
      <c r="E61" s="55">
        <f>$E$9</f>
        <v>2022</v>
      </c>
      <c r="F61" s="53">
        <f t="shared" si="64"/>
        <v>0</v>
      </c>
      <c r="G61" s="53">
        <v>14</v>
      </c>
      <c r="H61" s="55">
        <f t="shared" si="6"/>
        <v>56</v>
      </c>
      <c r="I61" s="56">
        <f>VLOOKUP(F61,BAKU,2)</f>
        <v>1500</v>
      </c>
      <c r="J61" s="56">
        <f t="shared" si="57"/>
        <v>21000</v>
      </c>
      <c r="K61" s="56">
        <f t="shared" si="58"/>
        <v>66000</v>
      </c>
      <c r="L61" s="56">
        <f>IF(AND(C61="TPG",G61&lt;=24),G61*56000,IF(AND(C61="TPG",G61&gt;24),(24*56000)+((G61-24)*66000),G61*66000))</f>
        <v>924000</v>
      </c>
      <c r="M61" s="82"/>
      <c r="N61" s="92"/>
      <c r="O61" s="82"/>
      <c r="P61" s="92"/>
      <c r="Q61" s="88"/>
      <c r="R61" s="76">
        <f t="shared" si="7"/>
        <v>0</v>
      </c>
      <c r="S61" s="88"/>
      <c r="T61" s="76">
        <f t="shared" si="53"/>
        <v>0</v>
      </c>
      <c r="U61" s="88"/>
      <c r="V61" s="76">
        <f t="shared" si="9"/>
        <v>0</v>
      </c>
      <c r="W61" s="309"/>
      <c r="X61" s="313">
        <f t="shared" si="10"/>
        <v>945000</v>
      </c>
      <c r="Y61" s="87"/>
      <c r="Z61" s="85">
        <f>IF(C61="Guru",16500,IF(C61="TPG",14000,15250))</f>
        <v>16500</v>
      </c>
      <c r="AA61" s="85">
        <f>Y61*Z61</f>
        <v>0</v>
      </c>
      <c r="AB61" s="87"/>
      <c r="AC61" s="86" t="s">
        <v>118</v>
      </c>
      <c r="AD61" s="82">
        <f>IF(AND(C61="Guru",AC61="S"),8250,IF(AND(C61="Guru",AC61="I"),16500,IF(AND(C61="TPG",AC61="S"),7000,IF(AND(C61="TPG",AC61="I"),14000,IF(AND(C61="GURU",AC61="A"),16500,14000)))))</f>
        <v>8250</v>
      </c>
      <c r="AE61" s="85">
        <f t="shared" si="59"/>
        <v>0</v>
      </c>
      <c r="AF61" s="87"/>
      <c r="AG61" s="86" t="s">
        <v>119</v>
      </c>
      <c r="AH61" s="82">
        <f>IF(AND(G61="Guru",AG61="S"),8250,IF(AND(G61="Guru",AG61="I"),16500,IF(AND(G61="TPG",AG61="S"),7000,IF(AND(G61="TPG",AG61="I"),14000,IF(AND(G61="GURU",AG61="A"),16500,14000)))))</f>
        <v>14000</v>
      </c>
      <c r="AI61" s="85">
        <f t="shared" si="60"/>
        <v>0</v>
      </c>
      <c r="AJ61" s="87"/>
      <c r="AK61" s="86" t="s">
        <v>115</v>
      </c>
      <c r="AL61" s="82">
        <f>IF(AND(G61="Guru",AK61="S"),8250,IF(AND(G61="Guru",AK61="I"),16500,IF(AND(G61="TPG",AK61="S"),7000,IF(AND(G61="TPG",AK61="I"),14000,IF(AND(G61="GURU",AK61="A"),16500,14000)))))</f>
        <v>14000</v>
      </c>
      <c r="AM61" s="85">
        <f t="shared" si="61"/>
        <v>0</v>
      </c>
      <c r="AN61" s="311">
        <f t="shared" si="11"/>
        <v>0</v>
      </c>
      <c r="AO61" s="78">
        <f t="shared" si="55"/>
        <v>100</v>
      </c>
      <c r="AP61" s="83">
        <f t="shared" si="62"/>
        <v>50000</v>
      </c>
      <c r="AQ61" s="322">
        <f>X61+AP61-AN61</f>
        <v>995000</v>
      </c>
      <c r="AR61" s="327">
        <v>50000</v>
      </c>
    </row>
    <row r="62" spans="1:44" x14ac:dyDescent="0.2">
      <c r="A62" s="59">
        <v>51</v>
      </c>
      <c r="B62" s="60" t="s">
        <v>48</v>
      </c>
      <c r="C62" s="61" t="s">
        <v>52</v>
      </c>
      <c r="D62" s="53">
        <v>1993</v>
      </c>
      <c r="E62" s="55">
        <f>$E$9</f>
        <v>2022</v>
      </c>
      <c r="F62" s="53">
        <f t="shared" si="64"/>
        <v>29</v>
      </c>
      <c r="G62" s="53">
        <v>26</v>
      </c>
      <c r="H62" s="55">
        <f t="shared" si="6"/>
        <v>104</v>
      </c>
      <c r="I62" s="56">
        <f>VLOOKUP(F62,BAKU,2)</f>
        <v>7000</v>
      </c>
      <c r="J62" s="56">
        <f t="shared" si="57"/>
        <v>182000</v>
      </c>
      <c r="K62" s="56">
        <f t="shared" si="58"/>
        <v>56000</v>
      </c>
      <c r="L62" s="56">
        <f>IF(AND(C62="TPG",G62&lt;=24),G62*56000,IF(AND(C62="TPG",G62&gt;24),(24*56000)+((G62-24)*66000),G62*66000))</f>
        <v>1476000</v>
      </c>
      <c r="M62" s="82"/>
      <c r="N62" s="92"/>
      <c r="O62" s="82"/>
      <c r="P62" s="92"/>
      <c r="Q62" s="88"/>
      <c r="R62" s="76">
        <f t="shared" si="7"/>
        <v>0</v>
      </c>
      <c r="S62" s="88"/>
      <c r="T62" s="76">
        <f t="shared" si="53"/>
        <v>0</v>
      </c>
      <c r="U62" s="88"/>
      <c r="V62" s="76">
        <f t="shared" si="9"/>
        <v>0</v>
      </c>
      <c r="W62" s="309">
        <v>800000</v>
      </c>
      <c r="X62" s="313">
        <f t="shared" si="10"/>
        <v>2458000</v>
      </c>
      <c r="Y62" s="87"/>
      <c r="Z62" s="85">
        <f>IF(C62="Guru",16500,IF(C62="TPG",14000,15250))</f>
        <v>14000</v>
      </c>
      <c r="AA62" s="85">
        <f>Y62*Z62</f>
        <v>0</v>
      </c>
      <c r="AB62" s="87"/>
      <c r="AC62" s="86" t="s">
        <v>118</v>
      </c>
      <c r="AD62" s="82">
        <f>IF(AND(C62="Guru",AC62="S"),8250,IF(AND(C62="Guru",AC62="I"),16500,IF(AND(C62="TPG",AC62="S"),7000,IF(AND(C62="TPG",AC62="I"),14000,IF(AND(C62="GURU",AC62="A"),16500,14000)))))</f>
        <v>7000</v>
      </c>
      <c r="AE62" s="85">
        <f t="shared" si="59"/>
        <v>0</v>
      </c>
      <c r="AF62" s="87"/>
      <c r="AG62" s="86" t="s">
        <v>119</v>
      </c>
      <c r="AH62" s="82">
        <f>IF(AND(G62="Guru",AG62="S"),8250,IF(AND(G62="Guru",AG62="I"),16500,IF(AND(G62="TPG",AG62="S"),7000,IF(AND(G62="TPG",AG62="I"),14000,IF(AND(G62="GURU",AG62="A"),16500,14000)))))</f>
        <v>14000</v>
      </c>
      <c r="AI62" s="85">
        <f t="shared" si="60"/>
        <v>0</v>
      </c>
      <c r="AJ62" s="87"/>
      <c r="AK62" s="86" t="s">
        <v>115</v>
      </c>
      <c r="AL62" s="82">
        <f>IF(AND(G62="Guru",AK62="S"),8250,IF(AND(G62="Guru",AK62="I"),16500,IF(AND(G62="TPG",AK62="S"),7000,IF(AND(G62="TPG",AK62="I"),14000,IF(AND(G62="GURU",AK62="A"),16500,14000)))))</f>
        <v>14000</v>
      </c>
      <c r="AM62" s="85">
        <f t="shared" si="61"/>
        <v>0</v>
      </c>
      <c r="AN62" s="311">
        <f t="shared" si="11"/>
        <v>0</v>
      </c>
      <c r="AO62" s="78">
        <f t="shared" si="55"/>
        <v>100</v>
      </c>
      <c r="AP62" s="83">
        <f t="shared" si="62"/>
        <v>50000</v>
      </c>
      <c r="AQ62" s="322">
        <f>X62+AP62-AN62</f>
        <v>2508000</v>
      </c>
      <c r="AR62" s="327">
        <v>100000</v>
      </c>
    </row>
    <row r="63" spans="1:44" x14ac:dyDescent="0.2">
      <c r="A63" s="59">
        <v>52</v>
      </c>
      <c r="B63" s="61" t="s">
        <v>44</v>
      </c>
      <c r="C63" s="61" t="s">
        <v>51</v>
      </c>
      <c r="D63" s="53">
        <v>1985</v>
      </c>
      <c r="E63" s="55">
        <f t="shared" ref="E63:E64" si="66">$E$9</f>
        <v>2022</v>
      </c>
      <c r="F63" s="53">
        <f t="shared" si="64"/>
        <v>37</v>
      </c>
      <c r="G63" s="53">
        <v>24</v>
      </c>
      <c r="H63" s="55">
        <f t="shared" si="6"/>
        <v>96</v>
      </c>
      <c r="I63" s="56">
        <f>VLOOKUP(F63,BAKU,2)</f>
        <v>8000</v>
      </c>
      <c r="J63" s="56">
        <f t="shared" ref="J63:J64" si="67">IF(G63&gt;30,30*I63,G63*I63)</f>
        <v>192000</v>
      </c>
      <c r="K63" s="56">
        <f t="shared" si="58"/>
        <v>66000</v>
      </c>
      <c r="L63" s="56">
        <f>IF(AND(C63="TPG",G63&lt;=24),G63*56000,IF(AND(C63="TPG",G63&gt;24),(24*56000)+((G63-24)*66000),G63*66000))</f>
        <v>1584000</v>
      </c>
      <c r="M63" s="85"/>
      <c r="N63" s="92"/>
      <c r="O63" s="85"/>
      <c r="P63" s="92"/>
      <c r="Q63" s="88"/>
      <c r="R63" s="76">
        <f t="shared" si="7"/>
        <v>0</v>
      </c>
      <c r="S63" s="88"/>
      <c r="T63" s="76">
        <f t="shared" si="53"/>
        <v>0</v>
      </c>
      <c r="U63" s="88"/>
      <c r="V63" s="76">
        <f t="shared" si="9"/>
        <v>0</v>
      </c>
      <c r="W63" s="309">
        <v>411300</v>
      </c>
      <c r="X63" s="313">
        <f t="shared" si="10"/>
        <v>2187300</v>
      </c>
      <c r="Y63" s="87"/>
      <c r="Z63" s="85">
        <f>IF(C63="Guru",16500,IF(C63="TPG",14000,15250))</f>
        <v>16500</v>
      </c>
      <c r="AA63" s="85">
        <f t="shared" si="54"/>
        <v>0</v>
      </c>
      <c r="AB63" s="87"/>
      <c r="AC63" s="86" t="s">
        <v>118</v>
      </c>
      <c r="AD63" s="82">
        <f>IF(AND(C63="Guru",AC63="S"),8250,IF(AND(C63="Guru",AC63="I"),16500,IF(AND(C63="TPG",AC63="S"),7000,IF(AND(C63="TPG",AC63="I"),14000,IF(AND(C63="GURU",AC63="A"),16500,14000)))))</f>
        <v>8250</v>
      </c>
      <c r="AE63" s="85">
        <f t="shared" si="59"/>
        <v>0</v>
      </c>
      <c r="AF63" s="87"/>
      <c r="AG63" s="86" t="s">
        <v>119</v>
      </c>
      <c r="AH63" s="82">
        <f>IF(AND(G63="Guru",AG63="S"),8250,IF(AND(G63="Guru",AG63="I"),16500,IF(AND(G63="TPG",AG63="S"),7000,IF(AND(G63="TPG",AG63="I"),14000,IF(AND(G63="GURU",AG63="A"),16500,14000)))))</f>
        <v>14000</v>
      </c>
      <c r="AI63" s="85">
        <f t="shared" si="60"/>
        <v>0</v>
      </c>
      <c r="AJ63" s="87"/>
      <c r="AK63" s="86" t="s">
        <v>115</v>
      </c>
      <c r="AL63" s="82">
        <f>IF(AND(G63="Guru",AK63="S"),8250,IF(AND(G63="Guru",AK63="I"),16500,IF(AND(G63="TPG",AK63="S"),7000,IF(AND(G63="TPG",AK63="I"),14000,IF(AND(G63="GURU",AK63="A"),16500,14000)))))</f>
        <v>14000</v>
      </c>
      <c r="AM63" s="85">
        <f t="shared" si="61"/>
        <v>0</v>
      </c>
      <c r="AN63" s="311">
        <f t="shared" si="11"/>
        <v>0</v>
      </c>
      <c r="AO63" s="78">
        <f t="shared" si="55"/>
        <v>100</v>
      </c>
      <c r="AP63" s="83">
        <f t="shared" si="62"/>
        <v>50000</v>
      </c>
      <c r="AQ63" s="322">
        <f>X63+AP63-AN63</f>
        <v>2237300</v>
      </c>
      <c r="AR63" s="327">
        <v>50000</v>
      </c>
    </row>
    <row r="64" spans="1:44" x14ac:dyDescent="0.2">
      <c r="A64" s="59">
        <v>53</v>
      </c>
      <c r="B64" s="61" t="s">
        <v>53</v>
      </c>
      <c r="C64" s="61" t="s">
        <v>51</v>
      </c>
      <c r="D64" s="53">
        <v>1985</v>
      </c>
      <c r="E64" s="55">
        <f t="shared" si="66"/>
        <v>2022</v>
      </c>
      <c r="F64" s="53">
        <f t="shared" si="64"/>
        <v>37</v>
      </c>
      <c r="G64" s="53">
        <v>24</v>
      </c>
      <c r="H64" s="55">
        <f t="shared" si="6"/>
        <v>96</v>
      </c>
      <c r="I64" s="56">
        <f>VLOOKUP(F64,BAKU,2)</f>
        <v>8000</v>
      </c>
      <c r="J64" s="56">
        <f t="shared" si="67"/>
        <v>192000</v>
      </c>
      <c r="K64" s="56">
        <f t="shared" si="58"/>
        <v>66000</v>
      </c>
      <c r="L64" s="56">
        <f>IF(AND(C64="TPG",G64&lt;=24),G64*56000,IF(AND(C64="TPG",G64&gt;24),(24*56000)+((G64-24)*66000),G64*66000))</f>
        <v>1584000</v>
      </c>
      <c r="M64" s="85"/>
      <c r="N64" s="92"/>
      <c r="O64" s="85"/>
      <c r="P64" s="92"/>
      <c r="Q64" s="88"/>
      <c r="R64" s="76">
        <f t="shared" si="7"/>
        <v>0</v>
      </c>
      <c r="S64" s="88"/>
      <c r="T64" s="76">
        <f t="shared" si="53"/>
        <v>0</v>
      </c>
      <c r="U64" s="88"/>
      <c r="V64" s="76">
        <f t="shared" si="9"/>
        <v>0</v>
      </c>
      <c r="W64" s="309">
        <v>328800</v>
      </c>
      <c r="X64" s="313">
        <f t="shared" si="10"/>
        <v>2104800</v>
      </c>
      <c r="Y64" s="87"/>
      <c r="Z64" s="85">
        <f>IF(C64="Guru",16500,IF(C64="TPG",14000,15250))</f>
        <v>16500</v>
      </c>
      <c r="AA64" s="85">
        <f t="shared" si="54"/>
        <v>0</v>
      </c>
      <c r="AB64" s="87"/>
      <c r="AC64" s="86" t="s">
        <v>118</v>
      </c>
      <c r="AD64" s="82">
        <f>IF(AND(C64="Guru",AC64="S"),8250,IF(AND(C64="Guru",AC64="I"),16500,IF(AND(C64="TPG",AC64="S"),7000,IF(AND(C64="TPG",AC64="I"),14000,IF(AND(C64="GURU",AC64="A"),16500,14000)))))</f>
        <v>8250</v>
      </c>
      <c r="AE64" s="85">
        <f t="shared" si="59"/>
        <v>0</v>
      </c>
      <c r="AF64" s="87"/>
      <c r="AG64" s="86" t="s">
        <v>119</v>
      </c>
      <c r="AH64" s="82">
        <f>IF(AND(G64="Guru",AG64="S"),8250,IF(AND(G64="Guru",AG64="I"),16500,IF(AND(G64="TPG",AG64="S"),7000,IF(AND(G64="TPG",AG64="I"),14000,IF(AND(G64="GURU",AG64="A"),16500,14000)))))</f>
        <v>14000</v>
      </c>
      <c r="AI64" s="85">
        <f t="shared" si="60"/>
        <v>0</v>
      </c>
      <c r="AJ64" s="87"/>
      <c r="AK64" s="86" t="s">
        <v>115</v>
      </c>
      <c r="AL64" s="82">
        <f>IF(AND(G64="Guru",AK64="S"),8250,IF(AND(G64="Guru",AK64="I"),16500,IF(AND(G64="TPG",AK64="S"),7000,IF(AND(G64="TPG",AK64="I"),14000,IF(AND(G64="GURU",AK64="A"),16500,14000)))))</f>
        <v>14000</v>
      </c>
      <c r="AM64" s="85">
        <f t="shared" si="61"/>
        <v>0</v>
      </c>
      <c r="AN64" s="311">
        <f t="shared" si="11"/>
        <v>0</v>
      </c>
      <c r="AO64" s="78">
        <f t="shared" si="55"/>
        <v>100</v>
      </c>
      <c r="AP64" s="83">
        <f t="shared" si="62"/>
        <v>50000</v>
      </c>
      <c r="AQ64" s="322">
        <f>X64+AP64-AN64</f>
        <v>2154800</v>
      </c>
      <c r="AR64" s="327">
        <v>50000</v>
      </c>
    </row>
    <row r="65" spans="1:44" x14ac:dyDescent="0.2">
      <c r="A65" s="79" t="s">
        <v>129</v>
      </c>
      <c r="B65" s="79"/>
      <c r="C65" s="48"/>
      <c r="D65" s="49"/>
      <c r="E65" s="49"/>
      <c r="F65" s="48"/>
      <c r="G65" s="49"/>
      <c r="H65" s="261"/>
      <c r="I65" s="48"/>
      <c r="J65" s="48"/>
      <c r="K65" s="48"/>
      <c r="L65" s="50"/>
      <c r="M65" s="259"/>
      <c r="N65" s="259"/>
      <c r="O65" s="51"/>
      <c r="P65" s="51"/>
      <c r="Q65" s="259"/>
      <c r="R65" s="52"/>
      <c r="S65" s="259"/>
      <c r="T65" s="52"/>
      <c r="U65" s="77"/>
      <c r="V65" s="52"/>
      <c r="W65" s="52"/>
      <c r="X65" s="52"/>
      <c r="Y65" s="84"/>
      <c r="Z65" s="51"/>
      <c r="AA65" s="52"/>
      <c r="AB65" s="84"/>
      <c r="AC65" s="80"/>
      <c r="AD65" s="51"/>
      <c r="AE65" s="52"/>
      <c r="AF65" s="84"/>
      <c r="AG65" s="80"/>
      <c r="AH65" s="259"/>
      <c r="AI65" s="52"/>
      <c r="AJ65" s="84"/>
      <c r="AK65" s="80"/>
      <c r="AL65" s="259"/>
      <c r="AM65" s="52"/>
      <c r="AN65" s="52"/>
      <c r="AO65" s="259"/>
      <c r="AP65" s="259"/>
      <c r="AQ65" s="259"/>
      <c r="AR65" s="259"/>
    </row>
    <row r="66" spans="1:44" s="58" customFormat="1" x14ac:dyDescent="0.2">
      <c r="A66" s="53">
        <v>54</v>
      </c>
      <c r="B66" s="54" t="s">
        <v>45</v>
      </c>
      <c r="C66" s="54" t="s">
        <v>130</v>
      </c>
      <c r="D66" s="55"/>
      <c r="E66" s="55"/>
      <c r="F66" s="53"/>
      <c r="G66" s="55">
        <v>30</v>
      </c>
      <c r="H66" s="55">
        <f t="shared" si="6"/>
        <v>120</v>
      </c>
      <c r="I66" s="53"/>
      <c r="J66" s="56">
        <v>300000</v>
      </c>
      <c r="K66" s="56">
        <v>60000</v>
      </c>
      <c r="L66" s="56">
        <f>G66*K66</f>
        <v>1800000</v>
      </c>
      <c r="M66" s="82">
        <v>40000</v>
      </c>
      <c r="N66" s="57" t="s">
        <v>302</v>
      </c>
      <c r="O66" s="57"/>
      <c r="P66" s="57"/>
      <c r="Q66" s="88"/>
      <c r="R66" s="76">
        <f t="shared" si="7"/>
        <v>0</v>
      </c>
      <c r="S66" s="88"/>
      <c r="T66" s="76">
        <f t="shared" ref="T66:T80" si="68">S66*7500</f>
        <v>0</v>
      </c>
      <c r="U66" s="89"/>
      <c r="V66" s="76">
        <f t="shared" si="9"/>
        <v>0</v>
      </c>
      <c r="W66" s="309"/>
      <c r="X66" s="313">
        <f t="shared" si="10"/>
        <v>2140000</v>
      </c>
      <c r="Y66" s="87"/>
      <c r="Z66" s="85">
        <v>7500</v>
      </c>
      <c r="AA66" s="85">
        <f t="shared" si="54"/>
        <v>0</v>
      </c>
      <c r="AB66" s="87"/>
      <c r="AC66" s="86" t="s">
        <v>118</v>
      </c>
      <c r="AD66" s="82">
        <f>IF(AC66="S",30000,60000)</f>
        <v>30000</v>
      </c>
      <c r="AE66" s="85">
        <f t="shared" si="59"/>
        <v>0</v>
      </c>
      <c r="AF66" s="87"/>
      <c r="AG66" s="86" t="s">
        <v>119</v>
      </c>
      <c r="AH66" s="82">
        <f>IF(AG66="S",30000,60000)</f>
        <v>60000</v>
      </c>
      <c r="AI66" s="85">
        <f t="shared" ref="AI66:AI116" si="69">AF66*AH66</f>
        <v>0</v>
      </c>
      <c r="AJ66" s="87"/>
      <c r="AK66" s="86" t="s">
        <v>115</v>
      </c>
      <c r="AL66" s="82">
        <f>IF(AK66="S",30000,60000)</f>
        <v>60000</v>
      </c>
      <c r="AM66" s="85">
        <f t="shared" ref="AM66:AM116" si="70">AJ66*AL66</f>
        <v>0</v>
      </c>
      <c r="AN66" s="311">
        <f>AA66+AE66+AI66+AM66</f>
        <v>0</v>
      </c>
      <c r="AO66" s="78">
        <f t="shared" ref="AO66:AO69" si="71">((H66-(AB66+AF66+AJ66))/H66)*100</f>
        <v>100</v>
      </c>
      <c r="AP66" s="83"/>
      <c r="AQ66" s="322">
        <f>X66+AP66-AN66</f>
        <v>2140000</v>
      </c>
      <c r="AR66" s="327">
        <v>100000</v>
      </c>
    </row>
    <row r="67" spans="1:44" s="58" customFormat="1" x14ac:dyDescent="0.2">
      <c r="A67" s="53">
        <v>55</v>
      </c>
      <c r="B67" s="54" t="s">
        <v>46</v>
      </c>
      <c r="C67" s="54" t="s">
        <v>130</v>
      </c>
      <c r="D67" s="55"/>
      <c r="E67" s="55"/>
      <c r="F67" s="53"/>
      <c r="G67" s="55">
        <v>30</v>
      </c>
      <c r="H67" s="55">
        <f t="shared" si="6"/>
        <v>120</v>
      </c>
      <c r="I67" s="53"/>
      <c r="J67" s="56">
        <v>300000</v>
      </c>
      <c r="K67" s="56">
        <v>60000</v>
      </c>
      <c r="L67" s="56">
        <f>G67*K67</f>
        <v>1800000</v>
      </c>
      <c r="M67" s="82">
        <v>40000</v>
      </c>
      <c r="N67" s="57" t="s">
        <v>302</v>
      </c>
      <c r="O67" s="57"/>
      <c r="P67" s="57"/>
      <c r="Q67" s="88"/>
      <c r="R67" s="76">
        <f t="shared" si="7"/>
        <v>0</v>
      </c>
      <c r="S67" s="88"/>
      <c r="T67" s="76">
        <f t="shared" si="68"/>
        <v>0</v>
      </c>
      <c r="U67" s="89"/>
      <c r="V67" s="76">
        <f t="shared" si="9"/>
        <v>0</v>
      </c>
      <c r="W67" s="309"/>
      <c r="X67" s="313">
        <f t="shared" si="10"/>
        <v>2140000</v>
      </c>
      <c r="Y67" s="87"/>
      <c r="Z67" s="85">
        <v>7500</v>
      </c>
      <c r="AA67" s="85">
        <f t="shared" si="54"/>
        <v>0</v>
      </c>
      <c r="AB67" s="87"/>
      <c r="AC67" s="86" t="s">
        <v>118</v>
      </c>
      <c r="AD67" s="82">
        <f t="shared" ref="AD67:AD69" si="72">IF(AC67="S",30000,60000)</f>
        <v>30000</v>
      </c>
      <c r="AE67" s="85">
        <f t="shared" si="59"/>
        <v>0</v>
      </c>
      <c r="AF67" s="87"/>
      <c r="AG67" s="86" t="s">
        <v>119</v>
      </c>
      <c r="AH67" s="82">
        <f t="shared" ref="AH67:AH69" si="73">IF(AG67="S",30000,60000)</f>
        <v>60000</v>
      </c>
      <c r="AI67" s="85">
        <f t="shared" si="69"/>
        <v>0</v>
      </c>
      <c r="AJ67" s="87"/>
      <c r="AK67" s="86" t="s">
        <v>115</v>
      </c>
      <c r="AL67" s="82">
        <f t="shared" ref="AL67:AL69" si="74">IF(AK67="S",30000,60000)</f>
        <v>60000</v>
      </c>
      <c r="AM67" s="85">
        <f t="shared" si="70"/>
        <v>0</v>
      </c>
      <c r="AN67" s="311">
        <f t="shared" si="11"/>
        <v>0</v>
      </c>
      <c r="AO67" s="78">
        <f t="shared" si="71"/>
        <v>100</v>
      </c>
      <c r="AP67" s="83"/>
      <c r="AQ67" s="322">
        <f>X67+AP67-AN67</f>
        <v>2140000</v>
      </c>
      <c r="AR67" s="327">
        <v>100000</v>
      </c>
    </row>
    <row r="68" spans="1:44" s="58" customFormat="1" x14ac:dyDescent="0.2">
      <c r="A68" s="53">
        <v>56</v>
      </c>
      <c r="B68" s="54" t="s">
        <v>47</v>
      </c>
      <c r="C68" s="54" t="s">
        <v>130</v>
      </c>
      <c r="D68" s="55"/>
      <c r="E68" s="55"/>
      <c r="F68" s="53"/>
      <c r="G68" s="55">
        <v>30</v>
      </c>
      <c r="H68" s="55">
        <f t="shared" si="6"/>
        <v>120</v>
      </c>
      <c r="I68" s="53"/>
      <c r="J68" s="56">
        <v>300000</v>
      </c>
      <c r="K68" s="56">
        <v>60000</v>
      </c>
      <c r="L68" s="56">
        <f>G68*K68</f>
        <v>1800000</v>
      </c>
      <c r="M68" s="82">
        <v>40000</v>
      </c>
      <c r="N68" s="57" t="s">
        <v>302</v>
      </c>
      <c r="O68" s="56"/>
      <c r="P68" s="230"/>
      <c r="Q68" s="88"/>
      <c r="R68" s="76">
        <f t="shared" si="7"/>
        <v>0</v>
      </c>
      <c r="S68" s="88"/>
      <c r="T68" s="76">
        <f t="shared" si="68"/>
        <v>0</v>
      </c>
      <c r="U68" s="89"/>
      <c r="V68" s="76">
        <f t="shared" si="9"/>
        <v>0</v>
      </c>
      <c r="W68" s="309"/>
      <c r="X68" s="313">
        <f t="shared" si="10"/>
        <v>2140000</v>
      </c>
      <c r="Y68" s="87"/>
      <c r="Z68" s="85">
        <v>7500</v>
      </c>
      <c r="AA68" s="85">
        <f t="shared" si="54"/>
        <v>0</v>
      </c>
      <c r="AB68" s="87"/>
      <c r="AC68" s="86" t="s">
        <v>118</v>
      </c>
      <c r="AD68" s="82">
        <f t="shared" si="72"/>
        <v>30000</v>
      </c>
      <c r="AE68" s="85">
        <f t="shared" si="59"/>
        <v>0</v>
      </c>
      <c r="AF68" s="87"/>
      <c r="AG68" s="86" t="s">
        <v>119</v>
      </c>
      <c r="AH68" s="82">
        <f t="shared" si="73"/>
        <v>60000</v>
      </c>
      <c r="AI68" s="85">
        <f t="shared" si="69"/>
        <v>0</v>
      </c>
      <c r="AJ68" s="87"/>
      <c r="AK68" s="86" t="s">
        <v>115</v>
      </c>
      <c r="AL68" s="82">
        <f t="shared" si="74"/>
        <v>60000</v>
      </c>
      <c r="AM68" s="85">
        <f t="shared" si="70"/>
        <v>0</v>
      </c>
      <c r="AN68" s="311">
        <f t="shared" si="11"/>
        <v>0</v>
      </c>
      <c r="AO68" s="78">
        <f t="shared" si="71"/>
        <v>100</v>
      </c>
      <c r="AP68" s="83"/>
      <c r="AQ68" s="322">
        <f>X68+AP68-AN68</f>
        <v>2140000</v>
      </c>
      <c r="AR68" s="327">
        <v>100000</v>
      </c>
    </row>
    <row r="69" spans="1:44" s="58" customFormat="1" x14ac:dyDescent="0.2">
      <c r="A69" s="53">
        <v>57</v>
      </c>
      <c r="B69" s="54" t="s">
        <v>259</v>
      </c>
      <c r="C69" s="54" t="s">
        <v>130</v>
      </c>
      <c r="D69" s="55"/>
      <c r="E69" s="55"/>
      <c r="F69" s="53"/>
      <c r="G69" s="55">
        <v>30</v>
      </c>
      <c r="H69" s="55">
        <f t="shared" si="6"/>
        <v>120</v>
      </c>
      <c r="I69" s="53"/>
      <c r="J69" s="56">
        <v>300000</v>
      </c>
      <c r="K69" s="56">
        <v>60000</v>
      </c>
      <c r="L69" s="56">
        <v>2000000</v>
      </c>
      <c r="M69" s="82">
        <v>40000</v>
      </c>
      <c r="N69" s="57" t="s">
        <v>302</v>
      </c>
      <c r="O69" s="56"/>
      <c r="P69" s="230"/>
      <c r="Q69" s="88"/>
      <c r="R69" s="76">
        <f t="shared" si="7"/>
        <v>0</v>
      </c>
      <c r="S69" s="88"/>
      <c r="T69" s="76">
        <f t="shared" si="68"/>
        <v>0</v>
      </c>
      <c r="U69" s="89"/>
      <c r="V69" s="76">
        <f t="shared" si="9"/>
        <v>0</v>
      </c>
      <c r="W69" s="309">
        <v>100000</v>
      </c>
      <c r="X69" s="313">
        <f t="shared" si="10"/>
        <v>2440000</v>
      </c>
      <c r="Y69" s="87"/>
      <c r="Z69" s="85">
        <v>7500</v>
      </c>
      <c r="AA69" s="85">
        <f t="shared" si="54"/>
        <v>0</v>
      </c>
      <c r="AB69" s="87"/>
      <c r="AC69" s="86" t="s">
        <v>118</v>
      </c>
      <c r="AD69" s="82">
        <f t="shared" si="72"/>
        <v>30000</v>
      </c>
      <c r="AE69" s="85">
        <f t="shared" ref="AE69" si="75">AB69*AD69</f>
        <v>0</v>
      </c>
      <c r="AF69" s="87"/>
      <c r="AG69" s="86" t="s">
        <v>119</v>
      </c>
      <c r="AH69" s="82">
        <f t="shared" si="73"/>
        <v>60000</v>
      </c>
      <c r="AI69" s="85">
        <f t="shared" si="69"/>
        <v>0</v>
      </c>
      <c r="AJ69" s="87"/>
      <c r="AK69" s="86" t="s">
        <v>115</v>
      </c>
      <c r="AL69" s="82">
        <f t="shared" si="74"/>
        <v>60000</v>
      </c>
      <c r="AM69" s="85">
        <f t="shared" si="70"/>
        <v>0</v>
      </c>
      <c r="AN69" s="311">
        <f t="shared" si="11"/>
        <v>0</v>
      </c>
      <c r="AO69" s="78">
        <f t="shared" si="71"/>
        <v>100</v>
      </c>
      <c r="AP69" s="83"/>
      <c r="AQ69" s="322">
        <f>X69+AP69-AN69</f>
        <v>2440000</v>
      </c>
      <c r="AR69" s="327">
        <v>100000</v>
      </c>
    </row>
    <row r="70" spans="1:44" x14ac:dyDescent="0.2">
      <c r="A70" s="79" t="s">
        <v>303</v>
      </c>
      <c r="B70" s="79"/>
      <c r="C70" s="260"/>
      <c r="D70" s="261"/>
      <c r="E70" s="261"/>
      <c r="F70" s="260"/>
      <c r="G70" s="261"/>
      <c r="H70" s="261"/>
      <c r="I70" s="260"/>
      <c r="J70" s="260"/>
      <c r="K70" s="260"/>
      <c r="L70" s="258"/>
      <c r="M70" s="259"/>
      <c r="N70" s="259"/>
      <c r="O70" s="259"/>
      <c r="P70" s="259"/>
      <c r="Q70" s="259"/>
      <c r="R70" s="52"/>
      <c r="S70" s="259"/>
      <c r="T70" s="52"/>
      <c r="U70" s="77"/>
      <c r="V70" s="52"/>
      <c r="W70" s="52"/>
      <c r="X70" s="52"/>
      <c r="Y70" s="84"/>
      <c r="Z70" s="259"/>
      <c r="AA70" s="52"/>
      <c r="AB70" s="84"/>
      <c r="AC70" s="80"/>
      <c r="AD70" s="259"/>
      <c r="AE70" s="52"/>
      <c r="AF70" s="84"/>
      <c r="AG70" s="80"/>
      <c r="AH70" s="259"/>
      <c r="AI70" s="52"/>
      <c r="AJ70" s="84"/>
      <c r="AK70" s="80"/>
      <c r="AL70" s="259"/>
      <c r="AM70" s="52"/>
      <c r="AN70" s="52"/>
      <c r="AO70" s="259"/>
      <c r="AP70" s="259"/>
      <c r="AQ70" s="259"/>
      <c r="AR70" s="259"/>
    </row>
    <row r="71" spans="1:44" s="58" customFormat="1" x14ac:dyDescent="0.2">
      <c r="A71" s="53">
        <v>58</v>
      </c>
      <c r="B71" s="54" t="s">
        <v>270</v>
      </c>
      <c r="C71" s="54" t="s">
        <v>305</v>
      </c>
      <c r="D71" s="55"/>
      <c r="E71" s="55"/>
      <c r="F71" s="53"/>
      <c r="G71" s="55">
        <v>4</v>
      </c>
      <c r="H71" s="55">
        <f>G71*4</f>
        <v>16</v>
      </c>
      <c r="I71" s="53"/>
      <c r="J71" s="56"/>
      <c r="K71" s="56">
        <v>50000</v>
      </c>
      <c r="L71" s="56">
        <f>H71*K71</f>
        <v>800000</v>
      </c>
      <c r="M71" s="82"/>
      <c r="N71" s="57"/>
      <c r="O71" s="57"/>
      <c r="P71" s="57"/>
      <c r="Q71" s="88"/>
      <c r="R71" s="76">
        <f t="shared" si="7"/>
        <v>0</v>
      </c>
      <c r="S71" s="88"/>
      <c r="T71" s="76">
        <f t="shared" si="68"/>
        <v>0</v>
      </c>
      <c r="U71" s="89"/>
      <c r="V71" s="76">
        <f t="shared" si="9"/>
        <v>0</v>
      </c>
      <c r="W71" s="309"/>
      <c r="X71" s="313">
        <f t="shared" ref="X71:X74" si="76">J71+L71+M71+O71+R71+T71+V71+W71</f>
        <v>800000</v>
      </c>
      <c r="Y71" s="328"/>
      <c r="Z71" s="329"/>
      <c r="AA71" s="329"/>
      <c r="AB71" s="328"/>
      <c r="AC71" s="330"/>
      <c r="AD71" s="331"/>
      <c r="AE71" s="329"/>
      <c r="AF71" s="328"/>
      <c r="AG71" s="330"/>
      <c r="AH71" s="331"/>
      <c r="AI71" s="329"/>
      <c r="AJ71" s="87"/>
      <c r="AK71" s="86" t="s">
        <v>115</v>
      </c>
      <c r="AL71" s="82">
        <f>K71</f>
        <v>50000</v>
      </c>
      <c r="AM71" s="85">
        <f t="shared" ref="AM71:AM74" si="77">AJ71*AL71</f>
        <v>0</v>
      </c>
      <c r="AN71" s="311">
        <f>AA71+AE71+AI71+AM71</f>
        <v>0</v>
      </c>
      <c r="AO71" s="78">
        <f t="shared" ref="AO71:AO80" si="78">((H71-(AB71+AF71+AJ71))/H71)*100</f>
        <v>100</v>
      </c>
      <c r="AP71" s="83"/>
      <c r="AQ71" s="322">
        <f>X71+AP71-AN71</f>
        <v>800000</v>
      </c>
      <c r="AR71" s="327">
        <v>50000</v>
      </c>
    </row>
    <row r="72" spans="1:44" s="58" customFormat="1" x14ac:dyDescent="0.2">
      <c r="A72" s="53">
        <v>59</v>
      </c>
      <c r="B72" s="54" t="s">
        <v>271</v>
      </c>
      <c r="C72" s="54" t="s">
        <v>306</v>
      </c>
      <c r="D72" s="55"/>
      <c r="E72" s="55"/>
      <c r="F72" s="53"/>
      <c r="G72" s="55">
        <v>4</v>
      </c>
      <c r="H72" s="55">
        <f t="shared" ref="H72:H80" si="79">G72*4</f>
        <v>16</v>
      </c>
      <c r="I72" s="53"/>
      <c r="J72" s="56"/>
      <c r="K72" s="56">
        <v>50000</v>
      </c>
      <c r="L72" s="56">
        <f t="shared" ref="L72:L80" si="80">H72*K72</f>
        <v>800000</v>
      </c>
      <c r="M72" s="82"/>
      <c r="N72" s="57"/>
      <c r="O72" s="57"/>
      <c r="P72" s="57"/>
      <c r="Q72" s="88"/>
      <c r="R72" s="76">
        <f t="shared" si="7"/>
        <v>0</v>
      </c>
      <c r="S72" s="88"/>
      <c r="T72" s="76">
        <f t="shared" si="68"/>
        <v>0</v>
      </c>
      <c r="U72" s="89"/>
      <c r="V72" s="76">
        <f t="shared" si="9"/>
        <v>0</v>
      </c>
      <c r="W72" s="309"/>
      <c r="X72" s="313">
        <f t="shared" si="76"/>
        <v>800000</v>
      </c>
      <c r="Y72" s="328"/>
      <c r="Z72" s="329"/>
      <c r="AA72" s="329"/>
      <c r="AB72" s="328"/>
      <c r="AC72" s="330"/>
      <c r="AD72" s="331"/>
      <c r="AE72" s="329"/>
      <c r="AF72" s="328"/>
      <c r="AG72" s="330"/>
      <c r="AH72" s="331"/>
      <c r="AI72" s="329"/>
      <c r="AJ72" s="87"/>
      <c r="AK72" s="86" t="s">
        <v>115</v>
      </c>
      <c r="AL72" s="82">
        <f t="shared" ref="AL72:AL80" si="81">K72</f>
        <v>50000</v>
      </c>
      <c r="AM72" s="85">
        <f t="shared" si="77"/>
        <v>0</v>
      </c>
      <c r="AN72" s="311">
        <f t="shared" ref="AN72:AN74" si="82">AA72+AE72+AI72+AM72</f>
        <v>0</v>
      </c>
      <c r="AO72" s="78">
        <f t="shared" si="78"/>
        <v>100</v>
      </c>
      <c r="AP72" s="83"/>
      <c r="AQ72" s="322">
        <f>X72+AP72-AN72</f>
        <v>800000</v>
      </c>
      <c r="AR72" s="327">
        <v>50000</v>
      </c>
    </row>
    <row r="73" spans="1:44" s="58" customFormat="1" x14ac:dyDescent="0.2">
      <c r="A73" s="53">
        <v>60</v>
      </c>
      <c r="B73" s="54" t="s">
        <v>272</v>
      </c>
      <c r="C73" s="54" t="s">
        <v>314</v>
      </c>
      <c r="D73" s="55"/>
      <c r="E73" s="55"/>
      <c r="F73" s="53"/>
      <c r="G73" s="55">
        <v>4</v>
      </c>
      <c r="H73" s="55">
        <f t="shared" si="79"/>
        <v>16</v>
      </c>
      <c r="I73" s="53"/>
      <c r="J73" s="56"/>
      <c r="K73" s="56">
        <v>50000</v>
      </c>
      <c r="L73" s="56">
        <f t="shared" si="80"/>
        <v>800000</v>
      </c>
      <c r="M73" s="82"/>
      <c r="N73" s="57"/>
      <c r="O73" s="56"/>
      <c r="P73" s="230"/>
      <c r="Q73" s="88"/>
      <c r="R73" s="76">
        <f t="shared" si="7"/>
        <v>0</v>
      </c>
      <c r="S73" s="88"/>
      <c r="T73" s="76">
        <f t="shared" si="68"/>
        <v>0</v>
      </c>
      <c r="U73" s="89"/>
      <c r="V73" s="76">
        <f t="shared" si="9"/>
        <v>0</v>
      </c>
      <c r="W73" s="309"/>
      <c r="X73" s="313">
        <f t="shared" si="76"/>
        <v>800000</v>
      </c>
      <c r="Y73" s="328"/>
      <c r="Z73" s="329"/>
      <c r="AA73" s="329"/>
      <c r="AB73" s="328"/>
      <c r="AC73" s="330"/>
      <c r="AD73" s="331"/>
      <c r="AE73" s="329"/>
      <c r="AF73" s="328"/>
      <c r="AG73" s="330"/>
      <c r="AH73" s="331"/>
      <c r="AI73" s="329"/>
      <c r="AJ73" s="87"/>
      <c r="AK73" s="86" t="s">
        <v>115</v>
      </c>
      <c r="AL73" s="82">
        <f t="shared" si="81"/>
        <v>50000</v>
      </c>
      <c r="AM73" s="85">
        <f t="shared" si="77"/>
        <v>0</v>
      </c>
      <c r="AN73" s="311">
        <f t="shared" si="82"/>
        <v>0</v>
      </c>
      <c r="AO73" s="78">
        <f t="shared" si="78"/>
        <v>100</v>
      </c>
      <c r="AP73" s="83"/>
      <c r="AQ73" s="322">
        <f>X73+AP73-AN73</f>
        <v>800000</v>
      </c>
      <c r="AR73" s="327">
        <v>50000</v>
      </c>
    </row>
    <row r="74" spans="1:44" s="58" customFormat="1" x14ac:dyDescent="0.2">
      <c r="A74" s="53">
        <v>61</v>
      </c>
      <c r="B74" s="54" t="s">
        <v>273</v>
      </c>
      <c r="C74" s="54" t="s">
        <v>312</v>
      </c>
      <c r="D74" s="55"/>
      <c r="E74" s="55"/>
      <c r="F74" s="53"/>
      <c r="G74" s="55">
        <v>4</v>
      </c>
      <c r="H74" s="55">
        <f t="shared" si="79"/>
        <v>16</v>
      </c>
      <c r="I74" s="53"/>
      <c r="J74" s="56"/>
      <c r="K74" s="56">
        <v>50000</v>
      </c>
      <c r="L74" s="56">
        <f t="shared" si="80"/>
        <v>800000</v>
      </c>
      <c r="M74" s="82"/>
      <c r="N74" s="57"/>
      <c r="O74" s="56"/>
      <c r="P74" s="230"/>
      <c r="Q74" s="88"/>
      <c r="R74" s="76">
        <f t="shared" ref="R74" si="83">Q74*66000</f>
        <v>0</v>
      </c>
      <c r="S74" s="88"/>
      <c r="T74" s="76">
        <f t="shared" si="68"/>
        <v>0</v>
      </c>
      <c r="U74" s="89"/>
      <c r="V74" s="76">
        <f t="shared" ref="V74" si="84">U74*13000</f>
        <v>0</v>
      </c>
      <c r="W74" s="309"/>
      <c r="X74" s="313">
        <f t="shared" si="76"/>
        <v>800000</v>
      </c>
      <c r="Y74" s="328"/>
      <c r="Z74" s="329"/>
      <c r="AA74" s="329"/>
      <c r="AB74" s="328"/>
      <c r="AC74" s="330"/>
      <c r="AD74" s="331"/>
      <c r="AE74" s="329"/>
      <c r="AF74" s="328"/>
      <c r="AG74" s="330"/>
      <c r="AH74" s="331"/>
      <c r="AI74" s="329"/>
      <c r="AJ74" s="87"/>
      <c r="AK74" s="86" t="s">
        <v>115</v>
      </c>
      <c r="AL74" s="82">
        <f t="shared" si="81"/>
        <v>50000</v>
      </c>
      <c r="AM74" s="85">
        <f t="shared" si="77"/>
        <v>0</v>
      </c>
      <c r="AN74" s="311">
        <f t="shared" si="82"/>
        <v>0</v>
      </c>
      <c r="AO74" s="78">
        <f t="shared" si="78"/>
        <v>100</v>
      </c>
      <c r="AP74" s="83"/>
      <c r="AQ74" s="322">
        <f>X74+AP74-AN74</f>
        <v>800000</v>
      </c>
      <c r="AR74" s="327">
        <v>50000</v>
      </c>
    </row>
    <row r="75" spans="1:44" s="58" customFormat="1" x14ac:dyDescent="0.2">
      <c r="A75" s="53">
        <v>62</v>
      </c>
      <c r="B75" s="54" t="s">
        <v>274</v>
      </c>
      <c r="C75" s="54" t="s">
        <v>313</v>
      </c>
      <c r="D75" s="55"/>
      <c r="E75" s="55"/>
      <c r="F75" s="53"/>
      <c r="G75" s="55">
        <v>4</v>
      </c>
      <c r="H75" s="55">
        <f t="shared" si="79"/>
        <v>16</v>
      </c>
      <c r="I75" s="53"/>
      <c r="J75" s="56"/>
      <c r="K75" s="56">
        <v>50000</v>
      </c>
      <c r="L75" s="56">
        <f t="shared" si="80"/>
        <v>800000</v>
      </c>
      <c r="M75" s="82"/>
      <c r="N75" s="57"/>
      <c r="O75" s="57"/>
      <c r="P75" s="57"/>
      <c r="Q75" s="88"/>
      <c r="R75" s="76">
        <f t="shared" si="7"/>
        <v>0</v>
      </c>
      <c r="S75" s="88"/>
      <c r="T75" s="76">
        <f t="shared" si="68"/>
        <v>0</v>
      </c>
      <c r="U75" s="89"/>
      <c r="V75" s="76">
        <f t="shared" si="9"/>
        <v>0</v>
      </c>
      <c r="W75" s="309"/>
      <c r="X75" s="313">
        <f t="shared" ref="X75:X78" si="85">J75+L75+M75+O75+R75+T75+V75+W75</f>
        <v>800000</v>
      </c>
      <c r="Y75" s="328"/>
      <c r="Z75" s="329"/>
      <c r="AA75" s="329"/>
      <c r="AB75" s="328"/>
      <c r="AC75" s="330"/>
      <c r="AD75" s="331"/>
      <c r="AE75" s="329"/>
      <c r="AF75" s="328"/>
      <c r="AG75" s="330"/>
      <c r="AH75" s="331"/>
      <c r="AI75" s="329"/>
      <c r="AJ75" s="87"/>
      <c r="AK75" s="86" t="s">
        <v>115</v>
      </c>
      <c r="AL75" s="82">
        <f t="shared" si="81"/>
        <v>50000</v>
      </c>
      <c r="AM75" s="85">
        <f t="shared" ref="AM75:AM78" si="86">AJ75*AL75</f>
        <v>0</v>
      </c>
      <c r="AN75" s="311">
        <f>AA75+AE75+AI75+AM75</f>
        <v>0</v>
      </c>
      <c r="AO75" s="78">
        <f t="shared" si="78"/>
        <v>100</v>
      </c>
      <c r="AP75" s="83"/>
      <c r="AQ75" s="322">
        <f>X75+AP75-AN75</f>
        <v>800000</v>
      </c>
      <c r="AR75" s="327">
        <v>50000</v>
      </c>
    </row>
    <row r="76" spans="1:44" s="58" customFormat="1" x14ac:dyDescent="0.2">
      <c r="A76" s="53">
        <v>63</v>
      </c>
      <c r="B76" s="54" t="s">
        <v>275</v>
      </c>
      <c r="C76" s="54" t="s">
        <v>307</v>
      </c>
      <c r="D76" s="55"/>
      <c r="E76" s="55"/>
      <c r="F76" s="53"/>
      <c r="G76" s="55">
        <v>4</v>
      </c>
      <c r="H76" s="55">
        <f t="shared" si="79"/>
        <v>16</v>
      </c>
      <c r="I76" s="53"/>
      <c r="J76" s="56"/>
      <c r="K76" s="56">
        <v>50000</v>
      </c>
      <c r="L76" s="56">
        <f t="shared" si="80"/>
        <v>800000</v>
      </c>
      <c r="M76" s="82"/>
      <c r="N76" s="57"/>
      <c r="O76" s="57"/>
      <c r="P76" s="57"/>
      <c r="Q76" s="88"/>
      <c r="R76" s="76">
        <f t="shared" ref="R76:R80" si="87">Q76*66000</f>
        <v>0</v>
      </c>
      <c r="S76" s="88"/>
      <c r="T76" s="76">
        <f t="shared" si="68"/>
        <v>0</v>
      </c>
      <c r="U76" s="89"/>
      <c r="V76" s="76">
        <f t="shared" ref="V76:V80" si="88">U76*13000</f>
        <v>0</v>
      </c>
      <c r="W76" s="309"/>
      <c r="X76" s="313">
        <f t="shared" si="85"/>
        <v>800000</v>
      </c>
      <c r="Y76" s="328"/>
      <c r="Z76" s="329"/>
      <c r="AA76" s="329"/>
      <c r="AB76" s="328"/>
      <c r="AC76" s="330"/>
      <c r="AD76" s="331"/>
      <c r="AE76" s="329"/>
      <c r="AF76" s="328"/>
      <c r="AG76" s="330"/>
      <c r="AH76" s="331"/>
      <c r="AI76" s="329"/>
      <c r="AJ76" s="87"/>
      <c r="AK76" s="86" t="s">
        <v>115</v>
      </c>
      <c r="AL76" s="82">
        <f t="shared" si="81"/>
        <v>50000</v>
      </c>
      <c r="AM76" s="85">
        <f t="shared" si="86"/>
        <v>0</v>
      </c>
      <c r="AN76" s="311">
        <f t="shared" ref="AN76:AN78" si="89">AA76+AE76+AI76+AM76</f>
        <v>0</v>
      </c>
      <c r="AO76" s="78">
        <f t="shared" si="78"/>
        <v>100</v>
      </c>
      <c r="AP76" s="83"/>
      <c r="AQ76" s="322">
        <f>X76+AP76-AN76</f>
        <v>800000</v>
      </c>
      <c r="AR76" s="327">
        <v>50000</v>
      </c>
    </row>
    <row r="77" spans="1:44" s="58" customFormat="1" x14ac:dyDescent="0.2">
      <c r="A77" s="53">
        <v>64</v>
      </c>
      <c r="B77" s="54" t="s">
        <v>276</v>
      </c>
      <c r="C77" s="54" t="s">
        <v>308</v>
      </c>
      <c r="D77" s="55"/>
      <c r="E77" s="55"/>
      <c r="F77" s="53"/>
      <c r="G77" s="55">
        <v>4</v>
      </c>
      <c r="H77" s="55">
        <f t="shared" si="79"/>
        <v>16</v>
      </c>
      <c r="I77" s="53"/>
      <c r="J77" s="56"/>
      <c r="K77" s="56">
        <v>50000</v>
      </c>
      <c r="L77" s="56">
        <f t="shared" si="80"/>
        <v>800000</v>
      </c>
      <c r="M77" s="82"/>
      <c r="N77" s="57"/>
      <c r="O77" s="56"/>
      <c r="P77" s="230"/>
      <c r="Q77" s="88"/>
      <c r="R77" s="76">
        <f t="shared" si="87"/>
        <v>0</v>
      </c>
      <c r="S77" s="88"/>
      <c r="T77" s="76">
        <f t="shared" si="68"/>
        <v>0</v>
      </c>
      <c r="U77" s="89"/>
      <c r="V77" s="76">
        <f t="shared" si="88"/>
        <v>0</v>
      </c>
      <c r="W77" s="309"/>
      <c r="X77" s="313">
        <f t="shared" si="85"/>
        <v>800000</v>
      </c>
      <c r="Y77" s="328"/>
      <c r="Z77" s="329"/>
      <c r="AA77" s="329"/>
      <c r="AB77" s="328"/>
      <c r="AC77" s="330"/>
      <c r="AD77" s="331"/>
      <c r="AE77" s="329"/>
      <c r="AF77" s="328"/>
      <c r="AG77" s="330"/>
      <c r="AH77" s="331"/>
      <c r="AI77" s="329"/>
      <c r="AJ77" s="87"/>
      <c r="AK77" s="86" t="s">
        <v>115</v>
      </c>
      <c r="AL77" s="82">
        <f t="shared" si="81"/>
        <v>50000</v>
      </c>
      <c r="AM77" s="85">
        <f t="shared" si="86"/>
        <v>0</v>
      </c>
      <c r="AN77" s="311">
        <f t="shared" si="89"/>
        <v>0</v>
      </c>
      <c r="AO77" s="78">
        <f t="shared" si="78"/>
        <v>100</v>
      </c>
      <c r="AP77" s="83"/>
      <c r="AQ77" s="322">
        <f>X77+AP77-AN77</f>
        <v>800000</v>
      </c>
      <c r="AR77" s="327">
        <v>50000</v>
      </c>
    </row>
    <row r="78" spans="1:44" s="58" customFormat="1" x14ac:dyDescent="0.2">
      <c r="A78" s="53">
        <v>65</v>
      </c>
      <c r="B78" s="54" t="s">
        <v>277</v>
      </c>
      <c r="C78" s="54" t="s">
        <v>309</v>
      </c>
      <c r="D78" s="55"/>
      <c r="E78" s="55"/>
      <c r="F78" s="53"/>
      <c r="G78" s="55">
        <v>4</v>
      </c>
      <c r="H78" s="55">
        <f t="shared" si="79"/>
        <v>16</v>
      </c>
      <c r="I78" s="53"/>
      <c r="J78" s="56"/>
      <c r="K78" s="56">
        <v>50000</v>
      </c>
      <c r="L78" s="56">
        <f t="shared" si="80"/>
        <v>800000</v>
      </c>
      <c r="M78" s="82"/>
      <c r="N78" s="57"/>
      <c r="O78" s="56"/>
      <c r="P78" s="230"/>
      <c r="Q78" s="88"/>
      <c r="R78" s="76">
        <f t="shared" si="87"/>
        <v>0</v>
      </c>
      <c r="S78" s="88"/>
      <c r="T78" s="76">
        <f t="shared" si="68"/>
        <v>0</v>
      </c>
      <c r="U78" s="89"/>
      <c r="V78" s="76">
        <f t="shared" si="88"/>
        <v>0</v>
      </c>
      <c r="W78" s="309"/>
      <c r="X78" s="313">
        <f t="shared" si="85"/>
        <v>800000</v>
      </c>
      <c r="Y78" s="328"/>
      <c r="Z78" s="329"/>
      <c r="AA78" s="329"/>
      <c r="AB78" s="328"/>
      <c r="AC78" s="330"/>
      <c r="AD78" s="331"/>
      <c r="AE78" s="329"/>
      <c r="AF78" s="328"/>
      <c r="AG78" s="330"/>
      <c r="AH78" s="331"/>
      <c r="AI78" s="329"/>
      <c r="AJ78" s="87"/>
      <c r="AK78" s="86" t="s">
        <v>115</v>
      </c>
      <c r="AL78" s="82">
        <f t="shared" si="81"/>
        <v>50000</v>
      </c>
      <c r="AM78" s="85">
        <f t="shared" si="86"/>
        <v>0</v>
      </c>
      <c r="AN78" s="311">
        <f t="shared" si="89"/>
        <v>0</v>
      </c>
      <c r="AO78" s="78">
        <f t="shared" si="78"/>
        <v>100</v>
      </c>
      <c r="AP78" s="83"/>
      <c r="AQ78" s="322">
        <f>X78+AP78-AN78</f>
        <v>800000</v>
      </c>
      <c r="AR78" s="327">
        <v>50000</v>
      </c>
    </row>
    <row r="79" spans="1:44" s="58" customFormat="1" x14ac:dyDescent="0.2">
      <c r="A79" s="53">
        <v>66</v>
      </c>
      <c r="B79" s="54" t="s">
        <v>278</v>
      </c>
      <c r="C79" s="54" t="s">
        <v>310</v>
      </c>
      <c r="D79" s="55"/>
      <c r="E79" s="55"/>
      <c r="F79" s="53"/>
      <c r="G79" s="55">
        <v>4</v>
      </c>
      <c r="H79" s="55">
        <f t="shared" si="79"/>
        <v>16</v>
      </c>
      <c r="I79" s="53"/>
      <c r="J79" s="56"/>
      <c r="K79" s="56">
        <v>50000</v>
      </c>
      <c r="L79" s="56">
        <f t="shared" si="80"/>
        <v>800000</v>
      </c>
      <c r="M79" s="82"/>
      <c r="N79" s="57"/>
      <c r="O79" s="56"/>
      <c r="P79" s="230"/>
      <c r="Q79" s="88"/>
      <c r="R79" s="76">
        <f t="shared" si="87"/>
        <v>0</v>
      </c>
      <c r="S79" s="88"/>
      <c r="T79" s="76">
        <f t="shared" si="68"/>
        <v>0</v>
      </c>
      <c r="U79" s="89"/>
      <c r="V79" s="76">
        <f t="shared" si="88"/>
        <v>0</v>
      </c>
      <c r="W79" s="309"/>
      <c r="X79" s="313">
        <f t="shared" ref="X79:X80" si="90">J79+L79+M79+O79+R79+T79+V79+W79</f>
        <v>800000</v>
      </c>
      <c r="Y79" s="328"/>
      <c r="Z79" s="329"/>
      <c r="AA79" s="329"/>
      <c r="AB79" s="328"/>
      <c r="AC79" s="330"/>
      <c r="AD79" s="331"/>
      <c r="AE79" s="329"/>
      <c r="AF79" s="328"/>
      <c r="AG79" s="330"/>
      <c r="AH79" s="331"/>
      <c r="AI79" s="329"/>
      <c r="AJ79" s="87"/>
      <c r="AK79" s="86" t="s">
        <v>115</v>
      </c>
      <c r="AL79" s="82">
        <f t="shared" si="81"/>
        <v>50000</v>
      </c>
      <c r="AM79" s="85">
        <f t="shared" ref="AM79:AM80" si="91">AJ79*AL79</f>
        <v>0</v>
      </c>
      <c r="AN79" s="311">
        <f t="shared" ref="AN79:AN80" si="92">AA79+AE79+AI79+AM79</f>
        <v>0</v>
      </c>
      <c r="AO79" s="78">
        <f t="shared" si="78"/>
        <v>100</v>
      </c>
      <c r="AP79" s="83"/>
      <c r="AQ79" s="322">
        <f>X79+AP79-AN79</f>
        <v>800000</v>
      </c>
      <c r="AR79" s="327">
        <v>50000</v>
      </c>
    </row>
    <row r="80" spans="1:44" s="58" customFormat="1" x14ac:dyDescent="0.2">
      <c r="A80" s="53">
        <v>67</v>
      </c>
      <c r="B80" s="54" t="s">
        <v>279</v>
      </c>
      <c r="C80" s="54" t="s">
        <v>311</v>
      </c>
      <c r="D80" s="55"/>
      <c r="E80" s="55"/>
      <c r="F80" s="53"/>
      <c r="G80" s="55">
        <v>4</v>
      </c>
      <c r="H80" s="55">
        <f t="shared" si="79"/>
        <v>16</v>
      </c>
      <c r="I80" s="53"/>
      <c r="J80" s="56"/>
      <c r="K80" s="56">
        <v>50000</v>
      </c>
      <c r="L80" s="56">
        <f t="shared" si="80"/>
        <v>800000</v>
      </c>
      <c r="M80" s="82"/>
      <c r="N80" s="57"/>
      <c r="O80" s="56"/>
      <c r="P80" s="230"/>
      <c r="Q80" s="88"/>
      <c r="R80" s="76">
        <f t="shared" si="87"/>
        <v>0</v>
      </c>
      <c r="S80" s="88"/>
      <c r="T80" s="76">
        <f t="shared" si="68"/>
        <v>0</v>
      </c>
      <c r="U80" s="89"/>
      <c r="V80" s="76">
        <f t="shared" si="88"/>
        <v>0</v>
      </c>
      <c r="W80" s="309"/>
      <c r="X80" s="313">
        <f t="shared" si="90"/>
        <v>800000</v>
      </c>
      <c r="Y80" s="328"/>
      <c r="Z80" s="329"/>
      <c r="AA80" s="329"/>
      <c r="AB80" s="328"/>
      <c r="AC80" s="330"/>
      <c r="AD80" s="331"/>
      <c r="AE80" s="329"/>
      <c r="AF80" s="328"/>
      <c r="AG80" s="330"/>
      <c r="AH80" s="331"/>
      <c r="AI80" s="329"/>
      <c r="AJ80" s="87"/>
      <c r="AK80" s="86" t="s">
        <v>115</v>
      </c>
      <c r="AL80" s="82">
        <f t="shared" si="81"/>
        <v>50000</v>
      </c>
      <c r="AM80" s="85">
        <f t="shared" si="91"/>
        <v>0</v>
      </c>
      <c r="AN80" s="311">
        <f t="shared" si="92"/>
        <v>0</v>
      </c>
      <c r="AO80" s="78">
        <f t="shared" si="78"/>
        <v>100</v>
      </c>
      <c r="AP80" s="83"/>
      <c r="AQ80" s="322">
        <f>X80+AP80-AN80</f>
        <v>800000</v>
      </c>
      <c r="AR80" s="327">
        <v>50000</v>
      </c>
    </row>
    <row r="81" spans="1:44" s="58" customFormat="1" ht="22.5" customHeight="1" x14ac:dyDescent="0.2">
      <c r="A81" s="272" t="s">
        <v>131</v>
      </c>
      <c r="B81" s="272"/>
      <c r="C81" s="272"/>
      <c r="D81" s="272"/>
      <c r="E81" s="272"/>
      <c r="F81" s="272"/>
      <c r="G81" s="272"/>
      <c r="H81" s="272"/>
      <c r="I81" s="272"/>
      <c r="J81" s="272"/>
      <c r="K81" s="272"/>
      <c r="L81" s="272"/>
      <c r="M81" s="272"/>
      <c r="N81" s="272"/>
      <c r="O81" s="272"/>
      <c r="P81" s="272"/>
      <c r="Q81" s="272"/>
      <c r="R81" s="272"/>
      <c r="S81" s="272"/>
      <c r="T81" s="272"/>
      <c r="U81" s="272"/>
      <c r="V81" s="272"/>
      <c r="W81" s="272"/>
      <c r="X81" s="272"/>
      <c r="Y81" s="272"/>
      <c r="Z81" s="272"/>
      <c r="AA81" s="272"/>
      <c r="AB81" s="272"/>
      <c r="AC81" s="272"/>
      <c r="AD81" s="272"/>
      <c r="AE81" s="272"/>
      <c r="AF81" s="272"/>
      <c r="AG81" s="272"/>
      <c r="AH81" s="272"/>
      <c r="AI81" s="272"/>
      <c r="AJ81" s="272"/>
      <c r="AK81" s="272"/>
      <c r="AL81" s="272"/>
      <c r="AM81" s="272"/>
      <c r="AN81" s="272"/>
      <c r="AO81" s="272"/>
      <c r="AP81" s="272"/>
      <c r="AQ81" s="90">
        <f>SUM(AQ9:AQ69)</f>
        <v>110154600</v>
      </c>
      <c r="AR81" s="90">
        <f>SUM(AR9:AR69)</f>
        <v>5675000</v>
      </c>
    </row>
    <row r="82" spans="1:44" ht="14.25" hidden="1" customHeight="1" x14ac:dyDescent="0.2"/>
    <row r="83" spans="1:44" ht="14.25" hidden="1" customHeight="1" x14ac:dyDescent="0.2">
      <c r="A83" s="63" t="s">
        <v>85</v>
      </c>
    </row>
    <row r="84" spans="1:44" ht="14.25" hidden="1" customHeight="1" x14ac:dyDescent="0.2">
      <c r="A84" s="64"/>
      <c r="B84" s="33" t="s">
        <v>86</v>
      </c>
    </row>
    <row r="85" spans="1:44" ht="14.25" hidden="1" customHeight="1" x14ac:dyDescent="0.2">
      <c r="A85" s="65"/>
      <c r="B85" s="33" t="s">
        <v>87</v>
      </c>
      <c r="L85" s="66"/>
    </row>
    <row r="86" spans="1:44" ht="15.75" x14ac:dyDescent="0.2">
      <c r="A86" s="68"/>
      <c r="B86" s="69" t="s">
        <v>70</v>
      </c>
      <c r="C86" s="70"/>
      <c r="D86" s="70"/>
      <c r="E86" s="70"/>
      <c r="F86" s="70"/>
      <c r="G86" s="70"/>
      <c r="H86" s="70"/>
      <c r="I86" s="70"/>
      <c r="J86" s="70"/>
      <c r="K86" s="70"/>
      <c r="N86" s="69"/>
      <c r="P86" s="69"/>
      <c r="Q86" s="69"/>
      <c r="R86" s="69"/>
      <c r="S86" s="69"/>
      <c r="T86" s="69"/>
      <c r="U86" s="69"/>
      <c r="V86" s="15" t="s">
        <v>283</v>
      </c>
      <c r="W86" s="15"/>
      <c r="X86" s="15"/>
      <c r="Y86" s="69"/>
      <c r="Z86" s="69"/>
      <c r="AA86" s="69"/>
      <c r="AB86" s="69"/>
      <c r="AC86" s="69"/>
      <c r="AD86" s="69"/>
      <c r="AF86" s="69"/>
      <c r="AG86" s="69"/>
      <c r="AH86" s="69"/>
      <c r="AJ86" s="69"/>
      <c r="AK86" s="69"/>
      <c r="AL86" s="69"/>
      <c r="AN86" s="15"/>
      <c r="AO86" s="69"/>
    </row>
    <row r="87" spans="1:44" ht="15.75" x14ac:dyDescent="0.2">
      <c r="A87" s="68"/>
      <c r="B87" s="69" t="s">
        <v>63</v>
      </c>
      <c r="C87" s="70"/>
      <c r="D87" s="70"/>
      <c r="E87" s="70"/>
      <c r="F87" s="70"/>
      <c r="G87" s="70"/>
      <c r="H87" s="70"/>
      <c r="I87" s="70"/>
      <c r="J87" s="70"/>
      <c r="K87" s="70"/>
      <c r="N87" s="69"/>
      <c r="P87" s="69"/>
      <c r="Q87" s="69"/>
      <c r="R87" s="69"/>
      <c r="S87" s="69"/>
      <c r="T87" s="69"/>
      <c r="U87" s="69"/>
      <c r="V87" s="13" t="s">
        <v>75</v>
      </c>
      <c r="W87" s="13"/>
      <c r="X87" s="13"/>
      <c r="Y87" s="69"/>
      <c r="Z87" s="69"/>
      <c r="AA87" s="69"/>
      <c r="AB87" s="69"/>
      <c r="AC87" s="69"/>
      <c r="AD87" s="69"/>
      <c r="AF87" s="69"/>
      <c r="AG87" s="69"/>
      <c r="AH87" s="69"/>
      <c r="AJ87" s="69"/>
      <c r="AK87" s="69"/>
      <c r="AL87" s="69"/>
      <c r="AN87" s="13"/>
      <c r="AO87" s="69"/>
    </row>
    <row r="88" spans="1:44" ht="15.75" x14ac:dyDescent="0.2">
      <c r="A88" s="68"/>
      <c r="B88" s="69"/>
      <c r="C88" s="70"/>
      <c r="D88" s="70"/>
      <c r="E88" s="70"/>
      <c r="F88" s="70"/>
      <c r="G88" s="70"/>
      <c r="H88" s="70"/>
      <c r="I88" s="70"/>
      <c r="J88" s="70"/>
      <c r="K88" s="70"/>
      <c r="N88" s="70"/>
      <c r="P88" s="70"/>
      <c r="Q88" s="70"/>
      <c r="R88" s="70"/>
      <c r="S88" s="70"/>
      <c r="T88" s="70"/>
      <c r="U88" s="69"/>
      <c r="V88" s="13"/>
      <c r="W88" s="13"/>
      <c r="X88" s="13"/>
      <c r="Y88" s="69"/>
      <c r="Z88" s="70"/>
      <c r="AA88" s="70"/>
      <c r="AB88" s="69"/>
      <c r="AC88" s="70"/>
      <c r="AD88" s="69"/>
      <c r="AF88" s="69"/>
      <c r="AG88" s="70"/>
      <c r="AH88" s="69"/>
      <c r="AJ88" s="69"/>
      <c r="AK88" s="70"/>
      <c r="AL88" s="69"/>
      <c r="AN88" s="13"/>
      <c r="AO88" s="70"/>
    </row>
    <row r="89" spans="1:44" ht="15.75" x14ac:dyDescent="0.2">
      <c r="A89" s="68"/>
      <c r="B89" s="69"/>
      <c r="C89" s="70"/>
      <c r="D89" s="70"/>
      <c r="E89" s="70"/>
      <c r="F89" s="70"/>
      <c r="G89" s="70"/>
      <c r="H89" s="70"/>
      <c r="I89" s="70"/>
      <c r="J89" s="70"/>
      <c r="K89" s="70"/>
      <c r="N89" s="70"/>
      <c r="P89" s="70"/>
      <c r="Q89" s="70"/>
      <c r="R89" s="70"/>
      <c r="S89" s="70"/>
      <c r="T89" s="70"/>
      <c r="U89" s="69"/>
      <c r="V89" s="13"/>
      <c r="W89" s="13"/>
      <c r="X89" s="13"/>
      <c r="Y89" s="69"/>
      <c r="Z89" s="70"/>
      <c r="AA89" s="70"/>
      <c r="AB89" s="69"/>
      <c r="AC89" s="70"/>
      <c r="AD89" s="69"/>
      <c r="AF89" s="69"/>
      <c r="AG89" s="70"/>
      <c r="AH89" s="69"/>
      <c r="AJ89" s="69"/>
      <c r="AK89" s="70"/>
      <c r="AL89" s="69"/>
      <c r="AN89" s="13"/>
      <c r="AO89" s="70"/>
    </row>
    <row r="90" spans="1:44" ht="15.75" x14ac:dyDescent="0.2">
      <c r="A90" s="68"/>
      <c r="B90" s="69"/>
      <c r="C90" s="70"/>
      <c r="D90" s="70"/>
      <c r="E90" s="70"/>
      <c r="F90" s="70"/>
      <c r="G90" s="70"/>
      <c r="H90" s="70"/>
      <c r="I90" s="70"/>
      <c r="J90" s="70"/>
      <c r="K90" s="70"/>
      <c r="N90" s="70"/>
      <c r="P90" s="70"/>
      <c r="Q90" s="70"/>
      <c r="R90" s="70"/>
      <c r="S90" s="70"/>
      <c r="T90" s="70"/>
      <c r="U90" s="69"/>
      <c r="V90" s="13"/>
      <c r="W90" s="13"/>
      <c r="X90" s="13"/>
      <c r="Y90" s="69"/>
      <c r="Z90" s="70"/>
      <c r="AA90" s="70"/>
      <c r="AB90" s="69"/>
      <c r="AC90" s="70"/>
      <c r="AD90" s="69"/>
      <c r="AF90" s="69"/>
      <c r="AG90" s="70"/>
      <c r="AH90" s="69"/>
      <c r="AJ90" s="69"/>
      <c r="AK90" s="70"/>
      <c r="AL90" s="69"/>
      <c r="AN90" s="13"/>
      <c r="AO90" s="70"/>
    </row>
    <row r="91" spans="1:44" ht="15.75" x14ac:dyDescent="0.2">
      <c r="A91" s="68"/>
      <c r="B91" s="69"/>
      <c r="C91" s="70"/>
      <c r="D91" s="70"/>
      <c r="E91" s="70"/>
      <c r="F91" s="70"/>
      <c r="G91" s="70"/>
      <c r="H91" s="70"/>
      <c r="I91" s="70"/>
      <c r="J91" s="70"/>
      <c r="K91" s="70"/>
      <c r="N91" s="70"/>
      <c r="P91" s="70"/>
      <c r="Q91" s="70"/>
      <c r="R91" s="70"/>
      <c r="S91" s="70"/>
      <c r="T91" s="70"/>
      <c r="U91" s="69"/>
      <c r="V91" s="13"/>
      <c r="W91" s="13"/>
      <c r="X91" s="13"/>
      <c r="Y91" s="69"/>
      <c r="Z91" s="70"/>
      <c r="AA91" s="70"/>
      <c r="AB91" s="69"/>
      <c r="AC91" s="70"/>
      <c r="AD91" s="69"/>
      <c r="AF91" s="69"/>
      <c r="AG91" s="70"/>
      <c r="AH91" s="69"/>
      <c r="AJ91" s="69"/>
      <c r="AK91" s="70"/>
      <c r="AL91" s="69"/>
      <c r="AN91" s="13"/>
      <c r="AO91" s="70"/>
    </row>
    <row r="92" spans="1:44" ht="15.75" x14ac:dyDescent="0.2">
      <c r="A92" s="68"/>
      <c r="B92" s="71" t="s">
        <v>4</v>
      </c>
      <c r="C92" s="72"/>
      <c r="D92" s="72"/>
      <c r="E92" s="72"/>
      <c r="F92" s="72"/>
      <c r="G92" s="70"/>
      <c r="H92" s="70"/>
      <c r="I92" s="70"/>
      <c r="J92" s="70"/>
      <c r="K92" s="70"/>
      <c r="N92" s="71"/>
      <c r="P92" s="71"/>
      <c r="Q92" s="71"/>
      <c r="R92" s="71"/>
      <c r="S92" s="71"/>
      <c r="T92" s="71"/>
      <c r="U92" s="71"/>
      <c r="V92" s="14" t="s">
        <v>76</v>
      </c>
      <c r="W92" s="14"/>
      <c r="X92" s="14"/>
      <c r="Y92" s="71"/>
      <c r="Z92" s="71"/>
      <c r="AA92" s="71"/>
      <c r="AB92" s="71"/>
      <c r="AC92" s="71"/>
      <c r="AD92" s="71"/>
      <c r="AF92" s="71"/>
      <c r="AG92" s="71"/>
      <c r="AH92" s="71"/>
      <c r="AJ92" s="71"/>
      <c r="AK92" s="71"/>
      <c r="AL92" s="71"/>
      <c r="AN92" s="14"/>
      <c r="AO92" s="71"/>
    </row>
    <row r="93" spans="1:44" x14ac:dyDescent="0.2">
      <c r="B93" s="73"/>
      <c r="C93" s="73"/>
      <c r="D93" s="74"/>
      <c r="E93" s="74"/>
      <c r="F93" s="73"/>
      <c r="G93" s="74"/>
      <c r="H93" s="74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4"/>
      <c r="V93" s="73"/>
      <c r="W93" s="73"/>
      <c r="X93" s="73"/>
      <c r="Y93" s="74"/>
      <c r="Z93" s="73"/>
      <c r="AA93" s="73"/>
      <c r="AB93" s="74"/>
      <c r="AC93" s="73"/>
      <c r="AD93" s="74"/>
      <c r="AE93" s="73"/>
      <c r="AF93" s="74"/>
      <c r="AG93" s="73"/>
      <c r="AH93" s="74"/>
      <c r="AI93" s="73"/>
      <c r="AJ93" s="74"/>
      <c r="AK93" s="73"/>
      <c r="AL93" s="74"/>
      <c r="AM93" s="73"/>
      <c r="AN93" s="73"/>
      <c r="AO93" s="74"/>
      <c r="AP93" s="74"/>
      <c r="AQ93" s="73"/>
      <c r="AR93" s="73"/>
    </row>
    <row r="94" spans="1:44" x14ac:dyDescent="0.2">
      <c r="B94" s="73"/>
      <c r="C94" s="73"/>
      <c r="D94" s="74"/>
      <c r="E94" s="74"/>
      <c r="F94" s="73"/>
      <c r="G94" s="74"/>
      <c r="H94" s="74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4"/>
      <c r="V94" s="73"/>
      <c r="W94" s="73"/>
      <c r="X94" s="73"/>
      <c r="Y94" s="74"/>
      <c r="Z94" s="73"/>
      <c r="AA94" s="73"/>
      <c r="AB94" s="74"/>
      <c r="AC94" s="73"/>
      <c r="AD94" s="74"/>
      <c r="AE94" s="73"/>
      <c r="AF94" s="74"/>
      <c r="AG94" s="73"/>
      <c r="AH94" s="74"/>
      <c r="AI94" s="73"/>
      <c r="AJ94" s="74"/>
      <c r="AK94" s="73"/>
      <c r="AL94" s="74"/>
      <c r="AM94" s="73"/>
      <c r="AN94" s="73"/>
      <c r="AO94" s="74"/>
      <c r="AP94" s="74"/>
      <c r="AQ94" s="75"/>
      <c r="AR94" s="75"/>
    </row>
    <row r="96" spans="1:44" x14ac:dyDescent="0.2">
      <c r="AQ96" s="66"/>
      <c r="AR96" s="66"/>
    </row>
  </sheetData>
  <mergeCells count="21">
    <mergeCell ref="AJ6:AM6"/>
    <mergeCell ref="AF6:AI6"/>
    <mergeCell ref="AR6:AR7"/>
    <mergeCell ref="S6:T6"/>
    <mergeCell ref="U6:V6"/>
    <mergeCell ref="Q6:R6"/>
    <mergeCell ref="H6:H7"/>
    <mergeCell ref="AQ6:AQ7"/>
    <mergeCell ref="Y6:AA6"/>
    <mergeCell ref="A81:AP81"/>
    <mergeCell ref="I6:J6"/>
    <mergeCell ref="K6:L6"/>
    <mergeCell ref="AB6:AE6"/>
    <mergeCell ref="AO6:AP6"/>
    <mergeCell ref="O6:P6"/>
    <mergeCell ref="A6:A7"/>
    <mergeCell ref="B6:B7"/>
    <mergeCell ref="C6:C7"/>
    <mergeCell ref="D6:F6"/>
    <mergeCell ref="G6:G7"/>
    <mergeCell ref="M6:N6"/>
  </mergeCells>
  <pageMargins left="0.43307086614173229" right="0.19685039370078741" top="0.51181102362204722" bottom="0.51181102362204722" header="0.31496062992125984" footer="0.31496062992125984"/>
  <pageSetup paperSize="5" scale="80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REF!$H$2:$H$5</xm:f>
          </x14:formula1>
          <xm:sqref>AG9:AG13 AC9:AC13 AC28:AC64 AK18:AK26 AC15:AC16 AK66:AK69 AK9:AK13 AG18:AG26 AC66:AC69 AK15:AK16 AK28:AK64 AC71:AC80 AG28:AG64 AG15:AG16 AG66:AG69 AG71:AG80 AC18:AC26 AK71:AK80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view="pageBreakPreview" zoomScale="145" zoomScaleNormal="115" zoomScaleSheetLayoutView="145" workbookViewId="0">
      <selection activeCell="G12" sqref="G12"/>
    </sheetView>
  </sheetViews>
  <sheetFormatPr defaultRowHeight="16.5" x14ac:dyDescent="0.25"/>
  <cols>
    <col min="1" max="1" width="5.5703125" style="158" customWidth="1"/>
    <col min="2" max="2" width="37.42578125" style="158" bestFit="1" customWidth="1"/>
    <col min="3" max="3" width="14" style="158" bestFit="1" customWidth="1"/>
    <col min="4" max="4" width="12.7109375" style="158" customWidth="1"/>
    <col min="5" max="5" width="20.85546875" style="158" customWidth="1"/>
    <col min="6" max="16384" width="9.140625" style="158"/>
  </cols>
  <sheetData>
    <row r="1" spans="1:5" x14ac:dyDescent="0.25">
      <c r="A1" s="291" t="s">
        <v>205</v>
      </c>
      <c r="B1" s="291"/>
      <c r="C1" s="291"/>
      <c r="D1" s="291"/>
      <c r="E1" s="291"/>
    </row>
    <row r="2" spans="1:5" x14ac:dyDescent="0.25">
      <c r="A2" s="292" t="s">
        <v>64</v>
      </c>
      <c r="B2" s="292"/>
      <c r="C2" s="292"/>
      <c r="D2" s="292"/>
      <c r="E2" s="292"/>
    </row>
    <row r="3" spans="1:5" x14ac:dyDescent="0.25">
      <c r="A3" s="292" t="s">
        <v>211</v>
      </c>
      <c r="B3" s="292"/>
      <c r="C3" s="292"/>
      <c r="D3" s="292"/>
      <c r="E3" s="292"/>
    </row>
    <row r="4" spans="1:5" ht="24" customHeight="1" x14ac:dyDescent="0.25">
      <c r="A4" s="204" t="s">
        <v>0</v>
      </c>
      <c r="B4" s="204" t="s">
        <v>1</v>
      </c>
      <c r="C4" s="204" t="s">
        <v>62</v>
      </c>
      <c r="D4" s="204" t="s">
        <v>215</v>
      </c>
      <c r="E4" s="204" t="s">
        <v>210</v>
      </c>
    </row>
    <row r="5" spans="1:5" ht="26.25" customHeight="1" x14ac:dyDescent="0.25">
      <c r="A5" s="161">
        <v>1</v>
      </c>
      <c r="B5" s="165" t="s">
        <v>4</v>
      </c>
      <c r="C5" s="165" t="s">
        <v>195</v>
      </c>
      <c r="D5" s="164">
        <v>1596000</v>
      </c>
      <c r="E5" s="212">
        <v>1</v>
      </c>
    </row>
    <row r="6" spans="1:5" ht="26.25" customHeight="1" x14ac:dyDescent="0.25">
      <c r="A6" s="161">
        <v>2</v>
      </c>
      <c r="B6" s="165" t="s">
        <v>5</v>
      </c>
      <c r="C6" s="165" t="s">
        <v>195</v>
      </c>
      <c r="D6" s="164">
        <v>1464000</v>
      </c>
      <c r="E6" s="213">
        <v>2</v>
      </c>
    </row>
    <row r="7" spans="1:5" ht="26.25" customHeight="1" x14ac:dyDescent="0.25">
      <c r="A7" s="161">
        <v>3</v>
      </c>
      <c r="B7" s="165" t="s">
        <v>6</v>
      </c>
      <c r="C7" s="165" t="s">
        <v>195</v>
      </c>
      <c r="D7" s="164">
        <v>1384000</v>
      </c>
      <c r="E7" s="212">
        <v>3</v>
      </c>
    </row>
    <row r="8" spans="1:5" ht="26.25" customHeight="1" x14ac:dyDescent="0.25">
      <c r="A8" s="161">
        <v>4</v>
      </c>
      <c r="B8" s="165" t="s">
        <v>166</v>
      </c>
      <c r="C8" s="165" t="s">
        <v>195</v>
      </c>
      <c r="D8" s="164">
        <v>1406500</v>
      </c>
      <c r="E8" s="213">
        <v>4</v>
      </c>
    </row>
    <row r="9" spans="1:5" ht="26.25" customHeight="1" x14ac:dyDescent="0.25">
      <c r="A9" s="161">
        <v>5</v>
      </c>
      <c r="B9" s="165" t="s">
        <v>8</v>
      </c>
      <c r="C9" s="165" t="s">
        <v>195</v>
      </c>
      <c r="D9" s="164">
        <v>1396000</v>
      </c>
      <c r="E9" s="212">
        <v>5</v>
      </c>
    </row>
    <row r="10" spans="1:5" ht="26.25" customHeight="1" x14ac:dyDescent="0.25">
      <c r="A10" s="161">
        <v>6</v>
      </c>
      <c r="B10" s="162" t="s">
        <v>10</v>
      </c>
      <c r="C10" s="165" t="s">
        <v>195</v>
      </c>
      <c r="D10" s="164">
        <v>570000</v>
      </c>
      <c r="E10" s="213">
        <v>6</v>
      </c>
    </row>
    <row r="11" spans="1:5" ht="26.25" customHeight="1" x14ac:dyDescent="0.25">
      <c r="A11" s="161">
        <v>7</v>
      </c>
      <c r="B11" s="162" t="s">
        <v>43</v>
      </c>
      <c r="C11" s="165" t="s">
        <v>195</v>
      </c>
      <c r="D11" s="164">
        <v>426000</v>
      </c>
      <c r="E11" s="212">
        <v>7</v>
      </c>
    </row>
    <row r="12" spans="1:5" ht="26.25" customHeight="1" x14ac:dyDescent="0.25">
      <c r="A12" s="161">
        <v>8</v>
      </c>
      <c r="B12" s="162" t="s">
        <v>197</v>
      </c>
      <c r="C12" s="165" t="s">
        <v>195</v>
      </c>
      <c r="D12" s="164">
        <v>750000</v>
      </c>
      <c r="E12" s="213">
        <v>8</v>
      </c>
    </row>
    <row r="13" spans="1:5" ht="26.25" customHeight="1" x14ac:dyDescent="0.25">
      <c r="A13" s="161">
        <v>9</v>
      </c>
      <c r="B13" s="165" t="s">
        <v>12</v>
      </c>
      <c r="C13" s="165" t="s">
        <v>195</v>
      </c>
      <c r="D13" s="164">
        <v>585000</v>
      </c>
      <c r="E13" s="212">
        <v>9</v>
      </c>
    </row>
    <row r="14" spans="1:5" ht="26.25" customHeight="1" x14ac:dyDescent="0.25">
      <c r="A14" s="161">
        <v>10</v>
      </c>
      <c r="B14" s="165" t="s">
        <v>49</v>
      </c>
      <c r="C14" s="165" t="s">
        <v>195</v>
      </c>
      <c r="D14" s="164">
        <v>585000</v>
      </c>
      <c r="E14" s="213">
        <v>10</v>
      </c>
    </row>
    <row r="15" spans="1:5" ht="26.25" customHeight="1" x14ac:dyDescent="0.25">
      <c r="A15" s="161">
        <v>11</v>
      </c>
      <c r="B15" s="165" t="s">
        <v>60</v>
      </c>
      <c r="C15" s="165" t="s">
        <v>195</v>
      </c>
      <c r="D15" s="164">
        <v>599000</v>
      </c>
      <c r="E15" s="212">
        <v>11</v>
      </c>
    </row>
    <row r="16" spans="1:5" ht="26.25" customHeight="1" x14ac:dyDescent="0.25">
      <c r="A16" s="161">
        <v>12</v>
      </c>
      <c r="B16" s="165" t="s">
        <v>13</v>
      </c>
      <c r="C16" s="165" t="s">
        <v>195</v>
      </c>
      <c r="D16" s="164">
        <v>120000</v>
      </c>
      <c r="E16" s="213">
        <v>12</v>
      </c>
    </row>
    <row r="17" spans="1:5" ht="26.25" customHeight="1" x14ac:dyDescent="0.25">
      <c r="A17" s="161">
        <v>13</v>
      </c>
      <c r="B17" s="165" t="s">
        <v>163</v>
      </c>
      <c r="C17" s="165" t="s">
        <v>208</v>
      </c>
      <c r="D17" s="164">
        <v>322000</v>
      </c>
      <c r="E17" s="212">
        <v>13</v>
      </c>
    </row>
    <row r="18" spans="1:5" ht="26.25" customHeight="1" x14ac:dyDescent="0.25">
      <c r="A18" s="161">
        <v>14</v>
      </c>
      <c r="B18" s="165" t="s">
        <v>98</v>
      </c>
      <c r="C18" s="165" t="s">
        <v>97</v>
      </c>
      <c r="D18" s="164">
        <v>225000</v>
      </c>
      <c r="E18" s="213">
        <v>14</v>
      </c>
    </row>
    <row r="19" spans="1:5" ht="26.25" customHeight="1" x14ac:dyDescent="0.25">
      <c r="A19" s="161">
        <v>15</v>
      </c>
      <c r="B19" s="162" t="s">
        <v>15</v>
      </c>
      <c r="C19" s="162" t="s">
        <v>51</v>
      </c>
      <c r="D19" s="164">
        <v>301000</v>
      </c>
      <c r="E19" s="212">
        <v>15</v>
      </c>
    </row>
    <row r="20" spans="1:5" ht="26.25" customHeight="1" x14ac:dyDescent="0.25">
      <c r="A20" s="161">
        <v>16</v>
      </c>
      <c r="B20" s="162" t="s">
        <v>16</v>
      </c>
      <c r="C20" s="162" t="s">
        <v>51</v>
      </c>
      <c r="D20" s="164">
        <v>267000</v>
      </c>
      <c r="E20" s="213">
        <v>16</v>
      </c>
    </row>
    <row r="21" spans="1:5" ht="26.25" customHeight="1" x14ac:dyDescent="0.25">
      <c r="A21" s="161">
        <v>17</v>
      </c>
      <c r="B21" s="162" t="s">
        <v>17</v>
      </c>
      <c r="C21" s="162" t="s">
        <v>51</v>
      </c>
      <c r="D21" s="164">
        <v>229000</v>
      </c>
      <c r="E21" s="212">
        <v>17</v>
      </c>
    </row>
    <row r="22" spans="1:5" ht="26.25" customHeight="1" x14ac:dyDescent="0.25">
      <c r="A22" s="161">
        <v>18</v>
      </c>
      <c r="B22" s="162" t="s">
        <v>19</v>
      </c>
      <c r="C22" s="162" t="s">
        <v>51</v>
      </c>
      <c r="D22" s="164">
        <v>198000</v>
      </c>
      <c r="E22" s="213">
        <v>18</v>
      </c>
    </row>
    <row r="23" spans="1:5" ht="26.25" customHeight="1" x14ac:dyDescent="0.25">
      <c r="A23" s="161">
        <v>19</v>
      </c>
      <c r="B23" s="162" t="s">
        <v>20</v>
      </c>
      <c r="C23" s="162" t="s">
        <v>51</v>
      </c>
      <c r="D23" s="164">
        <v>481000</v>
      </c>
      <c r="E23" s="212">
        <v>19</v>
      </c>
    </row>
    <row r="24" spans="1:5" ht="26.25" customHeight="1" x14ac:dyDescent="0.25">
      <c r="A24" s="161">
        <v>20</v>
      </c>
      <c r="B24" s="162" t="s">
        <v>21</v>
      </c>
      <c r="C24" s="162" t="s">
        <v>51</v>
      </c>
      <c r="D24" s="164">
        <v>432000</v>
      </c>
      <c r="E24" s="213">
        <v>20</v>
      </c>
    </row>
    <row r="25" spans="1:5" ht="26.25" customHeight="1" x14ac:dyDescent="0.25">
      <c r="A25" s="161">
        <v>21</v>
      </c>
      <c r="B25" s="162" t="s">
        <v>22</v>
      </c>
      <c r="C25" s="162" t="s">
        <v>51</v>
      </c>
      <c r="D25" s="164">
        <v>358000</v>
      </c>
      <c r="E25" s="212">
        <v>21</v>
      </c>
    </row>
    <row r="26" spans="1:5" ht="26.25" customHeight="1" x14ac:dyDescent="0.25">
      <c r="A26" s="161">
        <v>22</v>
      </c>
      <c r="B26" s="162" t="s">
        <v>23</v>
      </c>
      <c r="C26" s="162" t="s">
        <v>51</v>
      </c>
      <c r="D26" s="164">
        <v>343000</v>
      </c>
      <c r="E26" s="213">
        <v>22</v>
      </c>
    </row>
    <row r="27" spans="1:5" ht="26.25" customHeight="1" x14ac:dyDescent="0.25">
      <c r="A27" s="161">
        <v>23</v>
      </c>
      <c r="B27" s="162" t="s">
        <v>14</v>
      </c>
      <c r="C27" s="162" t="s">
        <v>51</v>
      </c>
      <c r="D27" s="164">
        <v>180000</v>
      </c>
      <c r="E27" s="212">
        <v>23</v>
      </c>
    </row>
    <row r="28" spans="1:5" ht="26.25" customHeight="1" x14ac:dyDescent="0.25">
      <c r="A28" s="161">
        <v>24</v>
      </c>
      <c r="B28" s="162" t="s">
        <v>24</v>
      </c>
      <c r="C28" s="162" t="s">
        <v>51</v>
      </c>
      <c r="D28" s="164">
        <v>178000</v>
      </c>
      <c r="E28" s="213">
        <v>24</v>
      </c>
    </row>
    <row r="29" spans="1:5" ht="26.25" customHeight="1" x14ac:dyDescent="0.25">
      <c r="A29" s="161">
        <v>25</v>
      </c>
      <c r="B29" s="162" t="s">
        <v>25</v>
      </c>
      <c r="C29" s="162" t="s">
        <v>51</v>
      </c>
      <c r="D29" s="164">
        <v>180000</v>
      </c>
      <c r="E29" s="212">
        <v>25</v>
      </c>
    </row>
    <row r="30" spans="1:5" ht="26.25" customHeight="1" x14ac:dyDescent="0.25">
      <c r="A30" s="161">
        <v>26</v>
      </c>
      <c r="B30" s="162" t="s">
        <v>68</v>
      </c>
      <c r="C30" s="162" t="s">
        <v>51</v>
      </c>
      <c r="D30" s="164">
        <v>133000</v>
      </c>
      <c r="E30" s="213">
        <v>26</v>
      </c>
    </row>
    <row r="31" spans="1:5" ht="26.25" customHeight="1" x14ac:dyDescent="0.25">
      <c r="A31" s="161">
        <v>27</v>
      </c>
      <c r="B31" s="162" t="s">
        <v>26</v>
      </c>
      <c r="C31" s="162" t="s">
        <v>51</v>
      </c>
      <c r="D31" s="164">
        <v>184000</v>
      </c>
      <c r="E31" s="212">
        <v>27</v>
      </c>
    </row>
    <row r="32" spans="1:5" ht="26.25" customHeight="1" x14ac:dyDescent="0.25">
      <c r="A32" s="161">
        <v>28</v>
      </c>
      <c r="B32" s="162" t="s">
        <v>27</v>
      </c>
      <c r="C32" s="162" t="s">
        <v>51</v>
      </c>
      <c r="D32" s="164">
        <v>182000</v>
      </c>
      <c r="E32" s="213">
        <v>28</v>
      </c>
    </row>
    <row r="33" spans="1:5" ht="26.25" customHeight="1" x14ac:dyDescent="0.25">
      <c r="A33" s="161">
        <v>29</v>
      </c>
      <c r="B33" s="162" t="s">
        <v>41</v>
      </c>
      <c r="C33" s="162" t="s">
        <v>51</v>
      </c>
      <c r="D33" s="164">
        <v>151000</v>
      </c>
      <c r="E33" s="212">
        <v>29</v>
      </c>
    </row>
    <row r="34" spans="1:5" ht="26.25" customHeight="1" x14ac:dyDescent="0.25">
      <c r="A34" s="161">
        <v>30</v>
      </c>
      <c r="B34" s="162" t="s">
        <v>69</v>
      </c>
      <c r="C34" s="162" t="s">
        <v>51</v>
      </c>
      <c r="D34" s="164">
        <v>202000</v>
      </c>
      <c r="E34" s="213">
        <v>30</v>
      </c>
    </row>
    <row r="35" spans="1:5" ht="26.25" customHeight="1" x14ac:dyDescent="0.25">
      <c r="A35" s="161">
        <v>31</v>
      </c>
      <c r="B35" s="162" t="s">
        <v>42</v>
      </c>
      <c r="C35" s="162" t="s">
        <v>51</v>
      </c>
      <c r="D35" s="164">
        <v>170000</v>
      </c>
      <c r="E35" s="212">
        <v>31</v>
      </c>
    </row>
    <row r="36" spans="1:5" ht="26.25" customHeight="1" x14ac:dyDescent="0.25">
      <c r="A36" s="161">
        <v>32</v>
      </c>
      <c r="B36" s="162" t="s">
        <v>50</v>
      </c>
      <c r="C36" s="162" t="s">
        <v>51</v>
      </c>
      <c r="D36" s="164">
        <v>173000</v>
      </c>
      <c r="E36" s="213">
        <v>32</v>
      </c>
    </row>
    <row r="37" spans="1:5" ht="26.25" customHeight="1" x14ac:dyDescent="0.25">
      <c r="A37" s="161">
        <v>33</v>
      </c>
      <c r="B37" s="162" t="s">
        <v>28</v>
      </c>
      <c r="C37" s="162" t="s">
        <v>51</v>
      </c>
      <c r="D37" s="164">
        <v>508000</v>
      </c>
      <c r="E37" s="212">
        <v>33</v>
      </c>
    </row>
    <row r="38" spans="1:5" ht="26.25" customHeight="1" x14ac:dyDescent="0.25">
      <c r="A38" s="161">
        <v>34</v>
      </c>
      <c r="B38" s="162" t="s">
        <v>29</v>
      </c>
      <c r="C38" s="162" t="s">
        <v>51</v>
      </c>
      <c r="D38" s="164">
        <v>312000</v>
      </c>
      <c r="E38" s="213">
        <v>34</v>
      </c>
    </row>
    <row r="39" spans="1:5" ht="26.25" customHeight="1" x14ac:dyDescent="0.25">
      <c r="A39" s="161">
        <v>35</v>
      </c>
      <c r="B39" s="162" t="s">
        <v>30</v>
      </c>
      <c r="C39" s="162" t="s">
        <v>51</v>
      </c>
      <c r="D39" s="164">
        <v>430000</v>
      </c>
      <c r="E39" s="212">
        <v>35</v>
      </c>
    </row>
    <row r="40" spans="1:5" ht="26.25" customHeight="1" x14ac:dyDescent="0.25">
      <c r="A40" s="161">
        <v>36</v>
      </c>
      <c r="B40" s="162" t="s">
        <v>31</v>
      </c>
      <c r="C40" s="162" t="s">
        <v>51</v>
      </c>
      <c r="D40" s="164">
        <v>463000</v>
      </c>
      <c r="E40" s="213">
        <v>36</v>
      </c>
    </row>
    <row r="41" spans="1:5" ht="26.25" customHeight="1" x14ac:dyDescent="0.25">
      <c r="A41" s="161">
        <v>37</v>
      </c>
      <c r="B41" s="162" t="s">
        <v>32</v>
      </c>
      <c r="C41" s="162" t="s">
        <v>51</v>
      </c>
      <c r="D41" s="164">
        <v>437000</v>
      </c>
      <c r="E41" s="212">
        <v>37</v>
      </c>
    </row>
    <row r="42" spans="1:5" ht="26.25" customHeight="1" x14ac:dyDescent="0.25">
      <c r="A42" s="161">
        <v>38</v>
      </c>
      <c r="B42" s="162" t="s">
        <v>33</v>
      </c>
      <c r="C42" s="162" t="s">
        <v>51</v>
      </c>
      <c r="D42" s="164">
        <v>487000</v>
      </c>
      <c r="E42" s="213">
        <v>38</v>
      </c>
    </row>
    <row r="43" spans="1:5" ht="26.25" customHeight="1" x14ac:dyDescent="0.25">
      <c r="A43" s="161">
        <v>39</v>
      </c>
      <c r="B43" s="162" t="s">
        <v>34</v>
      </c>
      <c r="C43" s="162" t="s">
        <v>51</v>
      </c>
      <c r="D43" s="164">
        <v>528000</v>
      </c>
      <c r="E43" s="212">
        <v>39</v>
      </c>
    </row>
    <row r="44" spans="1:5" ht="26.25" customHeight="1" x14ac:dyDescent="0.25">
      <c r="A44" s="161">
        <v>40</v>
      </c>
      <c r="B44" s="162" t="s">
        <v>35</v>
      </c>
      <c r="C44" s="162" t="s">
        <v>51</v>
      </c>
      <c r="D44" s="164">
        <v>405000</v>
      </c>
      <c r="E44" s="213">
        <v>40</v>
      </c>
    </row>
    <row r="45" spans="1:5" ht="26.25" customHeight="1" x14ac:dyDescent="0.25">
      <c r="A45" s="161">
        <v>41</v>
      </c>
      <c r="B45" s="162" t="s">
        <v>36</v>
      </c>
      <c r="C45" s="162" t="s">
        <v>51</v>
      </c>
      <c r="D45" s="164">
        <v>552000</v>
      </c>
      <c r="E45" s="212">
        <v>41</v>
      </c>
    </row>
    <row r="46" spans="1:5" ht="26.25" customHeight="1" x14ac:dyDescent="0.25">
      <c r="A46" s="161">
        <v>42</v>
      </c>
      <c r="B46" s="162" t="s">
        <v>37</v>
      </c>
      <c r="C46" s="162" t="s">
        <v>51</v>
      </c>
      <c r="D46" s="164">
        <v>474000</v>
      </c>
      <c r="E46" s="213">
        <v>42</v>
      </c>
    </row>
    <row r="47" spans="1:5" ht="26.25" customHeight="1" x14ac:dyDescent="0.25">
      <c r="A47" s="161">
        <v>43</v>
      </c>
      <c r="B47" s="162" t="s">
        <v>38</v>
      </c>
      <c r="C47" s="162" t="s">
        <v>51</v>
      </c>
      <c r="D47" s="164">
        <v>406000</v>
      </c>
      <c r="E47" s="212">
        <v>43</v>
      </c>
    </row>
    <row r="48" spans="1:5" ht="26.25" customHeight="1" x14ac:dyDescent="0.25">
      <c r="A48" s="161">
        <v>44</v>
      </c>
      <c r="B48" s="162" t="s">
        <v>39</v>
      </c>
      <c r="C48" s="162" t="s">
        <v>51</v>
      </c>
      <c r="D48" s="164">
        <v>448000</v>
      </c>
      <c r="E48" s="213">
        <v>44</v>
      </c>
    </row>
    <row r="49" spans="1:5" ht="26.25" customHeight="1" x14ac:dyDescent="0.25">
      <c r="A49" s="161">
        <v>45</v>
      </c>
      <c r="B49" s="162" t="s">
        <v>40</v>
      </c>
      <c r="C49" s="162" t="s">
        <v>51</v>
      </c>
      <c r="D49" s="164">
        <v>214000</v>
      </c>
      <c r="E49" s="212">
        <v>45</v>
      </c>
    </row>
    <row r="50" spans="1:5" ht="26.25" customHeight="1" x14ac:dyDescent="0.25">
      <c r="A50" s="161">
        <v>46</v>
      </c>
      <c r="B50" s="162" t="s">
        <v>18</v>
      </c>
      <c r="C50" s="162" t="s">
        <v>51</v>
      </c>
      <c r="D50" s="164">
        <v>537000</v>
      </c>
      <c r="E50" s="213">
        <v>46</v>
      </c>
    </row>
    <row r="51" spans="1:5" ht="26.25" customHeight="1" x14ac:dyDescent="0.25">
      <c r="A51" s="161">
        <v>47</v>
      </c>
      <c r="B51" s="162" t="s">
        <v>133</v>
      </c>
      <c r="C51" s="165" t="s">
        <v>199</v>
      </c>
      <c r="D51" s="164">
        <v>202000</v>
      </c>
      <c r="E51" s="212">
        <v>47</v>
      </c>
    </row>
    <row r="52" spans="1:5" ht="26.25" customHeight="1" x14ac:dyDescent="0.25">
      <c r="A52" s="161">
        <v>48</v>
      </c>
      <c r="B52" s="162" t="s">
        <v>165</v>
      </c>
      <c r="C52" s="165" t="s">
        <v>199</v>
      </c>
      <c r="D52" s="164">
        <v>202000</v>
      </c>
      <c r="E52" s="213">
        <v>48</v>
      </c>
    </row>
    <row r="53" spans="1:5" ht="26.25" customHeight="1" x14ac:dyDescent="0.25">
      <c r="A53" s="161">
        <v>49</v>
      </c>
      <c r="B53" s="165" t="s">
        <v>45</v>
      </c>
      <c r="C53" s="162" t="s">
        <v>130</v>
      </c>
      <c r="D53" s="164">
        <v>207000</v>
      </c>
      <c r="E53" s="212">
        <v>49</v>
      </c>
    </row>
    <row r="54" spans="1:5" ht="26.25" customHeight="1" x14ac:dyDescent="0.25">
      <c r="A54" s="161">
        <v>50</v>
      </c>
      <c r="B54" s="165" t="s">
        <v>46</v>
      </c>
      <c r="C54" s="162" t="s">
        <v>130</v>
      </c>
      <c r="D54" s="164">
        <v>207000</v>
      </c>
      <c r="E54" s="213">
        <v>50</v>
      </c>
    </row>
    <row r="55" spans="1:5" ht="26.25" customHeight="1" x14ac:dyDescent="0.25">
      <c r="A55" s="161">
        <v>51</v>
      </c>
      <c r="B55" s="165" t="s">
        <v>47</v>
      </c>
      <c r="C55" s="162" t="s">
        <v>130</v>
      </c>
      <c r="D55" s="164">
        <v>207000</v>
      </c>
      <c r="E55" s="212">
        <v>51</v>
      </c>
    </row>
    <row r="56" spans="1:5" ht="26.25" customHeight="1" x14ac:dyDescent="0.25">
      <c r="A56" s="161">
        <v>52</v>
      </c>
      <c r="B56" s="165" t="s">
        <v>175</v>
      </c>
      <c r="C56" s="165" t="s">
        <v>200</v>
      </c>
      <c r="D56" s="164">
        <v>169000</v>
      </c>
      <c r="E56" s="213">
        <v>52</v>
      </c>
    </row>
    <row r="57" spans="1:5" ht="26.25" customHeight="1" x14ac:dyDescent="0.25">
      <c r="A57" s="161">
        <v>53</v>
      </c>
      <c r="B57" s="165" t="s">
        <v>176</v>
      </c>
      <c r="C57" s="165" t="s">
        <v>200</v>
      </c>
      <c r="D57" s="164">
        <v>166000</v>
      </c>
      <c r="E57" s="212">
        <v>53</v>
      </c>
    </row>
    <row r="58" spans="1:5" ht="26.25" customHeight="1" x14ac:dyDescent="0.25">
      <c r="A58" s="161">
        <v>54</v>
      </c>
      <c r="B58" s="165" t="s">
        <v>177</v>
      </c>
      <c r="C58" s="165" t="s">
        <v>200</v>
      </c>
      <c r="D58" s="164">
        <v>167000</v>
      </c>
      <c r="E58" s="213">
        <v>54</v>
      </c>
    </row>
    <row r="59" spans="1:5" ht="21.75" customHeight="1" x14ac:dyDescent="0.25">
      <c r="A59" s="214"/>
      <c r="B59" s="214"/>
      <c r="C59" s="214"/>
      <c r="D59" s="215">
        <f>SUM(D5:D58)</f>
        <v>23498500</v>
      </c>
      <c r="E59" s="215"/>
    </row>
    <row r="61" spans="1:5" x14ac:dyDescent="0.25">
      <c r="D61" s="205" t="s">
        <v>217</v>
      </c>
    </row>
    <row r="62" spans="1:5" x14ac:dyDescent="0.25">
      <c r="B62" s="205" t="s">
        <v>100</v>
      </c>
      <c r="D62" s="205" t="s">
        <v>212</v>
      </c>
    </row>
    <row r="63" spans="1:5" x14ac:dyDescent="0.25">
      <c r="B63" s="205"/>
      <c r="D63" s="205"/>
    </row>
    <row r="64" spans="1:5" x14ac:dyDescent="0.25">
      <c r="B64" s="205"/>
      <c r="D64" s="205"/>
    </row>
    <row r="65" spans="2:4" x14ac:dyDescent="0.25">
      <c r="B65" s="205"/>
      <c r="D65" s="205"/>
    </row>
    <row r="66" spans="2:4" x14ac:dyDescent="0.25">
      <c r="B66" s="206" t="s">
        <v>218</v>
      </c>
      <c r="D66" s="206" t="s">
        <v>213</v>
      </c>
    </row>
  </sheetData>
  <mergeCells count="3">
    <mergeCell ref="A1:E1"/>
    <mergeCell ref="A2:E2"/>
    <mergeCell ref="A3:E3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0" r:id="rId1"/>
  <rowBreaks count="1" manualBreakCount="1">
    <brk id="36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="130" zoomScaleNormal="130" workbookViewId="0">
      <selection activeCell="B20" sqref="B20"/>
    </sheetView>
  </sheetViews>
  <sheetFormatPr defaultRowHeight="15.75" x14ac:dyDescent="0.25"/>
  <cols>
    <col min="1" max="1" width="5.140625" style="16" customWidth="1"/>
    <col min="2" max="2" width="36.7109375" style="16" bestFit="1" customWidth="1"/>
    <col min="3" max="3" width="24.85546875" style="27" bestFit="1" customWidth="1"/>
    <col min="4" max="4" width="13.140625" style="16" customWidth="1"/>
    <col min="5" max="6" width="9.28515625" style="16" customWidth="1"/>
  </cols>
  <sheetData>
    <row r="1" spans="1:6" x14ac:dyDescent="0.25">
      <c r="A1" s="275" t="s">
        <v>92</v>
      </c>
      <c r="B1" s="275"/>
      <c r="C1" s="275"/>
      <c r="D1" s="275"/>
      <c r="E1" s="275"/>
      <c r="F1" s="275"/>
    </row>
    <row r="2" spans="1:6" x14ac:dyDescent="0.25">
      <c r="A2" s="275" t="s">
        <v>77</v>
      </c>
      <c r="B2" s="275"/>
      <c r="C2" s="275"/>
      <c r="D2" s="275"/>
      <c r="E2" s="275"/>
      <c r="F2" s="275"/>
    </row>
    <row r="3" spans="1:6" x14ac:dyDescent="0.25">
      <c r="A3" s="276" t="s">
        <v>78</v>
      </c>
      <c r="B3" s="276"/>
      <c r="C3" s="276"/>
      <c r="D3" s="276"/>
      <c r="E3" s="276"/>
      <c r="F3" s="276"/>
    </row>
    <row r="4" spans="1:6" x14ac:dyDescent="0.25">
      <c r="A4" s="1"/>
      <c r="B4" s="1"/>
      <c r="C4" s="8"/>
      <c r="D4" s="1"/>
      <c r="E4" s="1"/>
      <c r="F4" s="1"/>
    </row>
    <row r="5" spans="1:6" x14ac:dyDescent="0.25">
      <c r="A5" s="95" t="str">
        <f>GAJI!A4</f>
        <v>BULAN : SEPTEMBER 2022</v>
      </c>
      <c r="B5" s="2"/>
      <c r="C5" s="8"/>
      <c r="D5" s="1"/>
      <c r="E5" s="1"/>
      <c r="F5" s="1"/>
    </row>
    <row r="6" spans="1:6" x14ac:dyDescent="0.25">
      <c r="A6" s="26" t="s">
        <v>0</v>
      </c>
      <c r="B6" s="26" t="s">
        <v>1</v>
      </c>
      <c r="C6" s="26" t="s">
        <v>2</v>
      </c>
      <c r="D6" s="26" t="s">
        <v>79</v>
      </c>
      <c r="E6" s="277" t="s">
        <v>80</v>
      </c>
      <c r="F6" s="277"/>
    </row>
    <row r="7" spans="1:6" x14ac:dyDescent="0.25">
      <c r="A7" s="9">
        <v>1</v>
      </c>
      <c r="B7" s="10" t="s">
        <v>4</v>
      </c>
      <c r="C7" s="11" t="s">
        <v>63</v>
      </c>
      <c r="D7" s="12">
        <v>500000</v>
      </c>
      <c r="E7" s="11">
        <v>1</v>
      </c>
      <c r="F7" s="11"/>
    </row>
    <row r="8" spans="1:6" x14ac:dyDescent="0.25">
      <c r="A8" s="9">
        <v>2</v>
      </c>
      <c r="B8" s="10" t="s">
        <v>5</v>
      </c>
      <c r="C8" s="11" t="s">
        <v>83</v>
      </c>
      <c r="D8" s="12">
        <v>300000</v>
      </c>
      <c r="E8" s="11"/>
      <c r="F8" s="11">
        <v>2</v>
      </c>
    </row>
    <row r="9" spans="1:6" x14ac:dyDescent="0.25">
      <c r="A9" s="9">
        <v>3</v>
      </c>
      <c r="B9" s="10" t="s">
        <v>44</v>
      </c>
      <c r="C9" s="11" t="s">
        <v>59</v>
      </c>
      <c r="D9" s="12">
        <v>250000</v>
      </c>
      <c r="E9" s="11">
        <v>3</v>
      </c>
      <c r="F9" s="11"/>
    </row>
    <row r="10" spans="1:6" x14ac:dyDescent="0.25">
      <c r="A10" s="9">
        <v>4</v>
      </c>
      <c r="B10" s="10" t="s">
        <v>102</v>
      </c>
      <c r="C10" s="11" t="s">
        <v>59</v>
      </c>
      <c r="D10" s="12">
        <v>200000</v>
      </c>
      <c r="E10" s="11"/>
      <c r="F10" s="11">
        <v>4</v>
      </c>
    </row>
    <row r="11" spans="1:6" x14ac:dyDescent="0.25">
      <c r="A11" s="9">
        <v>5</v>
      </c>
      <c r="B11" s="10" t="s">
        <v>48</v>
      </c>
      <c r="C11" s="11" t="s">
        <v>59</v>
      </c>
      <c r="D11" s="12">
        <v>200000</v>
      </c>
      <c r="E11" s="11">
        <v>5</v>
      </c>
      <c r="F11" s="11"/>
    </row>
    <row r="12" spans="1:6" x14ac:dyDescent="0.25">
      <c r="A12" s="9">
        <v>6</v>
      </c>
      <c r="B12" s="10" t="s">
        <v>6</v>
      </c>
      <c r="C12" s="11" t="s">
        <v>101</v>
      </c>
      <c r="D12" s="12">
        <v>300000</v>
      </c>
      <c r="E12" s="11"/>
      <c r="F12" s="11">
        <v>6</v>
      </c>
    </row>
    <row r="13" spans="1:6" x14ac:dyDescent="0.25">
      <c r="A13" s="9">
        <v>7</v>
      </c>
      <c r="B13" s="10" t="s">
        <v>7</v>
      </c>
      <c r="C13" s="11" t="s">
        <v>83</v>
      </c>
      <c r="D13" s="12">
        <v>300000</v>
      </c>
      <c r="E13" s="11">
        <v>7</v>
      </c>
      <c r="F13" s="11"/>
    </row>
    <row r="14" spans="1:6" x14ac:dyDescent="0.25">
      <c r="A14" s="9">
        <v>8</v>
      </c>
      <c r="B14" s="10" t="s">
        <v>81</v>
      </c>
      <c r="C14" s="11" t="s">
        <v>83</v>
      </c>
      <c r="D14" s="12">
        <v>300000</v>
      </c>
      <c r="E14" s="11"/>
      <c r="F14" s="11">
        <v>8</v>
      </c>
    </row>
    <row r="15" spans="1:6" x14ac:dyDescent="0.25">
      <c r="A15" s="9">
        <v>9</v>
      </c>
      <c r="B15" s="10" t="s">
        <v>49</v>
      </c>
      <c r="C15" s="11" t="s">
        <v>84</v>
      </c>
      <c r="D15" s="12">
        <v>100000</v>
      </c>
      <c r="E15" s="11">
        <v>9</v>
      </c>
      <c r="F15" s="11"/>
    </row>
    <row r="16" spans="1:6" x14ac:dyDescent="0.25">
      <c r="A16" s="9">
        <v>10</v>
      </c>
      <c r="B16" s="10" t="s">
        <v>82</v>
      </c>
      <c r="C16" s="11" t="s">
        <v>84</v>
      </c>
      <c r="D16" s="12">
        <v>100000</v>
      </c>
      <c r="E16" s="11"/>
      <c r="F16" s="11">
        <v>10</v>
      </c>
    </row>
    <row r="17" spans="1:6" x14ac:dyDescent="0.25">
      <c r="A17" s="17"/>
      <c r="B17" s="17"/>
      <c r="C17" s="18"/>
      <c r="D17" s="19">
        <f>SUM(D7:D16)</f>
        <v>2550000</v>
      </c>
      <c r="E17" s="17"/>
      <c r="F17" s="17"/>
    </row>
    <row r="19" spans="1:6" x14ac:dyDescent="0.25">
      <c r="B19" s="24" t="s">
        <v>70</v>
      </c>
      <c r="C19" s="3"/>
      <c r="D19" s="24" t="e">
        <f>GAJI!#REF!</f>
        <v>#REF!</v>
      </c>
      <c r="E19" s="3"/>
    </row>
    <row r="20" spans="1:6" x14ac:dyDescent="0.25">
      <c r="B20" s="24" t="s">
        <v>63</v>
      </c>
      <c r="C20" s="3"/>
      <c r="D20" s="24" t="s">
        <v>75</v>
      </c>
      <c r="E20" s="3"/>
    </row>
    <row r="21" spans="1:6" x14ac:dyDescent="0.25">
      <c r="B21" s="24"/>
      <c r="C21" s="3"/>
      <c r="D21" s="3"/>
      <c r="E21" s="3"/>
    </row>
    <row r="22" spans="1:6" x14ac:dyDescent="0.25">
      <c r="B22" s="24"/>
      <c r="C22" s="3"/>
      <c r="D22" s="3"/>
      <c r="E22" s="3"/>
    </row>
    <row r="23" spans="1:6" x14ac:dyDescent="0.25">
      <c r="B23" s="24"/>
      <c r="C23" s="3"/>
      <c r="D23" s="3"/>
      <c r="E23" s="3"/>
    </row>
    <row r="24" spans="1:6" x14ac:dyDescent="0.25">
      <c r="B24" s="24"/>
      <c r="C24" s="3"/>
      <c r="D24" s="3"/>
      <c r="E24" s="3"/>
    </row>
    <row r="25" spans="1:6" x14ac:dyDescent="0.25">
      <c r="B25" s="25" t="s">
        <v>4</v>
      </c>
      <c r="C25" s="6"/>
      <c r="D25" s="25" t="s">
        <v>76</v>
      </c>
      <c r="E25" s="6"/>
    </row>
    <row r="26" spans="1:6" x14ac:dyDescent="0.25">
      <c r="A26" s="7"/>
      <c r="B26" s="7"/>
      <c r="C26" s="7"/>
      <c r="D26" s="7"/>
      <c r="E26" s="7"/>
      <c r="F26" s="7"/>
    </row>
    <row r="27" spans="1:6" x14ac:dyDescent="0.25">
      <c r="A27" s="7"/>
      <c r="B27" s="7"/>
      <c r="C27" s="7"/>
      <c r="D27" s="7"/>
      <c r="E27" s="7"/>
      <c r="F27" s="7"/>
    </row>
  </sheetData>
  <mergeCells count="4">
    <mergeCell ref="A1:F1"/>
    <mergeCell ref="A2:F2"/>
    <mergeCell ref="A3:F3"/>
    <mergeCell ref="E6:F6"/>
  </mergeCells>
  <pageMargins left="0.70866141732283472" right="0.70866141732283472" top="0.74803149606299213" bottom="0.74803149606299213" header="0.31496062992125984" footer="0.31496062992125984"/>
  <pageSetup paperSize="9" scale="85" orientation="portrait" horizontalDpi="4294967293" verticalDpi="0" copies="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145" zoomScaleNormal="145" workbookViewId="0">
      <selection sqref="A1:B23"/>
    </sheetView>
  </sheetViews>
  <sheetFormatPr defaultRowHeight="15" x14ac:dyDescent="0.25"/>
  <cols>
    <col min="1" max="2" width="9.140625" style="4"/>
    <col min="3" max="3" width="5" style="4" customWidth="1"/>
    <col min="4" max="4" width="5.5703125" style="5" customWidth="1"/>
    <col min="5" max="5" width="18.7109375" style="4" bestFit="1" customWidth="1"/>
    <col min="6" max="6" width="8" style="4" bestFit="1" customWidth="1"/>
    <col min="7" max="7" width="9.140625" style="4"/>
    <col min="8" max="8" width="13.7109375" style="4" bestFit="1" customWidth="1"/>
    <col min="9" max="16384" width="9.140625" style="4"/>
  </cols>
  <sheetData>
    <row r="1" spans="1:8" ht="15.75" x14ac:dyDescent="0.25">
      <c r="A1" s="280" t="s">
        <v>3</v>
      </c>
      <c r="B1" s="280"/>
      <c r="D1" s="281" t="s">
        <v>93</v>
      </c>
      <c r="E1" s="281"/>
      <c r="F1" s="281"/>
      <c r="H1" s="30" t="s">
        <v>121</v>
      </c>
    </row>
    <row r="2" spans="1:8" ht="15.75" x14ac:dyDescent="0.25">
      <c r="A2" s="20" t="s">
        <v>54</v>
      </c>
      <c r="B2" s="20" t="s">
        <v>11</v>
      </c>
      <c r="D2" s="21">
        <v>1</v>
      </c>
      <c r="E2" s="22" t="s">
        <v>51</v>
      </c>
      <c r="F2" s="23">
        <v>66000</v>
      </c>
    </row>
    <row r="3" spans="1:8" ht="15.75" x14ac:dyDescent="0.25">
      <c r="A3" s="20">
        <v>0</v>
      </c>
      <c r="B3" s="20">
        <v>1500</v>
      </c>
      <c r="D3" s="21">
        <v>2</v>
      </c>
      <c r="E3" s="22" t="s">
        <v>52</v>
      </c>
      <c r="F3" s="23">
        <v>56000</v>
      </c>
      <c r="H3" s="5" t="s">
        <v>118</v>
      </c>
    </row>
    <row r="4" spans="1:8" ht="15.75" x14ac:dyDescent="0.25">
      <c r="A4" s="20">
        <v>1</v>
      </c>
      <c r="B4" s="20">
        <v>1500</v>
      </c>
      <c r="D4" s="21">
        <v>3</v>
      </c>
      <c r="E4" s="22" t="s">
        <v>94</v>
      </c>
      <c r="F4" s="23">
        <v>61000</v>
      </c>
      <c r="H4" s="5" t="s">
        <v>119</v>
      </c>
    </row>
    <row r="5" spans="1:8" ht="15.75" x14ac:dyDescent="0.25">
      <c r="A5" s="20">
        <v>2</v>
      </c>
      <c r="B5" s="20">
        <v>2500</v>
      </c>
      <c r="D5" s="21">
        <v>4</v>
      </c>
      <c r="E5" s="22" t="s">
        <v>95</v>
      </c>
      <c r="F5" s="23">
        <v>48500</v>
      </c>
      <c r="H5" s="5" t="s">
        <v>115</v>
      </c>
    </row>
    <row r="6" spans="1:8" ht="15.75" x14ac:dyDescent="0.25">
      <c r="A6" s="20">
        <v>3</v>
      </c>
      <c r="B6" s="20">
        <v>2500</v>
      </c>
      <c r="D6" s="21">
        <v>5</v>
      </c>
      <c r="E6" s="22" t="s">
        <v>96</v>
      </c>
      <c r="F6" s="23"/>
    </row>
    <row r="7" spans="1:8" ht="15.75" x14ac:dyDescent="0.25">
      <c r="A7" s="20">
        <v>4</v>
      </c>
      <c r="B7" s="20">
        <v>2500</v>
      </c>
      <c r="D7" s="21">
        <v>6</v>
      </c>
      <c r="E7" s="22" t="s">
        <v>97</v>
      </c>
      <c r="F7" s="23">
        <v>54500</v>
      </c>
    </row>
    <row r="8" spans="1:8" ht="15.75" x14ac:dyDescent="0.25">
      <c r="A8" s="20">
        <v>5</v>
      </c>
      <c r="B8" s="20">
        <v>3000</v>
      </c>
    </row>
    <row r="9" spans="1:8" ht="15.75" x14ac:dyDescent="0.25">
      <c r="A9" s="20">
        <v>6</v>
      </c>
      <c r="B9" s="20">
        <v>3000</v>
      </c>
      <c r="D9" s="278" t="s">
        <v>113</v>
      </c>
      <c r="E9" s="278"/>
      <c r="F9" s="278"/>
    </row>
    <row r="10" spans="1:8" ht="15.75" x14ac:dyDescent="0.25">
      <c r="A10" s="20">
        <v>7</v>
      </c>
      <c r="B10" s="20">
        <v>3000</v>
      </c>
      <c r="D10" s="29" t="s">
        <v>117</v>
      </c>
      <c r="E10" s="29" t="s">
        <v>116</v>
      </c>
      <c r="F10" s="29" t="s">
        <v>120</v>
      </c>
    </row>
    <row r="11" spans="1:8" ht="15.75" x14ac:dyDescent="0.25">
      <c r="A11" s="20">
        <v>8</v>
      </c>
      <c r="B11" s="20">
        <v>3500</v>
      </c>
      <c r="D11" s="21">
        <v>1</v>
      </c>
      <c r="E11" s="22" t="s">
        <v>51</v>
      </c>
      <c r="F11" s="23">
        <v>8250</v>
      </c>
    </row>
    <row r="12" spans="1:8" ht="15.75" x14ac:dyDescent="0.25">
      <c r="A12" s="20">
        <v>9</v>
      </c>
      <c r="B12" s="20">
        <v>3500</v>
      </c>
      <c r="D12" s="21">
        <v>2</v>
      </c>
      <c r="E12" s="22" t="s">
        <v>52</v>
      </c>
      <c r="F12" s="23">
        <v>7000</v>
      </c>
    </row>
    <row r="13" spans="1:8" ht="15.75" x14ac:dyDescent="0.25">
      <c r="A13" s="20">
        <v>10</v>
      </c>
      <c r="B13" s="20">
        <v>3500</v>
      </c>
      <c r="D13" s="21">
        <v>3</v>
      </c>
      <c r="E13" s="22" t="s">
        <v>95</v>
      </c>
      <c r="F13" s="23">
        <v>7500</v>
      </c>
    </row>
    <row r="14" spans="1:8" ht="15.75" x14ac:dyDescent="0.25">
      <c r="A14" s="20">
        <v>11</v>
      </c>
      <c r="B14" s="20">
        <v>4000</v>
      </c>
      <c r="D14" s="21">
        <v>4</v>
      </c>
      <c r="E14" s="22" t="s">
        <v>96</v>
      </c>
      <c r="F14" s="23">
        <v>8100</v>
      </c>
    </row>
    <row r="15" spans="1:8" ht="15.75" x14ac:dyDescent="0.25">
      <c r="A15" s="20">
        <v>12</v>
      </c>
      <c r="B15" s="20">
        <v>4000</v>
      </c>
      <c r="D15" s="21">
        <v>5</v>
      </c>
      <c r="E15" s="22" t="s">
        <v>97</v>
      </c>
      <c r="F15" s="23">
        <v>6800</v>
      </c>
    </row>
    <row r="16" spans="1:8" ht="15.75" x14ac:dyDescent="0.25">
      <c r="A16" s="20">
        <v>13</v>
      </c>
      <c r="B16" s="20">
        <v>4000</v>
      </c>
    </row>
    <row r="17" spans="1:8" ht="15.75" x14ac:dyDescent="0.25">
      <c r="A17" s="20">
        <v>14</v>
      </c>
      <c r="B17" s="20">
        <v>4500</v>
      </c>
      <c r="D17" s="279" t="s">
        <v>114</v>
      </c>
      <c r="E17" s="279"/>
      <c r="F17" s="279"/>
      <c r="G17" s="279"/>
      <c r="H17" s="279"/>
    </row>
    <row r="18" spans="1:8" ht="15.75" x14ac:dyDescent="0.25">
      <c r="A18" s="20">
        <v>15</v>
      </c>
      <c r="B18" s="20">
        <v>4500</v>
      </c>
      <c r="D18" s="28" t="s">
        <v>117</v>
      </c>
      <c r="E18" s="28" t="s">
        <v>116</v>
      </c>
      <c r="F18" s="28" t="s">
        <v>118</v>
      </c>
      <c r="G18" s="28" t="s">
        <v>119</v>
      </c>
      <c r="H18" s="28" t="s">
        <v>115</v>
      </c>
    </row>
    <row r="19" spans="1:8" ht="15.75" x14ac:dyDescent="0.25">
      <c r="A19" s="20">
        <v>16</v>
      </c>
      <c r="B19" s="20">
        <v>4500</v>
      </c>
      <c r="D19" s="21">
        <v>1</v>
      </c>
      <c r="E19" s="22" t="s">
        <v>51</v>
      </c>
      <c r="F19" s="23">
        <v>2000</v>
      </c>
      <c r="G19" s="23">
        <v>2000</v>
      </c>
      <c r="H19" s="23">
        <v>8250</v>
      </c>
    </row>
    <row r="20" spans="1:8" ht="15.75" x14ac:dyDescent="0.25">
      <c r="A20" s="20">
        <v>17</v>
      </c>
      <c r="B20" s="20">
        <v>5000</v>
      </c>
      <c r="D20" s="21">
        <v>2</v>
      </c>
      <c r="E20" s="22" t="s">
        <v>52</v>
      </c>
      <c r="F20" s="23">
        <v>1750</v>
      </c>
      <c r="G20" s="23">
        <v>1750</v>
      </c>
      <c r="H20" s="23">
        <v>7000</v>
      </c>
    </row>
    <row r="21" spans="1:8" ht="15.75" x14ac:dyDescent="0.25">
      <c r="A21" s="20">
        <v>18</v>
      </c>
      <c r="B21" s="20">
        <v>5000</v>
      </c>
      <c r="D21" s="21">
        <v>3</v>
      </c>
      <c r="E21" s="22" t="s">
        <v>95</v>
      </c>
      <c r="F21" s="23"/>
      <c r="G21" s="23"/>
      <c r="H21" s="23"/>
    </row>
    <row r="22" spans="1:8" ht="15.75" x14ac:dyDescent="0.25">
      <c r="A22" s="20">
        <v>19</v>
      </c>
      <c r="B22" s="20">
        <v>5000</v>
      </c>
      <c r="D22" s="21">
        <v>4</v>
      </c>
      <c r="E22" s="22" t="s">
        <v>96</v>
      </c>
      <c r="F22" s="23"/>
      <c r="G22" s="23"/>
      <c r="H22" s="23"/>
    </row>
    <row r="23" spans="1:8" ht="15.75" x14ac:dyDescent="0.25">
      <c r="A23" s="20">
        <v>20</v>
      </c>
      <c r="B23" s="20">
        <v>5500</v>
      </c>
      <c r="D23" s="21">
        <v>5</v>
      </c>
      <c r="E23" s="22" t="s">
        <v>97</v>
      </c>
      <c r="F23" s="23"/>
      <c r="G23" s="23"/>
      <c r="H23" s="23"/>
    </row>
    <row r="24" spans="1:8" ht="15.75" x14ac:dyDescent="0.25">
      <c r="A24" s="20">
        <v>21</v>
      </c>
      <c r="B24" s="20">
        <v>5500</v>
      </c>
    </row>
    <row r="25" spans="1:8" ht="15.75" x14ac:dyDescent="0.25">
      <c r="A25" s="20">
        <v>22</v>
      </c>
      <c r="B25" s="20">
        <v>5500</v>
      </c>
    </row>
    <row r="26" spans="1:8" ht="15.75" x14ac:dyDescent="0.25">
      <c r="A26" s="20">
        <v>23</v>
      </c>
      <c r="B26" s="20">
        <v>6000</v>
      </c>
    </row>
    <row r="27" spans="1:8" ht="15.75" x14ac:dyDescent="0.25">
      <c r="A27" s="20">
        <v>24</v>
      </c>
      <c r="B27" s="20">
        <v>6000</v>
      </c>
    </row>
    <row r="28" spans="1:8" ht="15.75" x14ac:dyDescent="0.25">
      <c r="A28" s="20">
        <v>25</v>
      </c>
      <c r="B28" s="20">
        <v>6000</v>
      </c>
    </row>
    <row r="29" spans="1:8" ht="15.75" x14ac:dyDescent="0.25">
      <c r="A29" s="20">
        <v>26</v>
      </c>
      <c r="B29" s="20">
        <v>6500</v>
      </c>
    </row>
    <row r="30" spans="1:8" ht="15.75" x14ac:dyDescent="0.25">
      <c r="A30" s="20">
        <v>27</v>
      </c>
      <c r="B30" s="20">
        <v>6500</v>
      </c>
    </row>
    <row r="31" spans="1:8" ht="15.75" x14ac:dyDescent="0.25">
      <c r="A31" s="20">
        <v>28</v>
      </c>
      <c r="B31" s="20">
        <v>6500</v>
      </c>
    </row>
    <row r="32" spans="1:8" ht="15.75" x14ac:dyDescent="0.25">
      <c r="A32" s="20">
        <v>29</v>
      </c>
      <c r="B32" s="20">
        <v>7000</v>
      </c>
    </row>
    <row r="33" spans="1:2" ht="15.75" x14ac:dyDescent="0.25">
      <c r="A33" s="20">
        <v>30</v>
      </c>
      <c r="B33" s="20">
        <v>7000</v>
      </c>
    </row>
    <row r="34" spans="1:2" ht="15.75" x14ac:dyDescent="0.25">
      <c r="A34" s="20">
        <v>31</v>
      </c>
      <c r="B34" s="20">
        <v>7000</v>
      </c>
    </row>
    <row r="35" spans="1:2" ht="15.75" x14ac:dyDescent="0.25">
      <c r="A35" s="20">
        <v>32</v>
      </c>
      <c r="B35" s="20">
        <v>7500</v>
      </c>
    </row>
    <row r="36" spans="1:2" ht="15.75" x14ac:dyDescent="0.25">
      <c r="A36" s="20">
        <v>33</v>
      </c>
      <c r="B36" s="20">
        <v>7500</v>
      </c>
    </row>
    <row r="37" spans="1:2" ht="15.75" x14ac:dyDescent="0.25">
      <c r="A37" s="20">
        <v>34</v>
      </c>
      <c r="B37" s="20">
        <v>7500</v>
      </c>
    </row>
    <row r="38" spans="1:2" ht="15.75" x14ac:dyDescent="0.25">
      <c r="A38" s="20">
        <v>35</v>
      </c>
      <c r="B38" s="20">
        <v>8000</v>
      </c>
    </row>
    <row r="39" spans="1:2" ht="15.75" x14ac:dyDescent="0.25">
      <c r="A39" s="20">
        <v>36</v>
      </c>
      <c r="B39" s="20">
        <v>8000</v>
      </c>
    </row>
    <row r="40" spans="1:2" ht="15.75" x14ac:dyDescent="0.25">
      <c r="A40" s="20">
        <v>37</v>
      </c>
      <c r="B40" s="20">
        <v>8000</v>
      </c>
    </row>
    <row r="41" spans="1:2" ht="15.75" x14ac:dyDescent="0.25">
      <c r="A41" s="20">
        <v>38</v>
      </c>
      <c r="B41" s="20">
        <v>8500</v>
      </c>
    </row>
    <row r="42" spans="1:2" ht="15.75" x14ac:dyDescent="0.25">
      <c r="A42" s="20">
        <v>39</v>
      </c>
      <c r="B42" s="20">
        <v>8500</v>
      </c>
    </row>
    <row r="43" spans="1:2" ht="15.75" x14ac:dyDescent="0.25">
      <c r="A43" s="20">
        <v>40</v>
      </c>
      <c r="B43" s="20">
        <v>8500</v>
      </c>
    </row>
    <row r="44" spans="1:2" ht="15.75" x14ac:dyDescent="0.25">
      <c r="A44" s="20">
        <v>41</v>
      </c>
      <c r="B44" s="20">
        <v>9000</v>
      </c>
    </row>
    <row r="45" spans="1:2" ht="15.75" x14ac:dyDescent="0.25">
      <c r="A45" s="20">
        <v>42</v>
      </c>
      <c r="B45" s="20">
        <v>9000</v>
      </c>
    </row>
    <row r="46" spans="1:2" ht="15.75" x14ac:dyDescent="0.25">
      <c r="A46" s="20">
        <v>43</v>
      </c>
      <c r="B46" s="20">
        <v>9000</v>
      </c>
    </row>
    <row r="47" spans="1:2" ht="15.75" x14ac:dyDescent="0.25">
      <c r="A47" s="20">
        <v>44</v>
      </c>
      <c r="B47" s="20">
        <v>9500</v>
      </c>
    </row>
    <row r="48" spans="1:2" ht="15.75" x14ac:dyDescent="0.25">
      <c r="A48" s="20">
        <v>45</v>
      </c>
      <c r="B48" s="20">
        <v>9500</v>
      </c>
    </row>
    <row r="49" spans="1:2" ht="15.75" x14ac:dyDescent="0.25">
      <c r="A49" s="20">
        <v>46</v>
      </c>
      <c r="B49" s="20">
        <v>9500</v>
      </c>
    </row>
    <row r="50" spans="1:2" ht="15.75" x14ac:dyDescent="0.25">
      <c r="A50" s="20">
        <v>47</v>
      </c>
      <c r="B50" s="20">
        <v>10000</v>
      </c>
    </row>
    <row r="51" spans="1:2" ht="15.75" x14ac:dyDescent="0.25">
      <c r="A51" s="20">
        <v>48</v>
      </c>
      <c r="B51" s="20">
        <v>10000</v>
      </c>
    </row>
    <row r="52" spans="1:2" ht="15.75" x14ac:dyDescent="0.25">
      <c r="A52" s="20">
        <v>49</v>
      </c>
      <c r="B52" s="20">
        <v>10000</v>
      </c>
    </row>
    <row r="53" spans="1:2" ht="15.75" x14ac:dyDescent="0.25">
      <c r="A53" s="20">
        <v>50</v>
      </c>
      <c r="B53" s="20">
        <v>10500</v>
      </c>
    </row>
  </sheetData>
  <mergeCells count="4">
    <mergeCell ref="D9:F9"/>
    <mergeCell ref="D17:H17"/>
    <mergeCell ref="A1:B1"/>
    <mergeCell ref="D1:F1"/>
  </mergeCells>
  <pageMargins left="0.7" right="0.7" top="0.75" bottom="0.75" header="0.3" footer="0.3"/>
  <pageSetup paperSize="9" orientation="portrait" horizontalDpi="4294967293" verticalDpi="0" copies="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9"/>
  <sheetViews>
    <sheetView topLeftCell="P1" zoomScale="145" zoomScaleNormal="145" workbookViewId="0">
      <selection activeCell="Z20" sqref="Z20"/>
    </sheetView>
  </sheetViews>
  <sheetFormatPr defaultRowHeight="14.25" x14ac:dyDescent="0.2"/>
  <cols>
    <col min="1" max="1" width="3.28515625" style="96" customWidth="1"/>
    <col min="2" max="2" width="17.7109375" style="96" bestFit="1" customWidth="1"/>
    <col min="3" max="3" width="4.42578125" style="97" customWidth="1"/>
    <col min="4" max="7" width="4.42578125" style="96" customWidth="1"/>
    <col min="8" max="8" width="2.140625" style="96" bestFit="1" customWidth="1"/>
    <col min="9" max="9" width="16.42578125" style="96" customWidth="1"/>
    <col min="10" max="10" width="6.140625" style="96" customWidth="1"/>
    <col min="11" max="11" width="9.140625" style="96"/>
    <col min="12" max="12" width="23.140625" style="96" bestFit="1" customWidth="1"/>
    <col min="13" max="13" width="11.85546875" style="96" bestFit="1" customWidth="1"/>
    <col min="14" max="14" width="11.85546875" style="97" customWidth="1"/>
    <col min="15" max="15" width="11.85546875" style="96" customWidth="1"/>
    <col min="16" max="16" width="5.28515625" style="96" customWidth="1"/>
    <col min="17" max="17" width="11.85546875" style="96" customWidth="1"/>
    <col min="18" max="21" width="12.28515625" style="97" bestFit="1" customWidth="1"/>
    <col min="22" max="22" width="6.7109375" style="97" customWidth="1"/>
    <col min="23" max="24" width="9.140625" style="96"/>
    <col min="25" max="25" width="5" style="96" customWidth="1"/>
    <col min="26" max="26" width="22" style="96" bestFit="1" customWidth="1"/>
    <col min="27" max="27" width="13.140625" style="96" bestFit="1" customWidth="1"/>
    <col min="28" max="28" width="18.7109375" style="96" bestFit="1" customWidth="1"/>
    <col min="29" max="29" width="12.140625" style="96" bestFit="1" customWidth="1"/>
    <col min="30" max="30" width="15.140625" style="96" bestFit="1" customWidth="1"/>
    <col min="31" max="16384" width="9.140625" style="96"/>
  </cols>
  <sheetData>
    <row r="1" spans="2:30" x14ac:dyDescent="0.2">
      <c r="B1" s="96" t="s">
        <v>150</v>
      </c>
    </row>
    <row r="2" spans="2:30" ht="16.5" x14ac:dyDescent="0.3">
      <c r="Q2" s="106" t="s">
        <v>157</v>
      </c>
      <c r="R2" s="110" t="s">
        <v>151</v>
      </c>
      <c r="S2" s="107" t="s">
        <v>152</v>
      </c>
      <c r="T2" s="110" t="s">
        <v>153</v>
      </c>
      <c r="U2" s="107" t="s">
        <v>154</v>
      </c>
      <c r="Y2" s="242" t="s">
        <v>117</v>
      </c>
      <c r="Z2" s="242" t="s">
        <v>241</v>
      </c>
      <c r="AA2" s="242" t="s">
        <v>242</v>
      </c>
      <c r="AB2" s="242" t="s">
        <v>243</v>
      </c>
      <c r="AC2" s="242" t="s">
        <v>244</v>
      </c>
      <c r="AD2" s="242" t="s">
        <v>245</v>
      </c>
    </row>
    <row r="3" spans="2:30" ht="16.5" x14ac:dyDescent="0.3">
      <c r="B3" s="103" t="s">
        <v>134</v>
      </c>
      <c r="C3" s="104" t="s">
        <v>99</v>
      </c>
      <c r="D3" s="105" t="s">
        <v>133</v>
      </c>
      <c r="E3" s="103"/>
      <c r="F3" s="103"/>
      <c r="G3" s="103"/>
      <c r="H3" s="103"/>
      <c r="I3" s="103"/>
      <c r="Q3" s="106" t="s">
        <v>155</v>
      </c>
      <c r="R3" s="111">
        <v>44564</v>
      </c>
      <c r="S3" s="109">
        <v>44565</v>
      </c>
      <c r="T3" s="111">
        <v>44566</v>
      </c>
      <c r="U3" s="109">
        <v>44567</v>
      </c>
      <c r="Y3" s="235">
        <v>1</v>
      </c>
      <c r="Z3" s="240" t="s">
        <v>246</v>
      </c>
      <c r="AA3" s="248">
        <v>61000</v>
      </c>
      <c r="AB3" s="248">
        <f>AC3/2</f>
        <v>7625</v>
      </c>
      <c r="AC3" s="249">
        <v>15250</v>
      </c>
      <c r="AD3" s="249">
        <v>15250</v>
      </c>
    </row>
    <row r="4" spans="2:30" ht="16.5" x14ac:dyDescent="0.3">
      <c r="B4" s="106" t="s">
        <v>135</v>
      </c>
      <c r="C4" s="107" t="s">
        <v>99</v>
      </c>
      <c r="D4" s="282">
        <v>44565</v>
      </c>
      <c r="E4" s="282"/>
      <c r="F4" s="282"/>
      <c r="G4" s="282"/>
      <c r="H4" s="282"/>
      <c r="I4" s="106"/>
      <c r="M4" s="96" t="s">
        <v>148</v>
      </c>
      <c r="N4" s="97" t="s">
        <v>149</v>
      </c>
      <c r="Q4" s="106" t="s">
        <v>156</v>
      </c>
      <c r="R4" s="110">
        <v>0</v>
      </c>
      <c r="S4" s="107">
        <v>4</v>
      </c>
      <c r="T4" s="110">
        <v>6</v>
      </c>
      <c r="U4" s="107">
        <v>7</v>
      </c>
      <c r="Y4" s="235">
        <v>2</v>
      </c>
      <c r="Z4" s="240" t="s">
        <v>146</v>
      </c>
      <c r="AA4" s="248">
        <v>56000</v>
      </c>
      <c r="AB4" s="248">
        <f>AC4/2</f>
        <v>7000</v>
      </c>
      <c r="AC4" s="249">
        <v>14000</v>
      </c>
      <c r="AD4" s="249">
        <v>14000</v>
      </c>
    </row>
    <row r="5" spans="2:30" ht="16.5" x14ac:dyDescent="0.3">
      <c r="B5" s="106" t="s">
        <v>136</v>
      </c>
      <c r="C5" s="107" t="s">
        <v>99</v>
      </c>
      <c r="D5" s="106" t="s">
        <v>143</v>
      </c>
      <c r="E5" s="106"/>
      <c r="F5" s="106"/>
      <c r="G5" s="106"/>
      <c r="H5" s="106"/>
      <c r="I5" s="106"/>
      <c r="L5" s="113" t="s">
        <v>145</v>
      </c>
      <c r="M5" s="227">
        <v>61000</v>
      </c>
      <c r="N5" s="227">
        <v>15250</v>
      </c>
      <c r="O5" s="113"/>
      <c r="Q5" s="106" t="s">
        <v>155</v>
      </c>
      <c r="R5" s="111">
        <v>44571</v>
      </c>
      <c r="S5" s="109">
        <v>44572</v>
      </c>
      <c r="T5" s="111">
        <v>44573</v>
      </c>
      <c r="U5" s="109">
        <v>44574</v>
      </c>
      <c r="Y5" s="235">
        <v>3</v>
      </c>
      <c r="Z5" s="240" t="s">
        <v>247</v>
      </c>
      <c r="AA5" s="248">
        <v>66000</v>
      </c>
      <c r="AB5" s="248">
        <f>AC5/2</f>
        <v>8250</v>
      </c>
      <c r="AC5" s="249">
        <v>16500</v>
      </c>
      <c r="AD5" s="249">
        <v>16500</v>
      </c>
    </row>
    <row r="6" spans="2:30" ht="16.5" x14ac:dyDescent="0.3">
      <c r="L6" s="225" t="s">
        <v>146</v>
      </c>
      <c r="M6" s="226">
        <v>56000</v>
      </c>
      <c r="N6" s="226">
        <v>14000</v>
      </c>
      <c r="O6" s="226">
        <f>N6/2</f>
        <v>7000</v>
      </c>
      <c r="Q6" s="106" t="s">
        <v>156</v>
      </c>
      <c r="R6" s="110">
        <v>7</v>
      </c>
      <c r="S6" s="107">
        <v>4</v>
      </c>
      <c r="T6" s="110">
        <v>6</v>
      </c>
      <c r="U6" s="107">
        <v>7</v>
      </c>
      <c r="Y6" s="231"/>
      <c r="Z6" s="231"/>
      <c r="AA6" s="231"/>
      <c r="AB6" s="233"/>
      <c r="AC6" s="231"/>
      <c r="AD6" s="231"/>
    </row>
    <row r="7" spans="2:30" ht="16.5" x14ac:dyDescent="0.3">
      <c r="B7" s="96" t="s">
        <v>137</v>
      </c>
      <c r="L7" s="100" t="s">
        <v>147</v>
      </c>
      <c r="M7" s="224">
        <v>66000</v>
      </c>
      <c r="N7" s="224">
        <v>16500</v>
      </c>
      <c r="O7" s="224">
        <f>N7/2</f>
        <v>8250</v>
      </c>
      <c r="Q7" s="106" t="s">
        <v>155</v>
      </c>
      <c r="R7" s="111">
        <v>44578</v>
      </c>
      <c r="S7" s="109">
        <v>44579</v>
      </c>
      <c r="T7" s="111">
        <v>44580</v>
      </c>
      <c r="U7" s="109">
        <v>44581</v>
      </c>
      <c r="Y7" s="231" t="s">
        <v>248</v>
      </c>
      <c r="Z7" s="231"/>
      <c r="AA7" s="231"/>
      <c r="AB7" s="233"/>
      <c r="AC7" s="231"/>
      <c r="AD7" s="231"/>
    </row>
    <row r="8" spans="2:30" ht="16.5" x14ac:dyDescent="0.3">
      <c r="B8" s="103" t="s">
        <v>138</v>
      </c>
      <c r="C8" s="104" t="s">
        <v>99</v>
      </c>
      <c r="D8" s="103" t="s">
        <v>139</v>
      </c>
      <c r="E8" s="103"/>
      <c r="F8" s="103"/>
      <c r="G8" s="103"/>
      <c r="H8" s="103" t="s">
        <v>140</v>
      </c>
      <c r="I8" s="108">
        <f>24*1500</f>
        <v>36000</v>
      </c>
      <c r="O8" s="99"/>
      <c r="Q8" s="106" t="s">
        <v>156</v>
      </c>
      <c r="R8" s="110">
        <v>7</v>
      </c>
      <c r="S8" s="107">
        <v>4</v>
      </c>
      <c r="T8" s="110">
        <v>6</v>
      </c>
      <c r="U8" s="107">
        <v>7</v>
      </c>
      <c r="Y8" s="231" t="s">
        <v>249</v>
      </c>
      <c r="Z8" s="231"/>
      <c r="AA8" s="231"/>
      <c r="AB8" s="233"/>
      <c r="AC8" s="231"/>
      <c r="AD8" s="231"/>
    </row>
    <row r="9" spans="2:30" ht="17.25" thickBot="1" x14ac:dyDescent="0.35">
      <c r="B9" s="96" t="s">
        <v>141</v>
      </c>
      <c r="C9" s="97" t="s">
        <v>99</v>
      </c>
      <c r="D9" s="96" t="s">
        <v>142</v>
      </c>
      <c r="H9" s="96" t="s">
        <v>140</v>
      </c>
      <c r="I9" s="98">
        <f>76*15250</f>
        <v>1159000</v>
      </c>
      <c r="Q9" s="106" t="s">
        <v>155</v>
      </c>
      <c r="R9" s="111">
        <v>44585</v>
      </c>
      <c r="S9" s="109">
        <v>44586</v>
      </c>
      <c r="T9" s="112"/>
      <c r="U9" s="112"/>
      <c r="Y9" s="231" t="s">
        <v>250</v>
      </c>
      <c r="Z9" s="231"/>
      <c r="AA9" s="231"/>
      <c r="AB9" s="233"/>
      <c r="AC9" s="231"/>
      <c r="AD9" s="231"/>
    </row>
    <row r="10" spans="2:30" ht="16.5" x14ac:dyDescent="0.3">
      <c r="B10" s="100" t="s">
        <v>144</v>
      </c>
      <c r="C10" s="101"/>
      <c r="D10" s="100"/>
      <c r="E10" s="100"/>
      <c r="F10" s="100"/>
      <c r="G10" s="100"/>
      <c r="H10" s="100"/>
      <c r="I10" s="102">
        <f>SUM(I8:I9)</f>
        <v>1195000</v>
      </c>
      <c r="L10" s="96" t="s">
        <v>224</v>
      </c>
      <c r="Q10" s="106" t="s">
        <v>156</v>
      </c>
      <c r="R10" s="110">
        <v>7</v>
      </c>
      <c r="S10" s="107">
        <v>4</v>
      </c>
      <c r="T10" s="112"/>
      <c r="U10" s="112"/>
      <c r="Y10" s="231"/>
      <c r="Z10" s="231"/>
      <c r="AA10" s="231"/>
      <c r="AB10" s="233"/>
      <c r="AC10" s="231"/>
      <c r="AD10" s="231"/>
    </row>
    <row r="11" spans="2:30" ht="16.5" x14ac:dyDescent="0.3">
      <c r="L11" s="228" t="s">
        <v>225</v>
      </c>
      <c r="Q11" s="113"/>
      <c r="R11" s="114">
        <v>21</v>
      </c>
      <c r="S11" s="114">
        <v>16</v>
      </c>
      <c r="T11" s="114">
        <v>18</v>
      </c>
      <c r="U11" s="114">
        <v>21</v>
      </c>
      <c r="V11" s="114">
        <f>SUM(R11:U11)</f>
        <v>76</v>
      </c>
      <c r="Y11" s="231" t="s">
        <v>251</v>
      </c>
      <c r="Z11" s="231"/>
      <c r="AA11" s="231"/>
      <c r="AB11" s="233"/>
      <c r="AC11" s="231"/>
      <c r="AD11" s="231"/>
    </row>
    <row r="12" spans="2:30" ht="16.5" x14ac:dyDescent="0.3">
      <c r="L12" s="228" t="s">
        <v>222</v>
      </c>
      <c r="M12" s="97">
        <v>34</v>
      </c>
      <c r="Y12" s="231" t="s">
        <v>252</v>
      </c>
      <c r="Z12" s="250" t="s">
        <v>253</v>
      </c>
      <c r="AA12" s="234" t="s">
        <v>254</v>
      </c>
      <c r="AB12" s="250" t="s">
        <v>255</v>
      </c>
      <c r="AC12" s="231"/>
      <c r="AD12" s="231"/>
    </row>
    <row r="13" spans="2:30" ht="16.5" x14ac:dyDescent="0.3">
      <c r="L13" s="229" t="s">
        <v>223</v>
      </c>
      <c r="M13" s="97">
        <f>M12*4</f>
        <v>136</v>
      </c>
      <c r="N13" s="97" t="s">
        <v>226</v>
      </c>
      <c r="Q13" s="100" t="s">
        <v>24</v>
      </c>
      <c r="R13" s="101"/>
      <c r="S13" s="101"/>
      <c r="T13" s="101"/>
      <c r="Y13" s="231"/>
      <c r="Z13" s="250" t="s">
        <v>256</v>
      </c>
      <c r="AA13" s="231"/>
      <c r="AB13" s="250" t="s">
        <v>257</v>
      </c>
      <c r="AC13" s="231"/>
      <c r="AD13" s="231"/>
    </row>
    <row r="14" spans="2:30" ht="16.5" x14ac:dyDescent="0.3">
      <c r="Q14" s="115" t="s">
        <v>157</v>
      </c>
      <c r="R14" s="116" t="s">
        <v>151</v>
      </c>
      <c r="S14" s="116" t="s">
        <v>152</v>
      </c>
      <c r="T14" s="116" t="s">
        <v>158</v>
      </c>
      <c r="U14" s="118"/>
      <c r="Y14" s="231"/>
      <c r="Z14" s="231"/>
      <c r="AA14" s="231"/>
      <c r="AB14" s="233"/>
      <c r="AC14" s="231"/>
      <c r="AD14" s="231"/>
    </row>
    <row r="15" spans="2:30" ht="16.5" x14ac:dyDescent="0.3">
      <c r="L15" s="99" t="s">
        <v>227</v>
      </c>
      <c r="M15" s="97">
        <v>6</v>
      </c>
      <c r="N15" s="229" t="s">
        <v>228</v>
      </c>
      <c r="Q15" s="115" t="s">
        <v>155</v>
      </c>
      <c r="R15" s="117"/>
      <c r="S15" s="117">
        <v>44617</v>
      </c>
      <c r="T15" s="117" t="s">
        <v>159</v>
      </c>
      <c r="U15" s="119"/>
      <c r="Y15" s="251" t="s">
        <v>258</v>
      </c>
      <c r="Z15" s="251"/>
      <c r="AA15" s="251"/>
      <c r="AB15" s="233"/>
      <c r="AC15" s="231"/>
      <c r="AD15" s="231"/>
    </row>
    <row r="16" spans="2:30" x14ac:dyDescent="0.2">
      <c r="L16" s="99" t="s">
        <v>223</v>
      </c>
      <c r="M16" s="97">
        <f>M13-M15</f>
        <v>130</v>
      </c>
      <c r="Q16" s="115" t="s">
        <v>156</v>
      </c>
      <c r="R16" s="116"/>
      <c r="S16" s="120">
        <v>6</v>
      </c>
      <c r="T16" s="120">
        <v>6</v>
      </c>
      <c r="U16" s="118"/>
    </row>
    <row r="17" spans="12:21" x14ac:dyDescent="0.2">
      <c r="Q17" s="115" t="s">
        <v>155</v>
      </c>
      <c r="R17" s="117" t="s">
        <v>160</v>
      </c>
      <c r="S17" s="117">
        <v>44593</v>
      </c>
      <c r="T17" s="117">
        <v>44597</v>
      </c>
      <c r="U17" s="119"/>
    </row>
    <row r="18" spans="12:21" x14ac:dyDescent="0.2">
      <c r="L18" s="99"/>
      <c r="Q18" s="115" t="s">
        <v>156</v>
      </c>
      <c r="R18" s="120">
        <v>6</v>
      </c>
      <c r="S18" s="120">
        <v>6</v>
      </c>
      <c r="T18" s="121">
        <v>6</v>
      </c>
      <c r="U18" s="118"/>
    </row>
    <row r="19" spans="12:21" x14ac:dyDescent="0.2">
      <c r="Q19" s="115" t="s">
        <v>155</v>
      </c>
      <c r="R19" s="117">
        <v>44599</v>
      </c>
      <c r="S19" s="117">
        <v>44600</v>
      </c>
      <c r="T19" s="117">
        <v>44604</v>
      </c>
      <c r="U19" s="119"/>
    </row>
    <row r="20" spans="12:21" x14ac:dyDescent="0.2">
      <c r="Q20" s="115" t="s">
        <v>156</v>
      </c>
      <c r="R20" s="121">
        <v>6</v>
      </c>
      <c r="S20" s="121">
        <v>6</v>
      </c>
      <c r="T20" s="121">
        <v>6</v>
      </c>
      <c r="U20" s="118"/>
    </row>
    <row r="21" spans="12:21" x14ac:dyDescent="0.2">
      <c r="Q21" s="115" t="s">
        <v>155</v>
      </c>
      <c r="R21" s="117">
        <v>44606</v>
      </c>
      <c r="S21" s="117">
        <v>44607</v>
      </c>
      <c r="T21" s="117">
        <v>44611</v>
      </c>
      <c r="U21" s="118"/>
    </row>
    <row r="22" spans="12:21" x14ac:dyDescent="0.2">
      <c r="Q22" s="115" t="s">
        <v>156</v>
      </c>
      <c r="R22" s="121">
        <v>6</v>
      </c>
      <c r="S22" s="121">
        <v>6</v>
      </c>
      <c r="T22" s="121">
        <v>6</v>
      </c>
      <c r="U22" s="118"/>
    </row>
    <row r="23" spans="12:21" x14ac:dyDescent="0.2">
      <c r="Q23" s="115" t="s">
        <v>155</v>
      </c>
      <c r="R23" s="117">
        <v>44613</v>
      </c>
      <c r="S23" s="117">
        <v>44614</v>
      </c>
      <c r="U23" s="118"/>
    </row>
    <row r="24" spans="12:21" x14ac:dyDescent="0.2">
      <c r="Q24" s="115" t="s">
        <v>156</v>
      </c>
      <c r="R24" s="121">
        <v>6</v>
      </c>
      <c r="S24" s="121">
        <v>6</v>
      </c>
      <c r="T24" s="116"/>
    </row>
    <row r="25" spans="12:21" x14ac:dyDescent="0.2">
      <c r="Q25" s="115"/>
    </row>
    <row r="26" spans="12:21" x14ac:dyDescent="0.2">
      <c r="Q26" s="115"/>
      <c r="R26" s="116"/>
      <c r="S26" s="116"/>
      <c r="T26" s="116"/>
    </row>
    <row r="27" spans="12:21" x14ac:dyDescent="0.2">
      <c r="Q27" s="96" t="s">
        <v>161</v>
      </c>
      <c r="S27" s="99"/>
    </row>
    <row r="28" spans="12:21" x14ac:dyDescent="0.2">
      <c r="Q28" s="96" t="s">
        <v>162</v>
      </c>
      <c r="R28" s="97">
        <f>9*6</f>
        <v>54</v>
      </c>
      <c r="S28" s="99">
        <f>R28*8250</f>
        <v>445500</v>
      </c>
    </row>
    <row r="29" spans="12:21" x14ac:dyDescent="0.2">
      <c r="S29" s="122">
        <f>SUM(S27:S28)</f>
        <v>445500</v>
      </c>
    </row>
  </sheetData>
  <mergeCells count="1">
    <mergeCell ref="D4:H4"/>
  </mergeCells>
  <pageMargins left="0.7" right="0.7" top="0.75" bottom="0.75" header="0.3" footer="0.3"/>
  <pageSetup paperSize="9" orientation="portrait" horizontalDpi="4294967293" verticalDpi="0" copies="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1"/>
  <sheetViews>
    <sheetView view="pageBreakPreview" topLeftCell="J154" zoomScale="130" zoomScaleNormal="115" zoomScaleSheetLayoutView="130" workbookViewId="0">
      <selection activeCell="V171" sqref="V171"/>
    </sheetView>
  </sheetViews>
  <sheetFormatPr defaultRowHeight="16.5" x14ac:dyDescent="0.3"/>
  <cols>
    <col min="1" max="1" width="4.42578125" style="233" bestFit="1" customWidth="1"/>
    <col min="2" max="2" width="4.85546875" style="233" customWidth="1"/>
    <col min="3" max="3" width="3.42578125" style="233" bestFit="1" customWidth="1"/>
    <col min="4" max="4" width="5.7109375" style="233" bestFit="1" customWidth="1"/>
    <col min="5" max="5" width="6.85546875" style="231" bestFit="1" customWidth="1"/>
    <col min="6" max="6" width="16.7109375" style="232" bestFit="1" customWidth="1"/>
    <col min="7" max="7" width="15.140625" style="231" bestFit="1" customWidth="1"/>
    <col min="8" max="8" width="5.85546875" style="231" customWidth="1"/>
    <col min="9" max="9" width="3.42578125" style="233" bestFit="1" customWidth="1"/>
    <col min="10" max="10" width="5.7109375" style="233" bestFit="1" customWidth="1"/>
    <col min="11" max="11" width="6.85546875" style="231" bestFit="1" customWidth="1"/>
    <col min="12" max="12" width="13.28515625" style="232" bestFit="1" customWidth="1"/>
    <col min="13" max="13" width="12.140625" style="232" bestFit="1" customWidth="1"/>
    <col min="14" max="14" width="15.140625" style="231" bestFit="1" customWidth="1"/>
    <col min="15" max="15" width="4.85546875" style="231" customWidth="1"/>
    <col min="16" max="16" width="3.42578125" style="233" bestFit="1" customWidth="1"/>
    <col min="17" max="17" width="5.7109375" style="233" bestFit="1" customWidth="1"/>
    <col min="18" max="18" width="6.85546875" style="231" bestFit="1" customWidth="1"/>
    <col min="19" max="19" width="15.140625" style="232" bestFit="1" customWidth="1"/>
    <col min="20" max="20" width="13.28515625" style="232" bestFit="1" customWidth="1"/>
    <col min="21" max="22" width="15.140625" style="231" bestFit="1" customWidth="1"/>
    <col min="23" max="23" width="6.5703125" style="231" bestFit="1" customWidth="1"/>
    <col min="24" max="24" width="17" style="231" bestFit="1" customWidth="1"/>
    <col min="25" max="25" width="31.140625" style="231" bestFit="1" customWidth="1"/>
    <col min="26" max="26" width="9.140625" style="231"/>
    <col min="27" max="27" width="4.42578125" style="233" bestFit="1" customWidth="1"/>
    <col min="28" max="28" width="4.85546875" style="233" customWidth="1"/>
    <col min="29" max="29" width="3.42578125" style="233" bestFit="1" customWidth="1"/>
    <col min="30" max="30" width="5.7109375" style="233" bestFit="1" customWidth="1"/>
    <col min="31" max="31" width="6.85546875" style="231" bestFit="1" customWidth="1"/>
    <col min="32" max="32" width="16.7109375" style="232" bestFit="1" customWidth="1"/>
    <col min="33" max="33" width="14.7109375" style="231" bestFit="1" customWidth="1"/>
    <col min="34" max="16384" width="9.140625" style="231"/>
  </cols>
  <sheetData>
    <row r="1" spans="1:33" x14ac:dyDescent="0.3">
      <c r="A1" s="285" t="s">
        <v>260</v>
      </c>
      <c r="B1" s="285"/>
      <c r="C1" s="285"/>
      <c r="D1" s="285"/>
      <c r="E1" s="285"/>
      <c r="F1" s="285"/>
      <c r="G1" s="285"/>
    </row>
    <row r="2" spans="1:33" x14ac:dyDescent="0.3">
      <c r="A2" s="286" t="s">
        <v>261</v>
      </c>
      <c r="B2" s="286"/>
      <c r="C2" s="286"/>
      <c r="D2" s="286"/>
      <c r="E2" s="286"/>
      <c r="F2" s="286"/>
      <c r="G2" s="286"/>
    </row>
    <row r="3" spans="1:33" x14ac:dyDescent="0.3">
      <c r="A3" s="235" t="s">
        <v>0</v>
      </c>
      <c r="B3" s="283" t="s">
        <v>231</v>
      </c>
      <c r="C3" s="283"/>
      <c r="D3" s="283"/>
      <c r="E3" s="235" t="s">
        <v>229</v>
      </c>
      <c r="F3" s="236" t="s">
        <v>230</v>
      </c>
      <c r="G3" s="235" t="s">
        <v>262</v>
      </c>
      <c r="I3" s="283"/>
      <c r="J3" s="283"/>
      <c r="K3" s="235" t="s">
        <v>229</v>
      </c>
      <c r="L3" s="284" t="s">
        <v>239</v>
      </c>
      <c r="M3" s="284"/>
      <c r="N3" s="235" t="s">
        <v>240</v>
      </c>
      <c r="P3" s="283"/>
      <c r="Q3" s="283"/>
      <c r="R3" s="254" t="s">
        <v>229</v>
      </c>
      <c r="S3" s="284" t="s">
        <v>239</v>
      </c>
      <c r="T3" s="284"/>
      <c r="U3" s="254" t="s">
        <v>240</v>
      </c>
      <c r="V3" s="242" t="s">
        <v>155</v>
      </c>
      <c r="W3" s="242" t="s">
        <v>236</v>
      </c>
      <c r="X3" s="242" t="s">
        <v>237</v>
      </c>
      <c r="Y3" s="242" t="s">
        <v>238</v>
      </c>
      <c r="AA3" s="252" t="s">
        <v>0</v>
      </c>
      <c r="AB3" s="283" t="s">
        <v>231</v>
      </c>
      <c r="AC3" s="283"/>
      <c r="AD3" s="283"/>
      <c r="AE3" s="252" t="s">
        <v>229</v>
      </c>
      <c r="AF3" s="253" t="s">
        <v>230</v>
      </c>
      <c r="AG3" s="252" t="s">
        <v>215</v>
      </c>
    </row>
    <row r="4" spans="1:33" x14ac:dyDescent="0.3">
      <c r="A4" s="235">
        <v>1</v>
      </c>
      <c r="B4" s="237">
        <v>16</v>
      </c>
      <c r="C4" s="238">
        <v>4</v>
      </c>
      <c r="D4" s="237">
        <v>2017</v>
      </c>
      <c r="E4" s="235">
        <v>1051</v>
      </c>
      <c r="F4" s="239">
        <v>71731.25</v>
      </c>
      <c r="G4" s="240"/>
      <c r="I4" s="238">
        <v>4</v>
      </c>
      <c r="J4" s="235">
        <v>2017</v>
      </c>
      <c r="K4" s="235">
        <v>5058</v>
      </c>
      <c r="L4" s="236"/>
      <c r="M4" s="236">
        <v>7500</v>
      </c>
      <c r="N4" s="236">
        <f>L4-M4</f>
        <v>-7500</v>
      </c>
      <c r="P4" s="238">
        <v>4</v>
      </c>
      <c r="Q4" s="254">
        <v>2017</v>
      </c>
      <c r="R4" s="254">
        <v>5058</v>
      </c>
      <c r="S4" s="255"/>
      <c r="T4" s="255"/>
      <c r="U4" s="255">
        <f>S4-T4</f>
        <v>0</v>
      </c>
      <c r="V4" s="245">
        <v>43171</v>
      </c>
      <c r="W4" s="240">
        <v>9996</v>
      </c>
      <c r="X4" s="239">
        <v>184520000</v>
      </c>
      <c r="Y4" s="240" t="s">
        <v>232</v>
      </c>
      <c r="AA4" s="252">
        <v>1</v>
      </c>
      <c r="AB4" s="237">
        <v>16</v>
      </c>
      <c r="AC4" s="238">
        <v>4</v>
      </c>
      <c r="AD4" s="237">
        <v>2017</v>
      </c>
      <c r="AE4" s="252">
        <v>1051</v>
      </c>
      <c r="AF4" s="239">
        <v>71731.25</v>
      </c>
      <c r="AG4" s="240"/>
    </row>
    <row r="5" spans="1:33" x14ac:dyDescent="0.3">
      <c r="A5" s="235">
        <v>2</v>
      </c>
      <c r="B5" s="237">
        <v>16</v>
      </c>
      <c r="C5" s="238">
        <v>5</v>
      </c>
      <c r="D5" s="237">
        <v>2017</v>
      </c>
      <c r="E5" s="235">
        <v>1051</v>
      </c>
      <c r="F5" s="239">
        <v>4893.76</v>
      </c>
      <c r="G5" s="240"/>
      <c r="I5" s="238">
        <v>4</v>
      </c>
      <c r="J5" s="237">
        <v>2017</v>
      </c>
      <c r="K5" s="235">
        <v>1051</v>
      </c>
      <c r="L5" s="239">
        <v>71731.25</v>
      </c>
      <c r="M5" s="239"/>
      <c r="N5" s="239">
        <f>N4+L5-M5</f>
        <v>64231.25</v>
      </c>
      <c r="P5" s="238">
        <v>4</v>
      </c>
      <c r="Q5" s="237">
        <v>2017</v>
      </c>
      <c r="R5" s="254">
        <v>1051</v>
      </c>
      <c r="S5" s="239">
        <v>71731.25</v>
      </c>
      <c r="T5" s="239"/>
      <c r="U5" s="239">
        <f>U4+S5-T5</f>
        <v>71731.25</v>
      </c>
      <c r="V5" s="245">
        <v>43175</v>
      </c>
      <c r="W5" s="240">
        <v>1051</v>
      </c>
      <c r="X5" s="239">
        <v>45772.85</v>
      </c>
      <c r="Y5" s="240" t="s">
        <v>234</v>
      </c>
      <c r="AA5" s="252">
        <v>2</v>
      </c>
      <c r="AB5" s="237">
        <v>16</v>
      </c>
      <c r="AC5" s="238">
        <v>5</v>
      </c>
      <c r="AD5" s="237">
        <v>2017</v>
      </c>
      <c r="AE5" s="252">
        <v>1051</v>
      </c>
      <c r="AF5" s="239">
        <v>4893.76</v>
      </c>
      <c r="AG5" s="240"/>
    </row>
    <row r="6" spans="1:33" x14ac:dyDescent="0.3">
      <c r="A6" s="235">
        <v>3</v>
      </c>
      <c r="B6" s="237">
        <v>16</v>
      </c>
      <c r="C6" s="238">
        <v>6</v>
      </c>
      <c r="D6" s="237">
        <v>2017</v>
      </c>
      <c r="E6" s="235">
        <v>1051</v>
      </c>
      <c r="F6" s="239">
        <v>155842.62</v>
      </c>
      <c r="G6" s="240"/>
      <c r="I6" s="238"/>
      <c r="J6" s="237"/>
      <c r="K6" s="235">
        <v>5057</v>
      </c>
      <c r="L6" s="239"/>
      <c r="M6" s="239">
        <v>14346.25</v>
      </c>
      <c r="N6" s="239">
        <f>L6+N5-M6</f>
        <v>49885</v>
      </c>
      <c r="P6" s="238"/>
      <c r="Q6" s="237"/>
      <c r="R6" s="254">
        <v>5057</v>
      </c>
      <c r="S6" s="239"/>
      <c r="T6" s="239">
        <v>14346.25</v>
      </c>
      <c r="U6" s="239">
        <f>S6+U5-T6</f>
        <v>57385</v>
      </c>
      <c r="V6" s="245">
        <v>43175</v>
      </c>
      <c r="W6" s="240">
        <v>5057</v>
      </c>
      <c r="X6" s="240">
        <v>9144.57</v>
      </c>
      <c r="Y6" s="240" t="s">
        <v>233</v>
      </c>
      <c r="AA6" s="252">
        <v>3</v>
      </c>
      <c r="AB6" s="237">
        <v>16</v>
      </c>
      <c r="AC6" s="238">
        <v>6</v>
      </c>
      <c r="AD6" s="237">
        <v>2017</v>
      </c>
      <c r="AE6" s="252">
        <v>1051</v>
      </c>
      <c r="AF6" s="239">
        <v>155842.62</v>
      </c>
      <c r="AG6" s="240"/>
    </row>
    <row r="7" spans="1:33" x14ac:dyDescent="0.3">
      <c r="A7" s="235">
        <v>4</v>
      </c>
      <c r="B7" s="237">
        <v>16</v>
      </c>
      <c r="C7" s="238">
        <v>7</v>
      </c>
      <c r="D7" s="237">
        <v>2017</v>
      </c>
      <c r="E7" s="235">
        <v>1051</v>
      </c>
      <c r="F7" s="239">
        <v>5073.8</v>
      </c>
      <c r="G7" s="240"/>
      <c r="I7" s="238"/>
      <c r="J7" s="237"/>
      <c r="K7" s="235">
        <v>5058</v>
      </c>
      <c r="L7" s="239"/>
      <c r="M7" s="239">
        <v>7500</v>
      </c>
      <c r="N7" s="239">
        <f>L7+N6-M7</f>
        <v>42385</v>
      </c>
      <c r="P7" s="238"/>
      <c r="Q7" s="237"/>
      <c r="R7" s="254">
        <v>5058</v>
      </c>
      <c r="S7" s="239"/>
      <c r="T7" s="239"/>
      <c r="U7" s="239">
        <f>S7+U6-T7</f>
        <v>57385</v>
      </c>
      <c r="V7" s="245">
        <v>43186</v>
      </c>
      <c r="W7" s="240">
        <v>5058</v>
      </c>
      <c r="X7" s="246">
        <v>7500</v>
      </c>
      <c r="Y7" s="240" t="s">
        <v>235</v>
      </c>
      <c r="AA7" s="252">
        <v>4</v>
      </c>
      <c r="AB7" s="237">
        <v>16</v>
      </c>
      <c r="AC7" s="238">
        <v>7</v>
      </c>
      <c r="AD7" s="237">
        <v>2017</v>
      </c>
      <c r="AE7" s="252">
        <v>1051</v>
      </c>
      <c r="AF7" s="239">
        <v>5073.8</v>
      </c>
      <c r="AG7" s="240"/>
    </row>
    <row r="8" spans="1:33" x14ac:dyDescent="0.3">
      <c r="A8" s="235">
        <v>5</v>
      </c>
      <c r="B8" s="237">
        <v>16</v>
      </c>
      <c r="C8" s="238">
        <v>8</v>
      </c>
      <c r="D8" s="237">
        <v>2017</v>
      </c>
      <c r="E8" s="235">
        <v>1051</v>
      </c>
      <c r="F8" s="239">
        <v>5239.38</v>
      </c>
      <c r="G8" s="240"/>
      <c r="I8" s="238">
        <v>5</v>
      </c>
      <c r="J8" s="237">
        <v>2017</v>
      </c>
      <c r="K8" s="235">
        <v>1051</v>
      </c>
      <c r="L8" s="239">
        <v>4893.76</v>
      </c>
      <c r="M8" s="239"/>
      <c r="N8" s="239">
        <f t="shared" ref="N8:N70" si="0">L8+N7-M8</f>
        <v>47278.76</v>
      </c>
      <c r="P8" s="238">
        <v>5</v>
      </c>
      <c r="Q8" s="237">
        <v>2017</v>
      </c>
      <c r="R8" s="254">
        <v>1051</v>
      </c>
      <c r="S8" s="239">
        <v>4893.76</v>
      </c>
      <c r="T8" s="239"/>
      <c r="U8" s="239">
        <f t="shared" ref="U8:U71" si="1">S8+U7-T8</f>
        <v>62278.76</v>
      </c>
      <c r="AA8" s="252">
        <v>5</v>
      </c>
      <c r="AB8" s="237">
        <v>16</v>
      </c>
      <c r="AC8" s="238">
        <v>8</v>
      </c>
      <c r="AD8" s="237">
        <v>2017</v>
      </c>
      <c r="AE8" s="252">
        <v>1051</v>
      </c>
      <c r="AF8" s="239">
        <v>5239.38</v>
      </c>
      <c r="AG8" s="240"/>
    </row>
    <row r="9" spans="1:33" x14ac:dyDescent="0.3">
      <c r="A9" s="235">
        <v>6</v>
      </c>
      <c r="B9" s="237">
        <v>16</v>
      </c>
      <c r="C9" s="238">
        <v>9</v>
      </c>
      <c r="D9" s="237">
        <v>2017</v>
      </c>
      <c r="E9" s="235">
        <v>1051</v>
      </c>
      <c r="F9" s="239">
        <v>99992.85</v>
      </c>
      <c r="G9" s="240"/>
      <c r="I9" s="238">
        <v>5</v>
      </c>
      <c r="J9" s="237">
        <v>2018</v>
      </c>
      <c r="K9" s="235">
        <v>5058</v>
      </c>
      <c r="L9" s="239"/>
      <c r="M9" s="239">
        <v>7500</v>
      </c>
      <c r="N9" s="239">
        <f t="shared" si="0"/>
        <v>39778.76</v>
      </c>
      <c r="P9" s="238">
        <v>5</v>
      </c>
      <c r="Q9" s="237">
        <v>2018</v>
      </c>
      <c r="R9" s="254">
        <v>5058</v>
      </c>
      <c r="S9" s="239"/>
      <c r="T9" s="239"/>
      <c r="U9" s="239">
        <f t="shared" si="1"/>
        <v>62278.76</v>
      </c>
      <c r="AA9" s="252">
        <v>6</v>
      </c>
      <c r="AB9" s="237">
        <v>16</v>
      </c>
      <c r="AC9" s="238">
        <v>9</v>
      </c>
      <c r="AD9" s="237">
        <v>2017</v>
      </c>
      <c r="AE9" s="252">
        <v>1051</v>
      </c>
      <c r="AF9" s="239">
        <v>99992.85</v>
      </c>
      <c r="AG9" s="240"/>
    </row>
    <row r="10" spans="1:33" x14ac:dyDescent="0.3">
      <c r="A10" s="235">
        <v>7</v>
      </c>
      <c r="B10" s="237">
        <v>16</v>
      </c>
      <c r="C10" s="238">
        <v>10</v>
      </c>
      <c r="D10" s="237">
        <v>2017</v>
      </c>
      <c r="E10" s="235">
        <v>1051</v>
      </c>
      <c r="F10" s="239">
        <v>33648.339999999997</v>
      </c>
      <c r="G10" s="240"/>
      <c r="I10" s="238">
        <v>6</v>
      </c>
      <c r="J10" s="237">
        <v>2017</v>
      </c>
      <c r="K10" s="235">
        <v>1051</v>
      </c>
      <c r="L10" s="239">
        <v>155842.62</v>
      </c>
      <c r="M10" s="239"/>
      <c r="N10" s="239">
        <f t="shared" si="0"/>
        <v>195621.38</v>
      </c>
      <c r="P10" s="238">
        <v>6</v>
      </c>
      <c r="Q10" s="237">
        <v>2017</v>
      </c>
      <c r="R10" s="254">
        <v>1051</v>
      </c>
      <c r="S10" s="239">
        <v>155842.62</v>
      </c>
      <c r="T10" s="239"/>
      <c r="U10" s="239">
        <f t="shared" si="1"/>
        <v>218121.38</v>
      </c>
      <c r="AA10" s="252">
        <v>7</v>
      </c>
      <c r="AB10" s="237">
        <v>16</v>
      </c>
      <c r="AC10" s="238">
        <v>10</v>
      </c>
      <c r="AD10" s="237">
        <v>2017</v>
      </c>
      <c r="AE10" s="252">
        <v>1051</v>
      </c>
      <c r="AF10" s="239">
        <v>33648.339999999997</v>
      </c>
      <c r="AG10" s="240"/>
    </row>
    <row r="11" spans="1:33" x14ac:dyDescent="0.3">
      <c r="A11" s="235">
        <v>8</v>
      </c>
      <c r="B11" s="237">
        <v>16</v>
      </c>
      <c r="C11" s="238">
        <v>11</v>
      </c>
      <c r="D11" s="237">
        <v>2017</v>
      </c>
      <c r="E11" s="235">
        <v>1051</v>
      </c>
      <c r="F11" s="239">
        <v>5419.49</v>
      </c>
      <c r="G11" s="240"/>
      <c r="I11" s="238"/>
      <c r="J11" s="237"/>
      <c r="K11" s="235">
        <v>5057</v>
      </c>
      <c r="L11" s="239"/>
      <c r="M11" s="239">
        <v>31168.52</v>
      </c>
      <c r="N11" s="239">
        <f t="shared" si="0"/>
        <v>164452.86000000002</v>
      </c>
      <c r="P11" s="238"/>
      <c r="Q11" s="237"/>
      <c r="R11" s="254">
        <v>5057</v>
      </c>
      <c r="S11" s="239"/>
      <c r="T11" s="239">
        <v>31168.52</v>
      </c>
      <c r="U11" s="239">
        <f t="shared" si="1"/>
        <v>186952.86000000002</v>
      </c>
      <c r="AA11" s="252">
        <v>8</v>
      </c>
      <c r="AB11" s="237">
        <v>16</v>
      </c>
      <c r="AC11" s="238">
        <v>11</v>
      </c>
      <c r="AD11" s="237">
        <v>2017</v>
      </c>
      <c r="AE11" s="252">
        <v>1051</v>
      </c>
      <c r="AF11" s="239">
        <v>5419.49</v>
      </c>
      <c r="AG11" s="240"/>
    </row>
    <row r="12" spans="1:33" x14ac:dyDescent="0.3">
      <c r="A12" s="235">
        <v>9</v>
      </c>
      <c r="B12" s="237">
        <v>16</v>
      </c>
      <c r="C12" s="238">
        <v>12</v>
      </c>
      <c r="D12" s="237">
        <v>2017</v>
      </c>
      <c r="E12" s="235">
        <v>1051</v>
      </c>
      <c r="F12" s="239">
        <v>14830.61</v>
      </c>
      <c r="G12" s="239"/>
      <c r="I12" s="238">
        <v>6</v>
      </c>
      <c r="J12" s="237">
        <v>207</v>
      </c>
      <c r="K12" s="235">
        <v>5058</v>
      </c>
      <c r="L12" s="239"/>
      <c r="M12" s="239">
        <v>7500</v>
      </c>
      <c r="N12" s="239">
        <f t="shared" si="0"/>
        <v>156952.86000000002</v>
      </c>
      <c r="P12" s="238">
        <v>6</v>
      </c>
      <c r="Q12" s="237">
        <v>207</v>
      </c>
      <c r="R12" s="254">
        <v>5058</v>
      </c>
      <c r="S12" s="239"/>
      <c r="T12" s="239"/>
      <c r="U12" s="239">
        <f t="shared" si="1"/>
        <v>186952.86000000002</v>
      </c>
      <c r="AA12" s="252">
        <v>9</v>
      </c>
      <c r="AB12" s="237">
        <v>16</v>
      </c>
      <c r="AC12" s="238">
        <v>12</v>
      </c>
      <c r="AD12" s="237">
        <v>2017</v>
      </c>
      <c r="AE12" s="252">
        <v>1051</v>
      </c>
      <c r="AF12" s="239">
        <v>14830.61</v>
      </c>
      <c r="AG12" s="239">
        <f>SUM(AF4:AF12)</f>
        <v>396672.1</v>
      </c>
    </row>
    <row r="13" spans="1:33" x14ac:dyDescent="0.3">
      <c r="A13" s="235">
        <v>10</v>
      </c>
      <c r="B13" s="237">
        <v>16</v>
      </c>
      <c r="C13" s="238">
        <v>1</v>
      </c>
      <c r="D13" s="237">
        <v>2018</v>
      </c>
      <c r="E13" s="235">
        <v>1051</v>
      </c>
      <c r="F13" s="239">
        <v>189750.7</v>
      </c>
      <c r="G13" s="240">
        <v>37950.14</v>
      </c>
      <c r="I13" s="238">
        <v>7</v>
      </c>
      <c r="J13" s="237">
        <v>2017</v>
      </c>
      <c r="K13" s="235">
        <v>1051</v>
      </c>
      <c r="L13" s="239">
        <v>5073.8</v>
      </c>
      <c r="M13" s="239"/>
      <c r="N13" s="239">
        <f t="shared" si="0"/>
        <v>162026.66</v>
      </c>
      <c r="P13" s="238">
        <v>7</v>
      </c>
      <c r="Q13" s="237">
        <v>2017</v>
      </c>
      <c r="R13" s="254">
        <v>1051</v>
      </c>
      <c r="S13" s="239">
        <v>5073.8</v>
      </c>
      <c r="T13" s="239"/>
      <c r="U13" s="239">
        <f t="shared" si="1"/>
        <v>192026.66</v>
      </c>
      <c r="AA13" s="252">
        <v>10</v>
      </c>
      <c r="AB13" s="237">
        <v>16</v>
      </c>
      <c r="AC13" s="238">
        <v>1</v>
      </c>
      <c r="AD13" s="237">
        <v>2018</v>
      </c>
      <c r="AE13" s="252">
        <v>1051</v>
      </c>
      <c r="AF13" s="239">
        <v>189750.7</v>
      </c>
      <c r="AG13" s="240"/>
    </row>
    <row r="14" spans="1:33" x14ac:dyDescent="0.3">
      <c r="A14" s="235">
        <v>11</v>
      </c>
      <c r="B14" s="237">
        <v>16</v>
      </c>
      <c r="C14" s="238">
        <v>2</v>
      </c>
      <c r="D14" s="237">
        <v>2018</v>
      </c>
      <c r="E14" s="235">
        <v>1051</v>
      </c>
      <c r="F14" s="239">
        <v>11174.57</v>
      </c>
      <c r="G14" s="240"/>
      <c r="I14" s="238"/>
      <c r="J14" s="237"/>
      <c r="K14" s="235"/>
      <c r="L14" s="239"/>
      <c r="M14" s="239">
        <v>7500</v>
      </c>
      <c r="N14" s="239">
        <f t="shared" si="0"/>
        <v>154526.66</v>
      </c>
      <c r="P14" s="238"/>
      <c r="Q14" s="237"/>
      <c r="R14" s="254"/>
      <c r="S14" s="239"/>
      <c r="T14" s="239"/>
      <c r="U14" s="239">
        <f t="shared" si="1"/>
        <v>192026.66</v>
      </c>
      <c r="AA14" s="252">
        <v>11</v>
      </c>
      <c r="AB14" s="237">
        <v>16</v>
      </c>
      <c r="AC14" s="238">
        <v>2</v>
      </c>
      <c r="AD14" s="237">
        <v>2018</v>
      </c>
      <c r="AE14" s="252">
        <v>1051</v>
      </c>
      <c r="AF14" s="239">
        <v>11174.57</v>
      </c>
      <c r="AG14" s="240"/>
    </row>
    <row r="15" spans="1:33" x14ac:dyDescent="0.3">
      <c r="A15" s="235">
        <v>12</v>
      </c>
      <c r="B15" s="237">
        <v>16</v>
      </c>
      <c r="C15" s="238">
        <v>3</v>
      </c>
      <c r="D15" s="237">
        <v>2018</v>
      </c>
      <c r="E15" s="235">
        <v>1051</v>
      </c>
      <c r="F15" s="239">
        <v>45722.85</v>
      </c>
      <c r="G15" s="240"/>
      <c r="I15" s="238">
        <v>8</v>
      </c>
      <c r="J15" s="237">
        <v>2017</v>
      </c>
      <c r="K15" s="235">
        <v>1051</v>
      </c>
      <c r="L15" s="239">
        <v>5239.38</v>
      </c>
      <c r="M15" s="239"/>
      <c r="N15" s="239">
        <f t="shared" si="0"/>
        <v>159766.04</v>
      </c>
      <c r="P15" s="238">
        <v>8</v>
      </c>
      <c r="Q15" s="237">
        <v>2017</v>
      </c>
      <c r="R15" s="254">
        <v>1051</v>
      </c>
      <c r="S15" s="239">
        <v>5239.38</v>
      </c>
      <c r="T15" s="239"/>
      <c r="U15" s="239">
        <f t="shared" si="1"/>
        <v>197266.04</v>
      </c>
      <c r="AA15" s="252">
        <v>12</v>
      </c>
      <c r="AB15" s="237">
        <v>16</v>
      </c>
      <c r="AC15" s="238">
        <v>3</v>
      </c>
      <c r="AD15" s="237">
        <v>2018</v>
      </c>
      <c r="AE15" s="252">
        <v>1051</v>
      </c>
      <c r="AF15" s="239">
        <v>45722.85</v>
      </c>
      <c r="AG15" s="240"/>
    </row>
    <row r="16" spans="1:33" x14ac:dyDescent="0.3">
      <c r="A16" s="235">
        <v>13</v>
      </c>
      <c r="B16" s="237">
        <v>16</v>
      </c>
      <c r="C16" s="238">
        <v>4</v>
      </c>
      <c r="D16" s="237">
        <v>2018</v>
      </c>
      <c r="E16" s="235">
        <v>1051</v>
      </c>
      <c r="F16" s="239">
        <v>11213.63</v>
      </c>
      <c r="G16" s="240"/>
      <c r="I16" s="238"/>
      <c r="J16" s="237"/>
      <c r="K16" s="235"/>
      <c r="L16" s="239"/>
      <c r="M16" s="239">
        <v>7500</v>
      </c>
      <c r="N16" s="239">
        <f t="shared" si="0"/>
        <v>152266.04</v>
      </c>
      <c r="P16" s="238"/>
      <c r="Q16" s="237"/>
      <c r="R16" s="254"/>
      <c r="S16" s="239"/>
      <c r="T16" s="239"/>
      <c r="U16" s="239">
        <f t="shared" si="1"/>
        <v>197266.04</v>
      </c>
      <c r="AA16" s="252">
        <v>13</v>
      </c>
      <c r="AB16" s="237">
        <v>16</v>
      </c>
      <c r="AC16" s="238">
        <v>4</v>
      </c>
      <c r="AD16" s="237">
        <v>2018</v>
      </c>
      <c r="AE16" s="252">
        <v>1051</v>
      </c>
      <c r="AF16" s="239">
        <v>11213.63</v>
      </c>
      <c r="AG16" s="240"/>
    </row>
    <row r="17" spans="1:33" x14ac:dyDescent="0.3">
      <c r="A17" s="235">
        <v>14</v>
      </c>
      <c r="B17" s="237">
        <v>16</v>
      </c>
      <c r="C17" s="238">
        <v>5</v>
      </c>
      <c r="D17" s="237">
        <v>2018</v>
      </c>
      <c r="E17" s="235">
        <v>1051</v>
      </c>
      <c r="F17" s="239">
        <v>10853.81</v>
      </c>
      <c r="G17" s="240"/>
      <c r="I17" s="238">
        <v>9</v>
      </c>
      <c r="J17" s="237">
        <v>2017</v>
      </c>
      <c r="K17" s="235">
        <v>1051</v>
      </c>
      <c r="L17" s="239">
        <v>99992.85</v>
      </c>
      <c r="M17" s="239"/>
      <c r="N17" s="239">
        <f t="shared" si="0"/>
        <v>252258.89</v>
      </c>
      <c r="P17" s="238">
        <v>9</v>
      </c>
      <c r="Q17" s="237">
        <v>2017</v>
      </c>
      <c r="R17" s="254">
        <v>1051</v>
      </c>
      <c r="S17" s="239">
        <v>99992.85</v>
      </c>
      <c r="T17" s="239"/>
      <c r="U17" s="239">
        <f t="shared" si="1"/>
        <v>297258.89</v>
      </c>
      <c r="AA17" s="252">
        <v>14</v>
      </c>
      <c r="AB17" s="237">
        <v>16</v>
      </c>
      <c r="AC17" s="238">
        <v>5</v>
      </c>
      <c r="AD17" s="237">
        <v>2018</v>
      </c>
      <c r="AE17" s="252">
        <v>1051</v>
      </c>
      <c r="AF17" s="239">
        <v>10853.81</v>
      </c>
      <c r="AG17" s="240"/>
    </row>
    <row r="18" spans="1:33" x14ac:dyDescent="0.3">
      <c r="A18" s="235">
        <v>15</v>
      </c>
      <c r="B18" s="237">
        <v>16</v>
      </c>
      <c r="C18" s="238">
        <v>6</v>
      </c>
      <c r="D18" s="237">
        <v>2018</v>
      </c>
      <c r="E18" s="235">
        <v>1051</v>
      </c>
      <c r="F18" s="239">
        <v>61778.99</v>
      </c>
      <c r="G18" s="240"/>
      <c r="I18" s="238"/>
      <c r="J18" s="237"/>
      <c r="K18" s="235"/>
      <c r="L18" s="239"/>
      <c r="M18" s="239">
        <v>19998.57</v>
      </c>
      <c r="N18" s="239">
        <f t="shared" si="0"/>
        <v>232260.32</v>
      </c>
      <c r="P18" s="238"/>
      <c r="Q18" s="237"/>
      <c r="R18" s="254"/>
      <c r="S18" s="239"/>
      <c r="T18" s="239">
        <v>19998.57</v>
      </c>
      <c r="U18" s="239">
        <f t="shared" si="1"/>
        <v>277260.32</v>
      </c>
      <c r="AA18" s="252">
        <v>15</v>
      </c>
      <c r="AB18" s="237">
        <v>16</v>
      </c>
      <c r="AC18" s="238">
        <v>6</v>
      </c>
      <c r="AD18" s="237">
        <v>2018</v>
      </c>
      <c r="AE18" s="252">
        <v>1051</v>
      </c>
      <c r="AF18" s="239">
        <v>61778.99</v>
      </c>
      <c r="AG18" s="240"/>
    </row>
    <row r="19" spans="1:33" x14ac:dyDescent="0.3">
      <c r="A19" s="235">
        <v>16</v>
      </c>
      <c r="B19" s="237">
        <v>16</v>
      </c>
      <c r="C19" s="238">
        <v>7</v>
      </c>
      <c r="D19" s="237">
        <v>2018</v>
      </c>
      <c r="E19" s="235">
        <v>1051</v>
      </c>
      <c r="F19" s="239">
        <v>1897.36</v>
      </c>
      <c r="G19" s="240"/>
      <c r="I19" s="238"/>
      <c r="J19" s="237"/>
      <c r="K19" s="235"/>
      <c r="L19" s="239"/>
      <c r="M19" s="239">
        <v>7500</v>
      </c>
      <c r="N19" s="239">
        <f t="shared" si="0"/>
        <v>224760.32000000001</v>
      </c>
      <c r="P19" s="238"/>
      <c r="Q19" s="237"/>
      <c r="R19" s="254"/>
      <c r="S19" s="239"/>
      <c r="T19" s="239"/>
      <c r="U19" s="239">
        <f t="shared" si="1"/>
        <v>277260.32</v>
      </c>
      <c r="AA19" s="252">
        <v>16</v>
      </c>
      <c r="AB19" s="237">
        <v>16</v>
      </c>
      <c r="AC19" s="238">
        <v>7</v>
      </c>
      <c r="AD19" s="237">
        <v>2018</v>
      </c>
      <c r="AE19" s="252">
        <v>1051</v>
      </c>
      <c r="AF19" s="239">
        <v>1897.36</v>
      </c>
      <c r="AG19" s="240"/>
    </row>
    <row r="20" spans="1:33" x14ac:dyDescent="0.3">
      <c r="A20" s="235">
        <v>17</v>
      </c>
      <c r="B20" s="237">
        <v>16</v>
      </c>
      <c r="C20" s="238">
        <v>8</v>
      </c>
      <c r="D20" s="237">
        <v>2018</v>
      </c>
      <c r="E20" s="235">
        <v>1051</v>
      </c>
      <c r="F20" s="239">
        <v>1954.11</v>
      </c>
      <c r="G20" s="240"/>
      <c r="I20" s="238">
        <v>10</v>
      </c>
      <c r="J20" s="237">
        <v>2017</v>
      </c>
      <c r="K20" s="235">
        <v>1051</v>
      </c>
      <c r="L20" s="239">
        <v>33648.339999999997</v>
      </c>
      <c r="M20" s="239"/>
      <c r="N20" s="239">
        <f t="shared" si="0"/>
        <v>258408.66</v>
      </c>
      <c r="P20" s="238">
        <v>10</v>
      </c>
      <c r="Q20" s="237">
        <v>2017</v>
      </c>
      <c r="R20" s="254">
        <v>1051</v>
      </c>
      <c r="S20" s="239">
        <v>33648.339999999997</v>
      </c>
      <c r="T20" s="239"/>
      <c r="U20" s="239">
        <f t="shared" si="1"/>
        <v>310908.66000000003</v>
      </c>
      <c r="AA20" s="252">
        <v>17</v>
      </c>
      <c r="AB20" s="237">
        <v>16</v>
      </c>
      <c r="AC20" s="238">
        <v>8</v>
      </c>
      <c r="AD20" s="237">
        <v>2018</v>
      </c>
      <c r="AE20" s="252">
        <v>1051</v>
      </c>
      <c r="AF20" s="239">
        <v>1954.11</v>
      </c>
      <c r="AG20" s="240"/>
    </row>
    <row r="21" spans="1:33" x14ac:dyDescent="0.3">
      <c r="A21" s="235">
        <v>18</v>
      </c>
      <c r="B21" s="237">
        <v>16</v>
      </c>
      <c r="C21" s="238">
        <v>9</v>
      </c>
      <c r="D21" s="237">
        <v>2018</v>
      </c>
      <c r="E21" s="235">
        <v>1051</v>
      </c>
      <c r="F21" s="239">
        <v>1947.71</v>
      </c>
      <c r="G21" s="240"/>
      <c r="I21" s="238"/>
      <c r="J21" s="237"/>
      <c r="K21" s="235"/>
      <c r="L21" s="239"/>
      <c r="M21" s="239">
        <v>6729.67</v>
      </c>
      <c r="N21" s="239">
        <f t="shared" si="0"/>
        <v>251678.99</v>
      </c>
      <c r="P21" s="238"/>
      <c r="Q21" s="237"/>
      <c r="R21" s="254"/>
      <c r="S21" s="239"/>
      <c r="T21" s="239">
        <v>6729.67</v>
      </c>
      <c r="U21" s="239">
        <f t="shared" si="1"/>
        <v>304178.99000000005</v>
      </c>
      <c r="AA21" s="252">
        <v>18</v>
      </c>
      <c r="AB21" s="237">
        <v>16</v>
      </c>
      <c r="AC21" s="238">
        <v>9</v>
      </c>
      <c r="AD21" s="237">
        <v>2018</v>
      </c>
      <c r="AE21" s="252">
        <v>1051</v>
      </c>
      <c r="AF21" s="239">
        <v>1947.71</v>
      </c>
      <c r="AG21" s="240"/>
    </row>
    <row r="22" spans="1:33" x14ac:dyDescent="0.3">
      <c r="A22" s="235">
        <v>19</v>
      </c>
      <c r="B22" s="237">
        <v>16</v>
      </c>
      <c r="C22" s="238">
        <v>10</v>
      </c>
      <c r="D22" s="237">
        <v>2018</v>
      </c>
      <c r="E22" s="235">
        <v>1051</v>
      </c>
      <c r="F22" s="239">
        <v>99469.99</v>
      </c>
      <c r="G22" s="240"/>
      <c r="I22" s="238"/>
      <c r="J22" s="237"/>
      <c r="K22" s="235"/>
      <c r="L22" s="239"/>
      <c r="M22" s="239">
        <v>7500</v>
      </c>
      <c r="N22" s="239">
        <f t="shared" si="0"/>
        <v>244178.99</v>
      </c>
      <c r="P22" s="238"/>
      <c r="Q22" s="237"/>
      <c r="R22" s="254"/>
      <c r="S22" s="239"/>
      <c r="T22" s="239"/>
      <c r="U22" s="239">
        <f t="shared" si="1"/>
        <v>304178.99000000005</v>
      </c>
      <c r="AA22" s="252">
        <v>19</v>
      </c>
      <c r="AB22" s="237">
        <v>16</v>
      </c>
      <c r="AC22" s="238">
        <v>10</v>
      </c>
      <c r="AD22" s="237">
        <v>2018</v>
      </c>
      <c r="AE22" s="252">
        <v>1051</v>
      </c>
      <c r="AF22" s="239">
        <v>99469.99</v>
      </c>
      <c r="AG22" s="240"/>
    </row>
    <row r="23" spans="1:33" x14ac:dyDescent="0.3">
      <c r="A23" s="235">
        <v>20</v>
      </c>
      <c r="B23" s="237">
        <v>16</v>
      </c>
      <c r="C23" s="238">
        <v>11</v>
      </c>
      <c r="D23" s="237">
        <v>2018</v>
      </c>
      <c r="E23" s="235">
        <v>1051</v>
      </c>
      <c r="F23" s="239">
        <v>2017.28</v>
      </c>
      <c r="G23" s="240"/>
      <c r="I23" s="238">
        <v>11</v>
      </c>
      <c r="J23" s="237">
        <v>2017</v>
      </c>
      <c r="K23" s="235">
        <v>1051</v>
      </c>
      <c r="L23" s="239">
        <v>5419.49</v>
      </c>
      <c r="M23" s="239"/>
      <c r="N23" s="239">
        <f t="shared" si="0"/>
        <v>249598.47999999998</v>
      </c>
      <c r="P23" s="238">
        <v>11</v>
      </c>
      <c r="Q23" s="237">
        <v>2017</v>
      </c>
      <c r="R23" s="254">
        <v>1051</v>
      </c>
      <c r="S23" s="239">
        <v>5419.49</v>
      </c>
      <c r="T23" s="239"/>
      <c r="U23" s="239">
        <f t="shared" si="1"/>
        <v>309598.48000000004</v>
      </c>
      <c r="AA23" s="252">
        <v>20</v>
      </c>
      <c r="AB23" s="237">
        <v>16</v>
      </c>
      <c r="AC23" s="238">
        <v>11</v>
      </c>
      <c r="AD23" s="237">
        <v>2018</v>
      </c>
      <c r="AE23" s="252">
        <v>1051</v>
      </c>
      <c r="AF23" s="239">
        <v>2017.28</v>
      </c>
      <c r="AG23" s="240"/>
    </row>
    <row r="24" spans="1:33" x14ac:dyDescent="0.3">
      <c r="A24" s="235">
        <v>21</v>
      </c>
      <c r="B24" s="237">
        <v>16</v>
      </c>
      <c r="C24" s="238">
        <v>12</v>
      </c>
      <c r="D24" s="237">
        <v>2018</v>
      </c>
      <c r="E24" s="235">
        <v>1051</v>
      </c>
      <c r="F24" s="239">
        <v>1946.16</v>
      </c>
      <c r="G24" s="239"/>
      <c r="I24" s="238"/>
      <c r="J24" s="237"/>
      <c r="K24" s="235"/>
      <c r="L24" s="239"/>
      <c r="M24" s="239">
        <v>7500</v>
      </c>
      <c r="N24" s="239">
        <f t="shared" si="0"/>
        <v>242098.47999999998</v>
      </c>
      <c r="P24" s="238"/>
      <c r="Q24" s="237"/>
      <c r="R24" s="254"/>
      <c r="S24" s="239"/>
      <c r="T24" s="239"/>
      <c r="U24" s="239">
        <f t="shared" si="1"/>
        <v>309598.48000000004</v>
      </c>
      <c r="AA24" s="252">
        <v>21</v>
      </c>
      <c r="AB24" s="237">
        <v>16</v>
      </c>
      <c r="AC24" s="238">
        <v>12</v>
      </c>
      <c r="AD24" s="237">
        <v>2018</v>
      </c>
      <c r="AE24" s="252">
        <v>1051</v>
      </c>
      <c r="AF24" s="239">
        <v>1946.16</v>
      </c>
      <c r="AG24" s="239">
        <f>SUM(AF13:AF24)</f>
        <v>439727.16000000003</v>
      </c>
    </row>
    <row r="25" spans="1:33" x14ac:dyDescent="0.3">
      <c r="A25" s="235">
        <v>22</v>
      </c>
      <c r="B25" s="237">
        <v>16</v>
      </c>
      <c r="C25" s="238">
        <v>1</v>
      </c>
      <c r="D25" s="235">
        <v>2019</v>
      </c>
      <c r="E25" s="235">
        <v>1051</v>
      </c>
      <c r="F25" s="239">
        <v>24798.45</v>
      </c>
      <c r="G25" s="240"/>
      <c r="I25" s="238">
        <v>12</v>
      </c>
      <c r="J25" s="237">
        <v>2017</v>
      </c>
      <c r="K25" s="235">
        <v>1051</v>
      </c>
      <c r="L25" s="239">
        <v>14830.61</v>
      </c>
      <c r="M25" s="239"/>
      <c r="N25" s="239">
        <f t="shared" si="0"/>
        <v>256929.08999999997</v>
      </c>
      <c r="P25" s="238">
        <v>12</v>
      </c>
      <c r="Q25" s="237">
        <v>2017</v>
      </c>
      <c r="R25" s="254">
        <v>1051</v>
      </c>
      <c r="S25" s="239">
        <v>14830.61</v>
      </c>
      <c r="T25" s="239"/>
      <c r="U25" s="239">
        <f t="shared" si="1"/>
        <v>324429.09000000003</v>
      </c>
      <c r="AA25" s="252">
        <v>22</v>
      </c>
      <c r="AB25" s="237">
        <v>16</v>
      </c>
      <c r="AC25" s="238">
        <v>1</v>
      </c>
      <c r="AD25" s="252">
        <v>2019</v>
      </c>
      <c r="AE25" s="252">
        <v>1051</v>
      </c>
      <c r="AF25" s="239">
        <v>24798.45</v>
      </c>
      <c r="AG25" s="240"/>
    </row>
    <row r="26" spans="1:33" x14ac:dyDescent="0.3">
      <c r="A26" s="235">
        <v>23</v>
      </c>
      <c r="B26" s="237">
        <v>16</v>
      </c>
      <c r="C26" s="238">
        <v>2</v>
      </c>
      <c r="D26" s="235">
        <v>2019</v>
      </c>
      <c r="E26" s="235">
        <v>1051</v>
      </c>
      <c r="F26" s="239">
        <v>2250.4899999999998</v>
      </c>
      <c r="G26" s="240"/>
      <c r="I26" s="238"/>
      <c r="J26" s="237"/>
      <c r="K26" s="235"/>
      <c r="L26" s="239"/>
      <c r="M26" s="239">
        <v>2966.12</v>
      </c>
      <c r="N26" s="239">
        <f t="shared" si="0"/>
        <v>253962.96999999997</v>
      </c>
      <c r="P26" s="238"/>
      <c r="Q26" s="237"/>
      <c r="R26" s="254"/>
      <c r="S26" s="239"/>
      <c r="T26" s="239">
        <v>2966.12</v>
      </c>
      <c r="U26" s="239">
        <f t="shared" si="1"/>
        <v>321462.97000000003</v>
      </c>
      <c r="AA26" s="252">
        <v>23</v>
      </c>
      <c r="AB26" s="237">
        <v>16</v>
      </c>
      <c r="AC26" s="238">
        <v>2</v>
      </c>
      <c r="AD26" s="252">
        <v>2019</v>
      </c>
      <c r="AE26" s="252">
        <v>1051</v>
      </c>
      <c r="AF26" s="239">
        <v>2250.19</v>
      </c>
      <c r="AG26" s="240"/>
    </row>
    <row r="27" spans="1:33" x14ac:dyDescent="0.3">
      <c r="A27" s="235">
        <v>24</v>
      </c>
      <c r="B27" s="237">
        <v>16</v>
      </c>
      <c r="C27" s="238">
        <v>3</v>
      </c>
      <c r="D27" s="235">
        <v>2019</v>
      </c>
      <c r="E27" s="235">
        <v>1051</v>
      </c>
      <c r="F27" s="239">
        <v>2027.23</v>
      </c>
      <c r="G27" s="240"/>
      <c r="I27" s="238"/>
      <c r="J27" s="237"/>
      <c r="K27" s="235"/>
      <c r="L27" s="239"/>
      <c r="M27" s="239">
        <v>7500</v>
      </c>
      <c r="N27" s="239">
        <f t="shared" si="0"/>
        <v>246462.96999999997</v>
      </c>
      <c r="P27" s="238"/>
      <c r="Q27" s="237"/>
      <c r="R27" s="254"/>
      <c r="S27" s="239"/>
      <c r="T27" s="239"/>
      <c r="U27" s="239">
        <f t="shared" si="1"/>
        <v>321462.97000000003</v>
      </c>
      <c r="AA27" s="252">
        <v>24</v>
      </c>
      <c r="AB27" s="237">
        <v>16</v>
      </c>
      <c r="AC27" s="238">
        <v>3</v>
      </c>
      <c r="AD27" s="252">
        <v>2019</v>
      </c>
      <c r="AE27" s="252">
        <v>1051</v>
      </c>
      <c r="AF27" s="239">
        <v>2027.23</v>
      </c>
      <c r="AG27" s="240"/>
    </row>
    <row r="28" spans="1:33" x14ac:dyDescent="0.3">
      <c r="A28" s="235">
        <v>25</v>
      </c>
      <c r="B28" s="237">
        <v>16</v>
      </c>
      <c r="C28" s="238">
        <v>4</v>
      </c>
      <c r="D28" s="235">
        <v>2019</v>
      </c>
      <c r="E28" s="235">
        <v>1051</v>
      </c>
      <c r="F28" s="239">
        <v>18700.599999999999</v>
      </c>
      <c r="G28" s="240"/>
      <c r="I28" s="238">
        <v>1</v>
      </c>
      <c r="J28" s="237">
        <v>2018</v>
      </c>
      <c r="K28" s="235">
        <v>1051</v>
      </c>
      <c r="L28" s="239">
        <v>189750.7</v>
      </c>
      <c r="M28" s="239"/>
      <c r="N28" s="239">
        <f t="shared" si="0"/>
        <v>436213.67</v>
      </c>
      <c r="P28" s="238">
        <v>1</v>
      </c>
      <c r="Q28" s="237">
        <v>2018</v>
      </c>
      <c r="R28" s="254">
        <v>1051</v>
      </c>
      <c r="S28" s="239">
        <v>189750.7</v>
      </c>
      <c r="T28" s="239"/>
      <c r="U28" s="239">
        <f t="shared" si="1"/>
        <v>511213.67000000004</v>
      </c>
      <c r="AA28" s="252">
        <v>25</v>
      </c>
      <c r="AB28" s="237">
        <v>16</v>
      </c>
      <c r="AC28" s="238">
        <v>4</v>
      </c>
      <c r="AD28" s="252">
        <v>2019</v>
      </c>
      <c r="AE28" s="252">
        <v>1051</v>
      </c>
      <c r="AF28" s="239">
        <v>18700.599999999999</v>
      </c>
      <c r="AG28" s="240"/>
    </row>
    <row r="29" spans="1:33" x14ac:dyDescent="0.3">
      <c r="A29" s="235">
        <v>26</v>
      </c>
      <c r="B29" s="237">
        <v>16</v>
      </c>
      <c r="C29" s="238">
        <v>5</v>
      </c>
      <c r="D29" s="235">
        <v>2019</v>
      </c>
      <c r="E29" s="235">
        <v>1051</v>
      </c>
      <c r="F29" s="239">
        <v>1008.45</v>
      </c>
      <c r="G29" s="240"/>
      <c r="I29" s="238"/>
      <c r="J29" s="237"/>
      <c r="K29" s="235"/>
      <c r="L29" s="239"/>
      <c r="M29" s="239">
        <v>37950.14</v>
      </c>
      <c r="N29" s="239">
        <f t="shared" si="0"/>
        <v>398263.52999999997</v>
      </c>
      <c r="P29" s="238"/>
      <c r="Q29" s="237"/>
      <c r="R29" s="254"/>
      <c r="S29" s="239"/>
      <c r="T29" s="239">
        <v>37950.14</v>
      </c>
      <c r="U29" s="239">
        <f t="shared" si="1"/>
        <v>473263.53</v>
      </c>
      <c r="AA29" s="252">
        <v>26</v>
      </c>
      <c r="AB29" s="237">
        <v>16</v>
      </c>
      <c r="AC29" s="238">
        <v>5</v>
      </c>
      <c r="AD29" s="252">
        <v>2019</v>
      </c>
      <c r="AE29" s="252">
        <v>1051</v>
      </c>
      <c r="AF29" s="239">
        <v>1008.45</v>
      </c>
      <c r="AG29" s="240"/>
    </row>
    <row r="30" spans="1:33" x14ac:dyDescent="0.3">
      <c r="A30" s="235">
        <v>27</v>
      </c>
      <c r="B30" s="237">
        <v>16</v>
      </c>
      <c r="C30" s="238">
        <v>6</v>
      </c>
      <c r="D30" s="235">
        <v>2019</v>
      </c>
      <c r="E30" s="235">
        <v>1051</v>
      </c>
      <c r="F30" s="239">
        <v>432.95</v>
      </c>
      <c r="G30" s="240"/>
      <c r="I30" s="238"/>
      <c r="J30" s="237"/>
      <c r="K30" s="235"/>
      <c r="L30" s="239"/>
      <c r="M30" s="239">
        <v>7500</v>
      </c>
      <c r="N30" s="239">
        <f t="shared" si="0"/>
        <v>390763.52999999997</v>
      </c>
      <c r="P30" s="238"/>
      <c r="Q30" s="237"/>
      <c r="R30" s="254"/>
      <c r="S30" s="239"/>
      <c r="T30" s="239"/>
      <c r="U30" s="239">
        <f t="shared" si="1"/>
        <v>473263.53</v>
      </c>
      <c r="AA30" s="252">
        <v>27</v>
      </c>
      <c r="AB30" s="237">
        <v>16</v>
      </c>
      <c r="AC30" s="238">
        <v>6</v>
      </c>
      <c r="AD30" s="252">
        <v>2019</v>
      </c>
      <c r="AE30" s="252">
        <v>1051</v>
      </c>
      <c r="AF30" s="239">
        <v>432.95</v>
      </c>
      <c r="AG30" s="240"/>
    </row>
    <row r="31" spans="1:33" x14ac:dyDescent="0.3">
      <c r="A31" s="235">
        <v>28</v>
      </c>
      <c r="B31" s="237">
        <v>16</v>
      </c>
      <c r="C31" s="238">
        <v>7</v>
      </c>
      <c r="D31" s="235">
        <v>2019</v>
      </c>
      <c r="E31" s="235">
        <v>1051</v>
      </c>
      <c r="F31" s="239">
        <v>33232.269999999997</v>
      </c>
      <c r="G31" s="240"/>
      <c r="I31" s="238">
        <v>2</v>
      </c>
      <c r="J31" s="237">
        <v>2018</v>
      </c>
      <c r="K31" s="235">
        <v>1051</v>
      </c>
      <c r="L31" s="239">
        <v>11174.57</v>
      </c>
      <c r="M31" s="239"/>
      <c r="N31" s="239">
        <f t="shared" si="0"/>
        <v>401938.1</v>
      </c>
      <c r="P31" s="238">
        <v>2</v>
      </c>
      <c r="Q31" s="237">
        <v>2018</v>
      </c>
      <c r="R31" s="254">
        <v>1051</v>
      </c>
      <c r="S31" s="239">
        <v>11174.57</v>
      </c>
      <c r="T31" s="239"/>
      <c r="U31" s="239">
        <f t="shared" si="1"/>
        <v>484438.10000000003</v>
      </c>
      <c r="AA31" s="252">
        <v>28</v>
      </c>
      <c r="AB31" s="237">
        <v>16</v>
      </c>
      <c r="AC31" s="238">
        <v>7</v>
      </c>
      <c r="AD31" s="252">
        <v>2019</v>
      </c>
      <c r="AE31" s="252">
        <v>1051</v>
      </c>
      <c r="AF31" s="239">
        <v>33232.269999999997</v>
      </c>
      <c r="AG31" s="240"/>
    </row>
    <row r="32" spans="1:33" x14ac:dyDescent="0.3">
      <c r="A32" s="235">
        <v>29</v>
      </c>
      <c r="B32" s="237">
        <v>16</v>
      </c>
      <c r="C32" s="238">
        <v>8</v>
      </c>
      <c r="D32" s="235">
        <v>2019</v>
      </c>
      <c r="E32" s="235">
        <v>1051</v>
      </c>
      <c r="F32" s="239">
        <v>444.64</v>
      </c>
      <c r="G32" s="240"/>
      <c r="I32" s="238"/>
      <c r="J32" s="237"/>
      <c r="K32" s="235"/>
      <c r="L32" s="239"/>
      <c r="M32" s="239">
        <v>2234.91</v>
      </c>
      <c r="N32" s="239">
        <f t="shared" si="0"/>
        <v>399703.19</v>
      </c>
      <c r="P32" s="238"/>
      <c r="Q32" s="237"/>
      <c r="R32" s="254"/>
      <c r="S32" s="239"/>
      <c r="T32" s="239">
        <v>2234.91</v>
      </c>
      <c r="U32" s="239">
        <f t="shared" si="1"/>
        <v>482203.19000000006</v>
      </c>
      <c r="AA32" s="252">
        <v>29</v>
      </c>
      <c r="AB32" s="237">
        <v>16</v>
      </c>
      <c r="AC32" s="238">
        <v>8</v>
      </c>
      <c r="AD32" s="252">
        <v>2019</v>
      </c>
      <c r="AE32" s="252">
        <v>1051</v>
      </c>
      <c r="AF32" s="239">
        <v>444.64</v>
      </c>
      <c r="AG32" s="240"/>
    </row>
    <row r="33" spans="1:33" x14ac:dyDescent="0.3">
      <c r="A33" s="235">
        <v>30</v>
      </c>
      <c r="B33" s="237">
        <v>16</v>
      </c>
      <c r="C33" s="238">
        <v>9</v>
      </c>
      <c r="D33" s="235">
        <v>2019</v>
      </c>
      <c r="E33" s="235">
        <v>1051</v>
      </c>
      <c r="F33" s="239">
        <v>33268.870000000003</v>
      </c>
      <c r="G33" s="240"/>
      <c r="I33" s="238"/>
      <c r="J33" s="237"/>
      <c r="K33" s="235"/>
      <c r="L33" s="239"/>
      <c r="M33" s="239">
        <v>7500</v>
      </c>
      <c r="N33" s="239">
        <f t="shared" si="0"/>
        <v>392203.19</v>
      </c>
      <c r="P33" s="238"/>
      <c r="Q33" s="237"/>
      <c r="R33" s="254"/>
      <c r="S33" s="239"/>
      <c r="T33" s="239"/>
      <c r="U33" s="239">
        <f t="shared" si="1"/>
        <v>482203.19000000006</v>
      </c>
      <c r="AA33" s="252">
        <v>30</v>
      </c>
      <c r="AB33" s="237">
        <v>16</v>
      </c>
      <c r="AC33" s="238">
        <v>9</v>
      </c>
      <c r="AD33" s="252">
        <v>2019</v>
      </c>
      <c r="AE33" s="252">
        <v>1051</v>
      </c>
      <c r="AF33" s="239">
        <v>33268.870000000003</v>
      </c>
      <c r="AG33" s="240"/>
    </row>
    <row r="34" spans="1:33" x14ac:dyDescent="0.3">
      <c r="A34" s="235">
        <v>31</v>
      </c>
      <c r="B34" s="237">
        <v>16</v>
      </c>
      <c r="C34" s="238">
        <v>10</v>
      </c>
      <c r="D34" s="235">
        <v>2019</v>
      </c>
      <c r="E34" s="235">
        <v>1051</v>
      </c>
      <c r="F34" s="239">
        <v>441.76</v>
      </c>
      <c r="G34" s="240"/>
      <c r="I34" s="238">
        <v>3</v>
      </c>
      <c r="J34" s="237">
        <v>2018</v>
      </c>
      <c r="K34" s="235">
        <v>1051</v>
      </c>
      <c r="L34" s="239">
        <v>45722.85</v>
      </c>
      <c r="M34" s="239"/>
      <c r="N34" s="239">
        <f t="shared" si="0"/>
        <v>437926.04</v>
      </c>
      <c r="P34" s="238">
        <v>3</v>
      </c>
      <c r="Q34" s="237">
        <v>2018</v>
      </c>
      <c r="R34" s="254">
        <v>1051</v>
      </c>
      <c r="S34" s="239">
        <v>45722.85</v>
      </c>
      <c r="T34" s="239"/>
      <c r="U34" s="239">
        <f t="shared" si="1"/>
        <v>527926.04</v>
      </c>
      <c r="AA34" s="252">
        <v>31</v>
      </c>
      <c r="AB34" s="237">
        <v>16</v>
      </c>
      <c r="AC34" s="238">
        <v>10</v>
      </c>
      <c r="AD34" s="252">
        <v>2019</v>
      </c>
      <c r="AE34" s="252">
        <v>1051</v>
      </c>
      <c r="AF34" s="239">
        <v>441.76</v>
      </c>
      <c r="AG34" s="240"/>
    </row>
    <row r="35" spans="1:33" x14ac:dyDescent="0.3">
      <c r="A35" s="235">
        <v>32</v>
      </c>
      <c r="B35" s="237">
        <v>16</v>
      </c>
      <c r="C35" s="238">
        <v>11</v>
      </c>
      <c r="D35" s="235">
        <v>2019</v>
      </c>
      <c r="E35" s="235">
        <v>1051</v>
      </c>
      <c r="F35" s="239">
        <v>448.36</v>
      </c>
      <c r="G35" s="240"/>
      <c r="I35" s="238"/>
      <c r="J35" s="237"/>
      <c r="K35" s="235"/>
      <c r="L35" s="239"/>
      <c r="M35" s="239">
        <v>9144.57</v>
      </c>
      <c r="N35" s="239">
        <f t="shared" si="0"/>
        <v>428781.47</v>
      </c>
      <c r="P35" s="238"/>
      <c r="Q35" s="237"/>
      <c r="R35" s="254"/>
      <c r="S35" s="239"/>
      <c r="T35" s="239">
        <v>9144.57</v>
      </c>
      <c r="U35" s="239">
        <f t="shared" si="1"/>
        <v>518781.47000000003</v>
      </c>
      <c r="AA35" s="252">
        <v>32</v>
      </c>
      <c r="AB35" s="237">
        <v>16</v>
      </c>
      <c r="AC35" s="238">
        <v>11</v>
      </c>
      <c r="AD35" s="252">
        <v>2019</v>
      </c>
      <c r="AE35" s="252">
        <v>1051</v>
      </c>
      <c r="AF35" s="239">
        <v>448.36</v>
      </c>
      <c r="AG35" s="240"/>
    </row>
    <row r="36" spans="1:33" x14ac:dyDescent="0.3">
      <c r="A36" s="235">
        <v>33</v>
      </c>
      <c r="B36" s="237">
        <v>16</v>
      </c>
      <c r="C36" s="238">
        <v>12</v>
      </c>
      <c r="D36" s="235">
        <v>2019</v>
      </c>
      <c r="E36" s="235">
        <v>1051</v>
      </c>
      <c r="F36" s="239">
        <v>426.24</v>
      </c>
      <c r="G36" s="239"/>
      <c r="I36" s="238"/>
      <c r="J36" s="237"/>
      <c r="K36" s="235"/>
      <c r="L36" s="239"/>
      <c r="M36" s="239">
        <v>7500</v>
      </c>
      <c r="N36" s="239">
        <f t="shared" si="0"/>
        <v>421281.47</v>
      </c>
      <c r="P36" s="238"/>
      <c r="Q36" s="237"/>
      <c r="R36" s="254"/>
      <c r="S36" s="239"/>
      <c r="T36" s="239"/>
      <c r="U36" s="239">
        <f t="shared" si="1"/>
        <v>518781.47000000003</v>
      </c>
      <c r="AA36" s="252">
        <v>33</v>
      </c>
      <c r="AB36" s="237">
        <v>16</v>
      </c>
      <c r="AC36" s="238">
        <v>12</v>
      </c>
      <c r="AD36" s="252">
        <v>2019</v>
      </c>
      <c r="AE36" s="252">
        <v>1051</v>
      </c>
      <c r="AF36" s="239">
        <v>426.24</v>
      </c>
      <c r="AG36" s="239">
        <f>SUM(AF25:AF36)</f>
        <v>117480.01</v>
      </c>
    </row>
    <row r="37" spans="1:33" x14ac:dyDescent="0.3">
      <c r="A37" s="235">
        <v>34</v>
      </c>
      <c r="B37" s="237">
        <v>16</v>
      </c>
      <c r="C37" s="238">
        <v>1</v>
      </c>
      <c r="D37" s="235">
        <v>2020</v>
      </c>
      <c r="E37" s="235">
        <v>1051</v>
      </c>
      <c r="F37" s="239">
        <v>65598.38</v>
      </c>
      <c r="G37" s="240"/>
      <c r="I37" s="238">
        <v>4</v>
      </c>
      <c r="J37" s="237">
        <v>2018</v>
      </c>
      <c r="K37" s="235">
        <v>1051</v>
      </c>
      <c r="L37" s="239">
        <v>11213.63</v>
      </c>
      <c r="M37" s="239"/>
      <c r="N37" s="239">
        <f t="shared" si="0"/>
        <v>432495.1</v>
      </c>
      <c r="P37" s="238">
        <v>4</v>
      </c>
      <c r="Q37" s="237">
        <v>2018</v>
      </c>
      <c r="R37" s="254">
        <v>1051</v>
      </c>
      <c r="S37" s="239">
        <v>11213.63</v>
      </c>
      <c r="T37" s="239"/>
      <c r="U37" s="239">
        <f t="shared" si="1"/>
        <v>529995.1</v>
      </c>
      <c r="AA37" s="252">
        <v>34</v>
      </c>
      <c r="AB37" s="237">
        <v>16</v>
      </c>
      <c r="AC37" s="238">
        <v>1</v>
      </c>
      <c r="AD37" s="252">
        <v>2020</v>
      </c>
      <c r="AE37" s="252">
        <v>1051</v>
      </c>
      <c r="AF37" s="239">
        <v>65598.38</v>
      </c>
      <c r="AG37" s="240"/>
    </row>
    <row r="38" spans="1:33" x14ac:dyDescent="0.3">
      <c r="A38" s="235">
        <v>35</v>
      </c>
      <c r="B38" s="237">
        <v>16</v>
      </c>
      <c r="C38" s="238">
        <v>2</v>
      </c>
      <c r="D38" s="235">
        <v>2020</v>
      </c>
      <c r="E38" s="235">
        <v>1051</v>
      </c>
      <c r="F38" s="239">
        <v>479.53</v>
      </c>
      <c r="G38" s="240"/>
      <c r="I38" s="238"/>
      <c r="J38" s="237"/>
      <c r="K38" s="235"/>
      <c r="L38" s="239"/>
      <c r="M38" s="239">
        <v>2242.73</v>
      </c>
      <c r="N38" s="239">
        <f t="shared" si="0"/>
        <v>430252.37</v>
      </c>
      <c r="P38" s="238"/>
      <c r="Q38" s="237"/>
      <c r="R38" s="254"/>
      <c r="S38" s="239"/>
      <c r="T38" s="239">
        <v>2242.73</v>
      </c>
      <c r="U38" s="239">
        <f t="shared" si="1"/>
        <v>527752.37</v>
      </c>
      <c r="AA38" s="252">
        <v>35</v>
      </c>
      <c r="AB38" s="237">
        <v>16</v>
      </c>
      <c r="AC38" s="238">
        <v>2</v>
      </c>
      <c r="AD38" s="252">
        <v>2020</v>
      </c>
      <c r="AE38" s="252">
        <v>1051</v>
      </c>
      <c r="AF38" s="239">
        <v>479.53</v>
      </c>
      <c r="AG38" s="240"/>
    </row>
    <row r="39" spans="1:33" x14ac:dyDescent="0.3">
      <c r="A39" s="235">
        <v>36</v>
      </c>
      <c r="B39" s="237">
        <v>16</v>
      </c>
      <c r="C39" s="238">
        <v>3</v>
      </c>
      <c r="D39" s="235">
        <v>2020</v>
      </c>
      <c r="E39" s="235">
        <v>1051</v>
      </c>
      <c r="F39" s="239">
        <v>47759.09</v>
      </c>
      <c r="G39" s="240"/>
      <c r="I39" s="238"/>
      <c r="J39" s="237"/>
      <c r="K39" s="235"/>
      <c r="L39" s="239"/>
      <c r="M39" s="239">
        <v>7500</v>
      </c>
      <c r="N39" s="239">
        <f t="shared" si="0"/>
        <v>422752.37</v>
      </c>
      <c r="P39" s="238"/>
      <c r="Q39" s="237"/>
      <c r="R39" s="254"/>
      <c r="S39" s="239"/>
      <c r="T39" s="239"/>
      <c r="U39" s="239">
        <f t="shared" si="1"/>
        <v>527752.37</v>
      </c>
      <c r="AA39" s="252">
        <v>36</v>
      </c>
      <c r="AB39" s="237">
        <v>16</v>
      </c>
      <c r="AC39" s="238">
        <v>3</v>
      </c>
      <c r="AD39" s="252">
        <v>2020</v>
      </c>
      <c r="AE39" s="252">
        <v>1051</v>
      </c>
      <c r="AF39" s="239">
        <v>47759.09</v>
      </c>
      <c r="AG39" s="240"/>
    </row>
    <row r="40" spans="1:33" x14ac:dyDescent="0.3">
      <c r="A40" s="235">
        <v>37</v>
      </c>
      <c r="B40" s="237">
        <v>16</v>
      </c>
      <c r="C40" s="238">
        <v>4</v>
      </c>
      <c r="D40" s="235">
        <v>2020</v>
      </c>
      <c r="E40" s="235">
        <v>1051</v>
      </c>
      <c r="F40" s="239">
        <v>503.61</v>
      </c>
      <c r="G40" s="240"/>
      <c r="I40" s="238">
        <v>5</v>
      </c>
      <c r="J40" s="237">
        <v>2018</v>
      </c>
      <c r="K40" s="235">
        <v>1051</v>
      </c>
      <c r="L40" s="239">
        <v>10853.81</v>
      </c>
      <c r="M40" s="239"/>
      <c r="N40" s="239">
        <f t="shared" si="0"/>
        <v>433606.18</v>
      </c>
      <c r="P40" s="238">
        <v>5</v>
      </c>
      <c r="Q40" s="237">
        <v>2018</v>
      </c>
      <c r="R40" s="254">
        <v>1051</v>
      </c>
      <c r="S40" s="239">
        <v>10853.81</v>
      </c>
      <c r="T40" s="239"/>
      <c r="U40" s="239">
        <f t="shared" si="1"/>
        <v>538606.18000000005</v>
      </c>
      <c r="AA40" s="252">
        <v>37</v>
      </c>
      <c r="AB40" s="237">
        <v>16</v>
      </c>
      <c r="AC40" s="238">
        <v>4</v>
      </c>
      <c r="AD40" s="252">
        <v>2020</v>
      </c>
      <c r="AE40" s="252">
        <v>1051</v>
      </c>
      <c r="AF40" s="239">
        <v>503.61</v>
      </c>
      <c r="AG40" s="240"/>
    </row>
    <row r="41" spans="1:33" x14ac:dyDescent="0.3">
      <c r="A41" s="235">
        <v>38</v>
      </c>
      <c r="B41" s="237">
        <v>16</v>
      </c>
      <c r="C41" s="238">
        <v>5</v>
      </c>
      <c r="D41" s="235">
        <v>2020</v>
      </c>
      <c r="E41" s="235">
        <v>1051</v>
      </c>
      <c r="F41" s="239">
        <v>479.76</v>
      </c>
      <c r="G41" s="240"/>
      <c r="I41" s="238"/>
      <c r="J41" s="237"/>
      <c r="K41" s="235"/>
      <c r="L41" s="239"/>
      <c r="M41" s="239">
        <v>2170.7600000000002</v>
      </c>
      <c r="N41" s="239">
        <f t="shared" si="0"/>
        <v>431435.42</v>
      </c>
      <c r="P41" s="238"/>
      <c r="Q41" s="237"/>
      <c r="R41" s="254"/>
      <c r="S41" s="239"/>
      <c r="T41" s="239">
        <v>2170.7600000000002</v>
      </c>
      <c r="U41" s="239">
        <f t="shared" si="1"/>
        <v>536435.42000000004</v>
      </c>
      <c r="AA41" s="252">
        <v>38</v>
      </c>
      <c r="AB41" s="237">
        <v>16</v>
      </c>
      <c r="AC41" s="238">
        <v>5</v>
      </c>
      <c r="AD41" s="252">
        <v>2020</v>
      </c>
      <c r="AE41" s="252">
        <v>1051</v>
      </c>
      <c r="AF41" s="239">
        <v>479.76</v>
      </c>
      <c r="AG41" s="240"/>
    </row>
    <row r="42" spans="1:33" x14ac:dyDescent="0.3">
      <c r="A42" s="235">
        <v>39</v>
      </c>
      <c r="B42" s="237">
        <v>16</v>
      </c>
      <c r="C42" s="238">
        <v>6</v>
      </c>
      <c r="D42" s="235">
        <v>2020</v>
      </c>
      <c r="E42" s="235">
        <v>1051</v>
      </c>
      <c r="F42" s="239">
        <v>487.67</v>
      </c>
      <c r="G42" s="240"/>
      <c r="I42" s="238"/>
      <c r="J42" s="237"/>
      <c r="K42" s="235"/>
      <c r="L42" s="239"/>
      <c r="M42" s="239">
        <v>7500</v>
      </c>
      <c r="N42" s="239">
        <f t="shared" si="0"/>
        <v>423935.42</v>
      </c>
      <c r="P42" s="238"/>
      <c r="Q42" s="237"/>
      <c r="R42" s="254"/>
      <c r="S42" s="239"/>
      <c r="T42" s="239"/>
      <c r="U42" s="239">
        <f t="shared" si="1"/>
        <v>536435.42000000004</v>
      </c>
      <c r="AA42" s="252">
        <v>39</v>
      </c>
      <c r="AB42" s="237">
        <v>16</v>
      </c>
      <c r="AC42" s="238">
        <v>6</v>
      </c>
      <c r="AD42" s="252">
        <v>2020</v>
      </c>
      <c r="AE42" s="252">
        <v>1051</v>
      </c>
      <c r="AF42" s="239">
        <v>487.67</v>
      </c>
      <c r="AG42" s="240"/>
    </row>
    <row r="43" spans="1:33" x14ac:dyDescent="0.3">
      <c r="A43" s="235">
        <v>40</v>
      </c>
      <c r="B43" s="237">
        <v>16</v>
      </c>
      <c r="C43" s="238">
        <v>7</v>
      </c>
      <c r="D43" s="235">
        <v>2020</v>
      </c>
      <c r="E43" s="235">
        <v>1051</v>
      </c>
      <c r="F43" s="239">
        <v>191976.75</v>
      </c>
      <c r="G43" s="240"/>
      <c r="I43" s="238">
        <v>6</v>
      </c>
      <c r="J43" s="237">
        <v>2018</v>
      </c>
      <c r="K43" s="235">
        <v>1051</v>
      </c>
      <c r="L43" s="239">
        <v>61778.99</v>
      </c>
      <c r="M43" s="239"/>
      <c r="N43" s="239">
        <f t="shared" si="0"/>
        <v>485714.41</v>
      </c>
      <c r="P43" s="238">
        <v>6</v>
      </c>
      <c r="Q43" s="237">
        <v>2018</v>
      </c>
      <c r="R43" s="254">
        <v>1051</v>
      </c>
      <c r="S43" s="239">
        <v>61778.99</v>
      </c>
      <c r="T43" s="239"/>
      <c r="U43" s="239">
        <f t="shared" si="1"/>
        <v>598214.41</v>
      </c>
      <c r="AA43" s="252">
        <v>40</v>
      </c>
      <c r="AB43" s="237">
        <v>16</v>
      </c>
      <c r="AC43" s="238">
        <v>7</v>
      </c>
      <c r="AD43" s="252">
        <v>2020</v>
      </c>
      <c r="AE43" s="252">
        <v>1051</v>
      </c>
      <c r="AF43" s="239">
        <v>191976.75</v>
      </c>
      <c r="AG43" s="240"/>
    </row>
    <row r="44" spans="1:33" x14ac:dyDescent="0.3">
      <c r="A44" s="235">
        <v>41</v>
      </c>
      <c r="B44" s="237">
        <v>16</v>
      </c>
      <c r="C44" s="238">
        <v>8</v>
      </c>
      <c r="D44" s="235">
        <v>2020</v>
      </c>
      <c r="E44" s="235">
        <v>1051</v>
      </c>
      <c r="F44" s="239">
        <v>39630.93</v>
      </c>
      <c r="G44" s="240"/>
      <c r="I44" s="238"/>
      <c r="J44" s="237"/>
      <c r="K44" s="235"/>
      <c r="L44" s="239"/>
      <c r="M44" s="239">
        <v>12355.8</v>
      </c>
      <c r="N44" s="239">
        <f t="shared" si="0"/>
        <v>473358.61</v>
      </c>
      <c r="P44" s="238"/>
      <c r="Q44" s="237"/>
      <c r="R44" s="254"/>
      <c r="S44" s="239"/>
      <c r="T44" s="239">
        <v>12355.8</v>
      </c>
      <c r="U44" s="239">
        <f t="shared" si="1"/>
        <v>585858.61</v>
      </c>
      <c r="AA44" s="252">
        <v>41</v>
      </c>
      <c r="AB44" s="237">
        <v>16</v>
      </c>
      <c r="AC44" s="238">
        <v>8</v>
      </c>
      <c r="AD44" s="252">
        <v>2020</v>
      </c>
      <c r="AE44" s="252">
        <v>1051</v>
      </c>
      <c r="AF44" s="239">
        <v>39630.93</v>
      </c>
      <c r="AG44" s="240"/>
    </row>
    <row r="45" spans="1:33" x14ac:dyDescent="0.3">
      <c r="A45" s="235">
        <v>42</v>
      </c>
      <c r="B45" s="237">
        <v>16</v>
      </c>
      <c r="C45" s="238">
        <v>9</v>
      </c>
      <c r="D45" s="235">
        <v>2020</v>
      </c>
      <c r="E45" s="235">
        <v>1051</v>
      </c>
      <c r="F45" s="239">
        <v>527.53</v>
      </c>
      <c r="G45" s="240"/>
      <c r="I45" s="238"/>
      <c r="J45" s="237"/>
      <c r="K45" s="235"/>
      <c r="L45" s="239"/>
      <c r="M45" s="239">
        <v>7500</v>
      </c>
      <c r="N45" s="239">
        <f t="shared" si="0"/>
        <v>465858.61</v>
      </c>
      <c r="P45" s="238"/>
      <c r="Q45" s="237"/>
      <c r="R45" s="254"/>
      <c r="S45" s="239"/>
      <c r="T45" s="239"/>
      <c r="U45" s="239">
        <f t="shared" si="1"/>
        <v>585858.61</v>
      </c>
      <c r="AA45" s="252">
        <v>42</v>
      </c>
      <c r="AB45" s="237">
        <v>16</v>
      </c>
      <c r="AC45" s="238">
        <v>9</v>
      </c>
      <c r="AD45" s="252">
        <v>2020</v>
      </c>
      <c r="AE45" s="252">
        <v>1051</v>
      </c>
      <c r="AF45" s="239">
        <v>527.53</v>
      </c>
      <c r="AG45" s="240"/>
    </row>
    <row r="46" spans="1:33" x14ac:dyDescent="0.3">
      <c r="A46" s="235">
        <v>43</v>
      </c>
      <c r="B46" s="237">
        <v>16</v>
      </c>
      <c r="C46" s="238">
        <v>10</v>
      </c>
      <c r="D46" s="235">
        <v>2020</v>
      </c>
      <c r="E46" s="235">
        <v>1051</v>
      </c>
      <c r="F46" s="239">
        <v>88461.56</v>
      </c>
      <c r="G46" s="240"/>
      <c r="I46" s="238">
        <v>7</v>
      </c>
      <c r="J46" s="237">
        <v>2018</v>
      </c>
      <c r="K46" s="235">
        <v>1051</v>
      </c>
      <c r="L46" s="239">
        <v>1897.36</v>
      </c>
      <c r="M46" s="239"/>
      <c r="N46" s="239">
        <f t="shared" si="0"/>
        <v>467755.97</v>
      </c>
      <c r="P46" s="238">
        <v>7</v>
      </c>
      <c r="Q46" s="237">
        <v>2018</v>
      </c>
      <c r="R46" s="254">
        <v>1051</v>
      </c>
      <c r="S46" s="239">
        <v>1897.36</v>
      </c>
      <c r="T46" s="239"/>
      <c r="U46" s="239">
        <f t="shared" si="1"/>
        <v>587755.97</v>
      </c>
      <c r="AA46" s="252">
        <v>43</v>
      </c>
      <c r="AB46" s="237">
        <v>16</v>
      </c>
      <c r="AC46" s="238">
        <v>10</v>
      </c>
      <c r="AD46" s="252">
        <v>2020</v>
      </c>
      <c r="AE46" s="252">
        <v>1051</v>
      </c>
      <c r="AF46" s="239">
        <v>88461.56</v>
      </c>
      <c r="AG46" s="240"/>
    </row>
    <row r="47" spans="1:33" x14ac:dyDescent="0.3">
      <c r="A47" s="235">
        <v>44</v>
      </c>
      <c r="B47" s="237">
        <v>16</v>
      </c>
      <c r="C47" s="238">
        <v>11</v>
      </c>
      <c r="D47" s="235">
        <v>2020</v>
      </c>
      <c r="E47" s="235">
        <v>1051</v>
      </c>
      <c r="F47" s="239">
        <v>127685.72</v>
      </c>
      <c r="G47" s="240"/>
      <c r="I47" s="238"/>
      <c r="J47" s="237"/>
      <c r="K47" s="235"/>
      <c r="L47" s="239"/>
      <c r="M47" s="239"/>
      <c r="N47" s="239">
        <f t="shared" si="0"/>
        <v>467755.97</v>
      </c>
      <c r="P47" s="238"/>
      <c r="Q47" s="237"/>
      <c r="R47" s="254"/>
      <c r="S47" s="239"/>
      <c r="T47" s="239"/>
      <c r="U47" s="239">
        <f t="shared" si="1"/>
        <v>587755.97</v>
      </c>
      <c r="AA47" s="252">
        <v>44</v>
      </c>
      <c r="AB47" s="237">
        <v>16</v>
      </c>
      <c r="AC47" s="238">
        <v>11</v>
      </c>
      <c r="AD47" s="252">
        <v>2020</v>
      </c>
      <c r="AE47" s="252">
        <v>1051</v>
      </c>
      <c r="AF47" s="239">
        <v>127685.72</v>
      </c>
      <c r="AG47" s="240"/>
    </row>
    <row r="48" spans="1:33" x14ac:dyDescent="0.3">
      <c r="A48" s="235">
        <v>45</v>
      </c>
      <c r="B48" s="237">
        <v>16</v>
      </c>
      <c r="C48" s="238">
        <v>12</v>
      </c>
      <c r="D48" s="235">
        <v>2020</v>
      </c>
      <c r="E48" s="235">
        <v>1051</v>
      </c>
      <c r="F48" s="239">
        <v>99073.34</v>
      </c>
      <c r="G48" s="239"/>
      <c r="I48" s="238"/>
      <c r="J48" s="237"/>
      <c r="K48" s="235"/>
      <c r="L48" s="239"/>
      <c r="M48" s="239">
        <v>8000</v>
      </c>
      <c r="N48" s="239">
        <f t="shared" si="0"/>
        <v>459755.97</v>
      </c>
      <c r="P48" s="238"/>
      <c r="Q48" s="237"/>
      <c r="R48" s="254"/>
      <c r="S48" s="239"/>
      <c r="T48" s="239"/>
      <c r="U48" s="239">
        <f t="shared" si="1"/>
        <v>587755.97</v>
      </c>
      <c r="AA48" s="252">
        <v>45</v>
      </c>
      <c r="AB48" s="237">
        <v>16</v>
      </c>
      <c r="AC48" s="238">
        <v>12</v>
      </c>
      <c r="AD48" s="252">
        <v>2020</v>
      </c>
      <c r="AE48" s="252">
        <v>1051</v>
      </c>
      <c r="AF48" s="239">
        <v>99073.34</v>
      </c>
      <c r="AG48" s="239">
        <f>SUM(AF37:AF48)</f>
        <v>662663.87</v>
      </c>
    </row>
    <row r="49" spans="1:33" x14ac:dyDescent="0.3">
      <c r="A49" s="235">
        <v>46</v>
      </c>
      <c r="B49" s="237">
        <v>16</v>
      </c>
      <c r="C49" s="238">
        <v>1</v>
      </c>
      <c r="D49" s="235">
        <v>2021</v>
      </c>
      <c r="E49" s="235">
        <v>1051</v>
      </c>
      <c r="F49" s="239">
        <v>714.98</v>
      </c>
      <c r="G49" s="240"/>
      <c r="I49" s="238">
        <v>8</v>
      </c>
      <c r="J49" s="237">
        <v>2018</v>
      </c>
      <c r="K49" s="235">
        <v>1051</v>
      </c>
      <c r="L49" s="239">
        <v>1954.11</v>
      </c>
      <c r="M49" s="239"/>
      <c r="N49" s="239">
        <f t="shared" si="0"/>
        <v>461710.07999999996</v>
      </c>
      <c r="P49" s="238">
        <v>8</v>
      </c>
      <c r="Q49" s="237">
        <v>2018</v>
      </c>
      <c r="R49" s="254">
        <v>1051</v>
      </c>
      <c r="S49" s="239">
        <v>1954.11</v>
      </c>
      <c r="T49" s="239"/>
      <c r="U49" s="239">
        <f t="shared" si="1"/>
        <v>589710.07999999996</v>
      </c>
      <c r="AA49" s="252">
        <v>46</v>
      </c>
      <c r="AB49" s="237">
        <v>16</v>
      </c>
      <c r="AC49" s="238">
        <v>1</v>
      </c>
      <c r="AD49" s="252">
        <v>2021</v>
      </c>
      <c r="AE49" s="252">
        <v>1051</v>
      </c>
      <c r="AF49" s="239">
        <v>714.98</v>
      </c>
      <c r="AG49" s="240"/>
    </row>
    <row r="50" spans="1:33" x14ac:dyDescent="0.3">
      <c r="A50" s="235">
        <v>47</v>
      </c>
      <c r="B50" s="237">
        <v>16</v>
      </c>
      <c r="C50" s="238">
        <v>2</v>
      </c>
      <c r="D50" s="235">
        <v>2021</v>
      </c>
      <c r="E50" s="235">
        <v>1051</v>
      </c>
      <c r="F50" s="239">
        <v>708.79</v>
      </c>
      <c r="G50" s="240"/>
      <c r="I50" s="238"/>
      <c r="J50" s="237"/>
      <c r="K50" s="235"/>
      <c r="L50" s="239"/>
      <c r="M50" s="239"/>
      <c r="N50" s="239">
        <f t="shared" si="0"/>
        <v>461710.07999999996</v>
      </c>
      <c r="P50" s="238"/>
      <c r="Q50" s="237"/>
      <c r="R50" s="254"/>
      <c r="S50" s="239"/>
      <c r="T50" s="239"/>
      <c r="U50" s="239">
        <f t="shared" si="1"/>
        <v>589710.07999999996</v>
      </c>
      <c r="AA50" s="252">
        <v>47</v>
      </c>
      <c r="AB50" s="237">
        <v>16</v>
      </c>
      <c r="AC50" s="238">
        <v>2</v>
      </c>
      <c r="AD50" s="252">
        <v>2021</v>
      </c>
      <c r="AE50" s="252">
        <v>1051</v>
      </c>
      <c r="AF50" s="239">
        <v>708.79</v>
      </c>
      <c r="AG50" s="240"/>
    </row>
    <row r="51" spans="1:33" x14ac:dyDescent="0.3">
      <c r="A51" s="235">
        <v>48</v>
      </c>
      <c r="B51" s="237">
        <v>16</v>
      </c>
      <c r="C51" s="238">
        <v>3</v>
      </c>
      <c r="D51" s="235">
        <v>2021</v>
      </c>
      <c r="E51" s="235">
        <v>1051</v>
      </c>
      <c r="F51" s="239">
        <v>54327.38</v>
      </c>
      <c r="G51" s="240"/>
      <c r="I51" s="238"/>
      <c r="J51" s="237"/>
      <c r="K51" s="235"/>
      <c r="L51" s="239"/>
      <c r="M51" s="239">
        <v>8000</v>
      </c>
      <c r="N51" s="239">
        <f t="shared" si="0"/>
        <v>453710.07999999996</v>
      </c>
      <c r="P51" s="238"/>
      <c r="Q51" s="237"/>
      <c r="R51" s="254"/>
      <c r="S51" s="239"/>
      <c r="T51" s="239"/>
      <c r="U51" s="239">
        <f t="shared" si="1"/>
        <v>589710.07999999996</v>
      </c>
      <c r="AA51" s="252">
        <v>48</v>
      </c>
      <c r="AB51" s="237">
        <v>16</v>
      </c>
      <c r="AC51" s="238">
        <v>3</v>
      </c>
      <c r="AD51" s="252">
        <v>2021</v>
      </c>
      <c r="AE51" s="252">
        <v>1051</v>
      </c>
      <c r="AF51" s="239">
        <v>54327.38</v>
      </c>
      <c r="AG51" s="240"/>
    </row>
    <row r="52" spans="1:33" x14ac:dyDescent="0.3">
      <c r="A52" s="235">
        <v>49</v>
      </c>
      <c r="B52" s="237">
        <v>16</v>
      </c>
      <c r="C52" s="238">
        <v>4</v>
      </c>
      <c r="D52" s="235">
        <v>2021</v>
      </c>
      <c r="E52" s="235">
        <v>1051</v>
      </c>
      <c r="F52" s="239">
        <v>59502.47</v>
      </c>
      <c r="G52" s="240"/>
      <c r="I52" s="238">
        <v>9</v>
      </c>
      <c r="J52" s="237">
        <v>2018</v>
      </c>
      <c r="K52" s="235">
        <v>1051</v>
      </c>
      <c r="L52" s="239">
        <v>1947.71</v>
      </c>
      <c r="M52" s="239"/>
      <c r="N52" s="239">
        <f t="shared" si="0"/>
        <v>455657.79</v>
      </c>
      <c r="P52" s="238">
        <v>9</v>
      </c>
      <c r="Q52" s="237">
        <v>2018</v>
      </c>
      <c r="R52" s="254">
        <v>1051</v>
      </c>
      <c r="S52" s="239">
        <v>1947.71</v>
      </c>
      <c r="T52" s="239"/>
      <c r="U52" s="239">
        <f t="shared" si="1"/>
        <v>591657.78999999992</v>
      </c>
      <c r="AA52" s="252">
        <v>49</v>
      </c>
      <c r="AB52" s="237">
        <v>16</v>
      </c>
      <c r="AC52" s="238">
        <v>4</v>
      </c>
      <c r="AD52" s="252">
        <v>2021</v>
      </c>
      <c r="AE52" s="252">
        <v>1051</v>
      </c>
      <c r="AF52" s="239">
        <v>59502.47</v>
      </c>
      <c r="AG52" s="240"/>
    </row>
    <row r="53" spans="1:33" x14ac:dyDescent="0.3">
      <c r="A53" s="235">
        <v>50</v>
      </c>
      <c r="B53" s="237">
        <v>16</v>
      </c>
      <c r="C53" s="238">
        <v>5</v>
      </c>
      <c r="D53" s="235">
        <v>2021</v>
      </c>
      <c r="E53" s="235">
        <v>1051</v>
      </c>
      <c r="F53" s="239">
        <v>84939.08</v>
      </c>
      <c r="G53" s="240"/>
      <c r="I53" s="238"/>
      <c r="J53" s="237"/>
      <c r="K53" s="235"/>
      <c r="L53" s="239"/>
      <c r="M53" s="239"/>
      <c r="N53" s="239">
        <f t="shared" si="0"/>
        <v>455657.79</v>
      </c>
      <c r="P53" s="238"/>
      <c r="Q53" s="237"/>
      <c r="R53" s="254"/>
      <c r="S53" s="239"/>
      <c r="T53" s="239"/>
      <c r="U53" s="239">
        <f t="shared" si="1"/>
        <v>591657.78999999992</v>
      </c>
      <c r="AA53" s="252">
        <v>50</v>
      </c>
      <c r="AB53" s="237">
        <v>16</v>
      </c>
      <c r="AC53" s="238">
        <v>5</v>
      </c>
      <c r="AD53" s="252">
        <v>2021</v>
      </c>
      <c r="AE53" s="252">
        <v>1051</v>
      </c>
      <c r="AF53" s="239">
        <v>84939.08</v>
      </c>
      <c r="AG53" s="240"/>
    </row>
    <row r="54" spans="1:33" x14ac:dyDescent="0.3">
      <c r="A54" s="235">
        <v>51</v>
      </c>
      <c r="B54" s="237">
        <v>16</v>
      </c>
      <c r="C54" s="238">
        <v>6</v>
      </c>
      <c r="D54" s="235">
        <v>2021</v>
      </c>
      <c r="E54" s="235">
        <v>1051</v>
      </c>
      <c r="F54" s="239">
        <v>203371.79</v>
      </c>
      <c r="G54" s="240"/>
      <c r="I54" s="238"/>
      <c r="J54" s="237"/>
      <c r="K54" s="235"/>
      <c r="L54" s="239"/>
      <c r="M54" s="239">
        <v>8000</v>
      </c>
      <c r="N54" s="239">
        <f t="shared" si="0"/>
        <v>447657.79</v>
      </c>
      <c r="P54" s="238"/>
      <c r="Q54" s="237"/>
      <c r="R54" s="254"/>
      <c r="S54" s="239"/>
      <c r="T54" s="239"/>
      <c r="U54" s="239">
        <f t="shared" si="1"/>
        <v>591657.78999999992</v>
      </c>
      <c r="AA54" s="252">
        <v>51</v>
      </c>
      <c r="AB54" s="237">
        <v>16</v>
      </c>
      <c r="AC54" s="238">
        <v>6</v>
      </c>
      <c r="AD54" s="252">
        <v>2021</v>
      </c>
      <c r="AE54" s="252">
        <v>1051</v>
      </c>
      <c r="AF54" s="239">
        <v>203371.79</v>
      </c>
      <c r="AG54" s="240"/>
    </row>
    <row r="55" spans="1:33" x14ac:dyDescent="0.3">
      <c r="A55" s="235">
        <v>52</v>
      </c>
      <c r="B55" s="237">
        <v>16</v>
      </c>
      <c r="C55" s="238">
        <v>7</v>
      </c>
      <c r="D55" s="235">
        <v>2021</v>
      </c>
      <c r="E55" s="235">
        <v>1051</v>
      </c>
      <c r="F55" s="239">
        <v>127526.35</v>
      </c>
      <c r="G55" s="240"/>
      <c r="I55" s="238">
        <v>10</v>
      </c>
      <c r="J55" s="237">
        <v>2018</v>
      </c>
      <c r="K55" s="235">
        <v>1051</v>
      </c>
      <c r="L55" s="239">
        <v>99469.99</v>
      </c>
      <c r="M55" s="239"/>
      <c r="N55" s="239">
        <f t="shared" si="0"/>
        <v>547127.78</v>
      </c>
      <c r="P55" s="238">
        <v>10</v>
      </c>
      <c r="Q55" s="237">
        <v>2018</v>
      </c>
      <c r="R55" s="254">
        <v>1051</v>
      </c>
      <c r="S55" s="239">
        <v>99469.99</v>
      </c>
      <c r="T55" s="239"/>
      <c r="U55" s="239">
        <f t="shared" si="1"/>
        <v>691127.77999999991</v>
      </c>
      <c r="AA55" s="252">
        <v>52</v>
      </c>
      <c r="AB55" s="237">
        <v>16</v>
      </c>
      <c r="AC55" s="238">
        <v>7</v>
      </c>
      <c r="AD55" s="252">
        <v>2021</v>
      </c>
      <c r="AE55" s="252">
        <v>1051</v>
      </c>
      <c r="AF55" s="239">
        <v>127526.35</v>
      </c>
      <c r="AG55" s="240"/>
    </row>
    <row r="56" spans="1:33" x14ac:dyDescent="0.3">
      <c r="A56" s="235">
        <v>53</v>
      </c>
      <c r="B56" s="237">
        <v>16</v>
      </c>
      <c r="C56" s="238">
        <v>8</v>
      </c>
      <c r="D56" s="235">
        <v>2021</v>
      </c>
      <c r="E56" s="235">
        <v>1051</v>
      </c>
      <c r="F56" s="239">
        <v>131857</v>
      </c>
      <c r="G56" s="240"/>
      <c r="I56" s="238"/>
      <c r="J56" s="237"/>
      <c r="K56" s="235"/>
      <c r="L56" s="239"/>
      <c r="M56" s="239">
        <v>19894</v>
      </c>
      <c r="N56" s="239">
        <f t="shared" si="0"/>
        <v>527233.78</v>
      </c>
      <c r="P56" s="238"/>
      <c r="Q56" s="237"/>
      <c r="R56" s="254"/>
      <c r="S56" s="239"/>
      <c r="T56" s="239">
        <v>19894</v>
      </c>
      <c r="U56" s="239">
        <f t="shared" si="1"/>
        <v>671233.77999999991</v>
      </c>
      <c r="AA56" s="252">
        <v>53</v>
      </c>
      <c r="AB56" s="237">
        <v>16</v>
      </c>
      <c r="AC56" s="238">
        <v>8</v>
      </c>
      <c r="AD56" s="252">
        <v>2021</v>
      </c>
      <c r="AE56" s="252">
        <v>1051</v>
      </c>
      <c r="AF56" s="239">
        <v>131857</v>
      </c>
      <c r="AG56" s="240"/>
    </row>
    <row r="57" spans="1:33" x14ac:dyDescent="0.3">
      <c r="A57" s="235">
        <v>54</v>
      </c>
      <c r="B57" s="237">
        <v>16</v>
      </c>
      <c r="C57" s="238">
        <v>9</v>
      </c>
      <c r="D57" s="235">
        <v>2021</v>
      </c>
      <c r="E57" s="235">
        <v>1051</v>
      </c>
      <c r="F57" s="239">
        <v>46818.9</v>
      </c>
      <c r="G57" s="240"/>
      <c r="I57" s="238"/>
      <c r="J57" s="237"/>
      <c r="K57" s="235"/>
      <c r="L57" s="239"/>
      <c r="M57" s="239">
        <v>8000</v>
      </c>
      <c r="N57" s="239">
        <f t="shared" si="0"/>
        <v>519233.78</v>
      </c>
      <c r="P57" s="238"/>
      <c r="Q57" s="237"/>
      <c r="R57" s="254"/>
      <c r="S57" s="239"/>
      <c r="T57" s="239"/>
      <c r="U57" s="239">
        <f t="shared" si="1"/>
        <v>671233.77999999991</v>
      </c>
      <c r="AA57" s="252">
        <v>54</v>
      </c>
      <c r="AB57" s="237">
        <v>16</v>
      </c>
      <c r="AC57" s="238">
        <v>9</v>
      </c>
      <c r="AD57" s="252">
        <v>2021</v>
      </c>
      <c r="AE57" s="252">
        <v>1051</v>
      </c>
      <c r="AF57" s="239">
        <v>46818.9</v>
      </c>
      <c r="AG57" s="240"/>
    </row>
    <row r="58" spans="1:33" x14ac:dyDescent="0.3">
      <c r="A58" s="235">
        <v>55</v>
      </c>
      <c r="B58" s="237">
        <v>16</v>
      </c>
      <c r="C58" s="238">
        <v>10</v>
      </c>
      <c r="D58" s="235">
        <v>2021</v>
      </c>
      <c r="E58" s="235">
        <v>1051</v>
      </c>
      <c r="F58" s="239">
        <v>13213.42</v>
      </c>
      <c r="G58" s="256"/>
      <c r="I58" s="238">
        <v>11</v>
      </c>
      <c r="J58" s="237">
        <v>2018</v>
      </c>
      <c r="K58" s="235">
        <v>1051</v>
      </c>
      <c r="L58" s="239">
        <v>2017.28</v>
      </c>
      <c r="M58" s="239"/>
      <c r="N58" s="239">
        <f t="shared" si="0"/>
        <v>521251.06000000006</v>
      </c>
      <c r="P58" s="238">
        <v>11</v>
      </c>
      <c r="Q58" s="237">
        <v>2018</v>
      </c>
      <c r="R58" s="254">
        <v>1051</v>
      </c>
      <c r="S58" s="239">
        <v>2017.28</v>
      </c>
      <c r="T58" s="239"/>
      <c r="U58" s="239">
        <f t="shared" si="1"/>
        <v>673251.05999999994</v>
      </c>
      <c r="AA58" s="252">
        <v>55</v>
      </c>
      <c r="AB58" s="237">
        <v>16</v>
      </c>
      <c r="AC58" s="238">
        <v>10</v>
      </c>
      <c r="AD58" s="252">
        <v>2021</v>
      </c>
      <c r="AE58" s="252">
        <v>1051</v>
      </c>
      <c r="AF58" s="239">
        <v>13213.42</v>
      </c>
      <c r="AG58" s="240"/>
    </row>
    <row r="59" spans="1:33" x14ac:dyDescent="0.3">
      <c r="A59" s="235">
        <v>56</v>
      </c>
      <c r="B59" s="237">
        <v>16</v>
      </c>
      <c r="C59" s="238">
        <v>11</v>
      </c>
      <c r="D59" s="235">
        <v>2021</v>
      </c>
      <c r="E59" s="235">
        <v>1051</v>
      </c>
      <c r="F59" s="256">
        <v>85932.1</v>
      </c>
      <c r="G59" s="240"/>
      <c r="I59" s="238"/>
      <c r="J59" s="237"/>
      <c r="K59" s="235"/>
      <c r="L59" s="239"/>
      <c r="M59" s="239"/>
      <c r="N59" s="239">
        <f t="shared" si="0"/>
        <v>521251.06000000006</v>
      </c>
      <c r="P59" s="238"/>
      <c r="Q59" s="237"/>
      <c r="R59" s="254"/>
      <c r="S59" s="239"/>
      <c r="T59" s="239"/>
      <c r="U59" s="239">
        <f t="shared" si="1"/>
        <v>673251.05999999994</v>
      </c>
      <c r="AA59" s="252">
        <v>56</v>
      </c>
      <c r="AB59" s="237">
        <v>16</v>
      </c>
      <c r="AC59" s="238">
        <v>11</v>
      </c>
      <c r="AD59" s="252">
        <v>2021</v>
      </c>
      <c r="AE59" s="252">
        <v>1051</v>
      </c>
      <c r="AF59" s="241">
        <v>15000</v>
      </c>
      <c r="AG59" s="240"/>
    </row>
    <row r="60" spans="1:33" x14ac:dyDescent="0.3">
      <c r="A60" s="235">
        <v>57</v>
      </c>
      <c r="B60" s="237">
        <v>16</v>
      </c>
      <c r="C60" s="238">
        <v>12</v>
      </c>
      <c r="D60" s="235">
        <v>2021</v>
      </c>
      <c r="E60" s="235">
        <v>1051</v>
      </c>
      <c r="F60" s="241">
        <v>0</v>
      </c>
      <c r="G60" s="239"/>
      <c r="I60" s="238"/>
      <c r="J60" s="237"/>
      <c r="K60" s="235"/>
      <c r="L60" s="239"/>
      <c r="M60" s="239">
        <v>8000</v>
      </c>
      <c r="N60" s="239">
        <f t="shared" si="0"/>
        <v>513251.06000000006</v>
      </c>
      <c r="P60" s="238"/>
      <c r="Q60" s="237"/>
      <c r="R60" s="254"/>
      <c r="S60" s="239"/>
      <c r="T60" s="239"/>
      <c r="U60" s="239">
        <f t="shared" si="1"/>
        <v>673251.05999999994</v>
      </c>
      <c r="AA60" s="252">
        <v>57</v>
      </c>
      <c r="AB60" s="237">
        <v>16</v>
      </c>
      <c r="AC60" s="238">
        <v>12</v>
      </c>
      <c r="AD60" s="252">
        <v>2021</v>
      </c>
      <c r="AE60" s="252">
        <v>1051</v>
      </c>
      <c r="AF60" s="241">
        <v>15000</v>
      </c>
      <c r="AG60" s="239">
        <f>SUM(AF49:AF60)</f>
        <v>752980.16</v>
      </c>
    </row>
    <row r="61" spans="1:33" x14ac:dyDescent="0.3">
      <c r="A61" s="242"/>
      <c r="B61" s="242"/>
      <c r="C61" s="242"/>
      <c r="D61" s="242"/>
      <c r="E61" s="243"/>
      <c r="F61" s="244"/>
      <c r="G61" s="244">
        <f>SUM(F4:F60)</f>
        <v>2425455.6999999997</v>
      </c>
      <c r="I61" s="238">
        <v>12</v>
      </c>
      <c r="J61" s="237">
        <v>2018</v>
      </c>
      <c r="K61" s="235">
        <v>1051</v>
      </c>
      <c r="L61" s="239">
        <v>1946.16</v>
      </c>
      <c r="M61" s="239"/>
      <c r="N61" s="239">
        <f t="shared" si="0"/>
        <v>515197.22000000003</v>
      </c>
      <c r="P61" s="238">
        <v>12</v>
      </c>
      <c r="Q61" s="237">
        <v>2018</v>
      </c>
      <c r="R61" s="254">
        <v>1051</v>
      </c>
      <c r="S61" s="239">
        <v>1946.16</v>
      </c>
      <c r="T61" s="239"/>
      <c r="U61" s="239">
        <f t="shared" si="1"/>
        <v>675197.22</v>
      </c>
      <c r="AA61" s="242"/>
      <c r="AB61" s="242"/>
      <c r="AC61" s="242"/>
      <c r="AD61" s="242"/>
      <c r="AE61" s="243"/>
      <c r="AF61" s="244"/>
      <c r="AG61" s="244">
        <f>SUM(AG60,AG48,AG36,AG24,AG12)</f>
        <v>2369523.3000000003</v>
      </c>
    </row>
    <row r="62" spans="1:33" x14ac:dyDescent="0.3">
      <c r="I62" s="238"/>
      <c r="J62" s="237"/>
      <c r="K62" s="235"/>
      <c r="L62" s="239"/>
      <c r="M62" s="239">
        <v>389.23</v>
      </c>
      <c r="N62" s="239">
        <f t="shared" si="0"/>
        <v>514807.99000000005</v>
      </c>
      <c r="P62" s="238"/>
      <c r="Q62" s="237"/>
      <c r="R62" s="254"/>
      <c r="S62" s="239"/>
      <c r="T62" s="239">
        <v>389.23</v>
      </c>
      <c r="U62" s="239">
        <f t="shared" si="1"/>
        <v>674807.99</v>
      </c>
    </row>
    <row r="63" spans="1:33" x14ac:dyDescent="0.3">
      <c r="I63" s="238"/>
      <c r="J63" s="237"/>
      <c r="K63" s="235"/>
      <c r="L63" s="239"/>
      <c r="M63" s="239">
        <v>8000</v>
      </c>
      <c r="N63" s="239">
        <f t="shared" si="0"/>
        <v>506807.99000000005</v>
      </c>
      <c r="P63" s="238"/>
      <c r="Q63" s="237"/>
      <c r="R63" s="254"/>
      <c r="S63" s="239"/>
      <c r="T63" s="239"/>
      <c r="U63" s="239">
        <f t="shared" si="1"/>
        <v>674807.99</v>
      </c>
    </row>
    <row r="64" spans="1:33" x14ac:dyDescent="0.3">
      <c r="I64" s="238">
        <v>1</v>
      </c>
      <c r="J64" s="235">
        <v>2019</v>
      </c>
      <c r="K64" s="235">
        <v>1051</v>
      </c>
      <c r="L64" s="239">
        <v>24798.45</v>
      </c>
      <c r="M64" s="239"/>
      <c r="N64" s="239">
        <f t="shared" si="0"/>
        <v>531606.44000000006</v>
      </c>
      <c r="P64" s="238">
        <v>1</v>
      </c>
      <c r="Q64" s="254">
        <v>2019</v>
      </c>
      <c r="R64" s="254">
        <v>1051</v>
      </c>
      <c r="S64" s="239">
        <v>24798.45</v>
      </c>
      <c r="T64" s="239"/>
      <c r="U64" s="239">
        <f t="shared" si="1"/>
        <v>699606.44</v>
      </c>
    </row>
    <row r="65" spans="9:21" x14ac:dyDescent="0.3">
      <c r="I65" s="238"/>
      <c r="J65" s="237"/>
      <c r="K65" s="235"/>
      <c r="L65" s="239"/>
      <c r="M65" s="239">
        <v>4959.6899999999996</v>
      </c>
      <c r="N65" s="239">
        <f t="shared" si="0"/>
        <v>526646.75000000012</v>
      </c>
      <c r="P65" s="238"/>
      <c r="Q65" s="237"/>
      <c r="R65" s="254"/>
      <c r="S65" s="239"/>
      <c r="T65" s="239">
        <v>4959.6899999999996</v>
      </c>
      <c r="U65" s="239">
        <f t="shared" si="1"/>
        <v>694646.75</v>
      </c>
    </row>
    <row r="66" spans="9:21" x14ac:dyDescent="0.3">
      <c r="I66" s="238"/>
      <c r="J66" s="237"/>
      <c r="K66" s="235"/>
      <c r="L66" s="239"/>
      <c r="M66" s="239">
        <v>8000</v>
      </c>
      <c r="N66" s="239">
        <f t="shared" si="0"/>
        <v>518646.75000000012</v>
      </c>
      <c r="P66" s="238"/>
      <c r="Q66" s="237"/>
      <c r="R66" s="254"/>
      <c r="S66" s="239"/>
      <c r="T66" s="239"/>
      <c r="U66" s="239">
        <f t="shared" si="1"/>
        <v>694646.75</v>
      </c>
    </row>
    <row r="67" spans="9:21" x14ac:dyDescent="0.3">
      <c r="I67" s="238">
        <v>2</v>
      </c>
      <c r="J67" s="235">
        <v>2019</v>
      </c>
      <c r="K67" s="235">
        <v>1051</v>
      </c>
      <c r="L67" s="239">
        <v>2250.19</v>
      </c>
      <c r="M67" s="239"/>
      <c r="N67" s="239">
        <f t="shared" si="0"/>
        <v>520896.94000000012</v>
      </c>
      <c r="P67" s="238">
        <v>2</v>
      </c>
      <c r="Q67" s="254">
        <v>2019</v>
      </c>
      <c r="R67" s="254">
        <v>1051</v>
      </c>
      <c r="S67" s="239">
        <v>2250.19</v>
      </c>
      <c r="T67" s="239"/>
      <c r="U67" s="239">
        <f t="shared" si="1"/>
        <v>696896.94</v>
      </c>
    </row>
    <row r="68" spans="9:21" x14ac:dyDescent="0.3">
      <c r="I68" s="238"/>
      <c r="J68" s="237"/>
      <c r="K68" s="235"/>
      <c r="L68" s="239"/>
      <c r="M68" s="239"/>
      <c r="N68" s="239">
        <f t="shared" si="0"/>
        <v>520896.94000000012</v>
      </c>
      <c r="P68" s="238"/>
      <c r="Q68" s="237"/>
      <c r="R68" s="254"/>
      <c r="S68" s="239"/>
      <c r="T68" s="239"/>
      <c r="U68" s="239">
        <f t="shared" si="1"/>
        <v>696896.94</v>
      </c>
    </row>
    <row r="69" spans="9:21" x14ac:dyDescent="0.3">
      <c r="I69" s="238"/>
      <c r="J69" s="237"/>
      <c r="K69" s="235"/>
      <c r="L69" s="239"/>
      <c r="M69" s="239">
        <v>8000</v>
      </c>
      <c r="N69" s="239">
        <f t="shared" si="0"/>
        <v>512896.94000000012</v>
      </c>
      <c r="P69" s="238"/>
      <c r="Q69" s="237"/>
      <c r="R69" s="254"/>
      <c r="S69" s="239"/>
      <c r="T69" s="239"/>
      <c r="U69" s="239">
        <f t="shared" si="1"/>
        <v>696896.94</v>
      </c>
    </row>
    <row r="70" spans="9:21" x14ac:dyDescent="0.3">
      <c r="I70" s="238">
        <v>3</v>
      </c>
      <c r="J70" s="235">
        <v>2019</v>
      </c>
      <c r="K70" s="235">
        <v>1051</v>
      </c>
      <c r="L70" s="239">
        <v>2027.23</v>
      </c>
      <c r="M70" s="239"/>
      <c r="N70" s="239">
        <f t="shared" si="0"/>
        <v>514924.1700000001</v>
      </c>
      <c r="P70" s="238">
        <v>3</v>
      </c>
      <c r="Q70" s="254">
        <v>2019</v>
      </c>
      <c r="R70" s="254">
        <v>1051</v>
      </c>
      <c r="S70" s="239">
        <v>2027.23</v>
      </c>
      <c r="T70" s="239"/>
      <c r="U70" s="239">
        <f t="shared" si="1"/>
        <v>698924.16999999993</v>
      </c>
    </row>
    <row r="71" spans="9:21" x14ac:dyDescent="0.3">
      <c r="I71" s="238"/>
      <c r="J71" s="237"/>
      <c r="K71" s="235"/>
      <c r="L71" s="239"/>
      <c r="M71" s="239"/>
      <c r="N71" s="239">
        <f t="shared" ref="N71:N134" si="2">L71+N70-M71</f>
        <v>514924.1700000001</v>
      </c>
      <c r="P71" s="238"/>
      <c r="Q71" s="237"/>
      <c r="R71" s="254"/>
      <c r="S71" s="239"/>
      <c r="T71" s="239"/>
      <c r="U71" s="239">
        <f t="shared" si="1"/>
        <v>698924.16999999993</v>
      </c>
    </row>
    <row r="72" spans="9:21" x14ac:dyDescent="0.3">
      <c r="I72" s="238"/>
      <c r="J72" s="237"/>
      <c r="K72" s="235"/>
      <c r="L72" s="239"/>
      <c r="M72" s="239">
        <v>8000</v>
      </c>
      <c r="N72" s="239">
        <f t="shared" si="2"/>
        <v>506924.1700000001</v>
      </c>
      <c r="P72" s="238"/>
      <c r="Q72" s="237"/>
      <c r="R72" s="254"/>
      <c r="S72" s="239"/>
      <c r="T72" s="239"/>
      <c r="U72" s="239">
        <f t="shared" ref="U72:U135" si="3">S72+U71-T72</f>
        <v>698924.16999999993</v>
      </c>
    </row>
    <row r="73" spans="9:21" x14ac:dyDescent="0.3">
      <c r="I73" s="238">
        <v>4</v>
      </c>
      <c r="J73" s="235">
        <v>2019</v>
      </c>
      <c r="K73" s="235">
        <v>1051</v>
      </c>
      <c r="L73" s="239">
        <v>18700.599999999999</v>
      </c>
      <c r="M73" s="239"/>
      <c r="N73" s="239">
        <f t="shared" si="2"/>
        <v>525624.77000000014</v>
      </c>
      <c r="P73" s="238">
        <v>4</v>
      </c>
      <c r="Q73" s="254">
        <v>2019</v>
      </c>
      <c r="R73" s="254">
        <v>1051</v>
      </c>
      <c r="S73" s="239">
        <v>18700.599999999999</v>
      </c>
      <c r="T73" s="239"/>
      <c r="U73" s="239">
        <f t="shared" si="3"/>
        <v>717624.7699999999</v>
      </c>
    </row>
    <row r="74" spans="9:21" x14ac:dyDescent="0.3">
      <c r="I74" s="238"/>
      <c r="J74" s="237"/>
      <c r="K74" s="235"/>
      <c r="L74" s="239"/>
      <c r="M74" s="239">
        <v>3740.12</v>
      </c>
      <c r="N74" s="239">
        <f t="shared" si="2"/>
        <v>521884.65000000014</v>
      </c>
      <c r="P74" s="238"/>
      <c r="Q74" s="237"/>
      <c r="R74" s="254"/>
      <c r="S74" s="239"/>
      <c r="T74" s="239">
        <v>3740.12</v>
      </c>
      <c r="U74" s="239">
        <f t="shared" si="3"/>
        <v>713884.64999999991</v>
      </c>
    </row>
    <row r="75" spans="9:21" x14ac:dyDescent="0.3">
      <c r="I75" s="238"/>
      <c r="J75" s="237"/>
      <c r="K75" s="235"/>
      <c r="L75" s="239"/>
      <c r="M75" s="239">
        <v>8000</v>
      </c>
      <c r="N75" s="239">
        <f t="shared" si="2"/>
        <v>513884.65000000014</v>
      </c>
      <c r="P75" s="238"/>
      <c r="Q75" s="237"/>
      <c r="R75" s="254"/>
      <c r="S75" s="239"/>
      <c r="T75" s="239"/>
      <c r="U75" s="239">
        <f t="shared" si="3"/>
        <v>713884.64999999991</v>
      </c>
    </row>
    <row r="76" spans="9:21" x14ac:dyDescent="0.3">
      <c r="I76" s="238">
        <v>5</v>
      </c>
      <c r="J76" s="235">
        <v>2019</v>
      </c>
      <c r="K76" s="235">
        <v>1051</v>
      </c>
      <c r="L76" s="239">
        <v>1008.45</v>
      </c>
      <c r="M76" s="239"/>
      <c r="N76" s="239">
        <f t="shared" si="2"/>
        <v>514893.10000000015</v>
      </c>
      <c r="P76" s="238">
        <v>5</v>
      </c>
      <c r="Q76" s="254">
        <v>2019</v>
      </c>
      <c r="R76" s="254">
        <v>1051</v>
      </c>
      <c r="S76" s="239">
        <v>1008.45</v>
      </c>
      <c r="T76" s="239"/>
      <c r="U76" s="239">
        <f t="shared" si="3"/>
        <v>714893.09999999986</v>
      </c>
    </row>
    <row r="77" spans="9:21" x14ac:dyDescent="0.3">
      <c r="I77" s="238"/>
      <c r="J77" s="237"/>
      <c r="K77" s="235"/>
      <c r="L77" s="239"/>
      <c r="M77" s="239"/>
      <c r="N77" s="239">
        <f t="shared" si="2"/>
        <v>514893.10000000015</v>
      </c>
      <c r="P77" s="238"/>
      <c r="Q77" s="237"/>
      <c r="R77" s="254"/>
      <c r="S77" s="239"/>
      <c r="T77" s="239"/>
      <c r="U77" s="239">
        <f t="shared" si="3"/>
        <v>714893.09999999986</v>
      </c>
    </row>
    <row r="78" spans="9:21" x14ac:dyDescent="0.3">
      <c r="I78" s="238"/>
      <c r="J78" s="237"/>
      <c r="K78" s="235"/>
      <c r="L78" s="239"/>
      <c r="M78" s="239">
        <v>8000</v>
      </c>
      <c r="N78" s="239">
        <f t="shared" si="2"/>
        <v>506893.10000000015</v>
      </c>
      <c r="P78" s="238"/>
      <c r="Q78" s="237"/>
      <c r="R78" s="254"/>
      <c r="S78" s="239"/>
      <c r="T78" s="239"/>
      <c r="U78" s="239">
        <f t="shared" si="3"/>
        <v>714893.09999999986</v>
      </c>
    </row>
    <row r="79" spans="9:21" x14ac:dyDescent="0.3">
      <c r="I79" s="238">
        <v>6</v>
      </c>
      <c r="J79" s="235">
        <v>2019</v>
      </c>
      <c r="K79" s="235">
        <v>1051</v>
      </c>
      <c r="L79" s="239">
        <v>432.95</v>
      </c>
      <c r="M79" s="239"/>
      <c r="N79" s="239">
        <f t="shared" si="2"/>
        <v>507326.05000000016</v>
      </c>
      <c r="P79" s="238">
        <v>6</v>
      </c>
      <c r="Q79" s="254">
        <v>2019</v>
      </c>
      <c r="R79" s="254">
        <v>1051</v>
      </c>
      <c r="S79" s="239">
        <v>432.95</v>
      </c>
      <c r="T79" s="239"/>
      <c r="U79" s="239">
        <f t="shared" si="3"/>
        <v>715326.04999999981</v>
      </c>
    </row>
    <row r="80" spans="9:21" x14ac:dyDescent="0.3">
      <c r="I80" s="238"/>
      <c r="J80" s="237"/>
      <c r="K80" s="235"/>
      <c r="L80" s="239"/>
      <c r="M80" s="239"/>
      <c r="N80" s="239">
        <f t="shared" si="2"/>
        <v>507326.05000000016</v>
      </c>
      <c r="P80" s="238"/>
      <c r="Q80" s="237"/>
      <c r="R80" s="254"/>
      <c r="S80" s="239"/>
      <c r="T80" s="239"/>
      <c r="U80" s="239">
        <f t="shared" si="3"/>
        <v>715326.04999999981</v>
      </c>
    </row>
    <row r="81" spans="9:21" x14ac:dyDescent="0.3">
      <c r="I81" s="238"/>
      <c r="J81" s="237"/>
      <c r="K81" s="235"/>
      <c r="L81" s="239"/>
      <c r="M81" s="239">
        <v>8000</v>
      </c>
      <c r="N81" s="239">
        <f t="shared" si="2"/>
        <v>499326.05000000016</v>
      </c>
      <c r="P81" s="238"/>
      <c r="Q81" s="237"/>
      <c r="R81" s="254"/>
      <c r="S81" s="239"/>
      <c r="T81" s="239"/>
      <c r="U81" s="239">
        <f t="shared" si="3"/>
        <v>715326.04999999981</v>
      </c>
    </row>
    <row r="82" spans="9:21" x14ac:dyDescent="0.3">
      <c r="I82" s="238">
        <v>7</v>
      </c>
      <c r="J82" s="235">
        <v>2019</v>
      </c>
      <c r="K82" s="235">
        <v>1051</v>
      </c>
      <c r="L82" s="239">
        <v>33232.269999999997</v>
      </c>
      <c r="M82" s="239"/>
      <c r="N82" s="239">
        <f t="shared" si="2"/>
        <v>532558.32000000018</v>
      </c>
      <c r="P82" s="238">
        <v>7</v>
      </c>
      <c r="Q82" s="254">
        <v>2019</v>
      </c>
      <c r="R82" s="254">
        <v>1051</v>
      </c>
      <c r="S82" s="239">
        <v>33232.269999999997</v>
      </c>
      <c r="T82" s="239"/>
      <c r="U82" s="239">
        <f t="shared" si="3"/>
        <v>748558.31999999983</v>
      </c>
    </row>
    <row r="83" spans="9:21" x14ac:dyDescent="0.3">
      <c r="I83" s="238"/>
      <c r="J83" s="237"/>
      <c r="K83" s="235"/>
      <c r="L83" s="239"/>
      <c r="M83" s="239">
        <v>6646.45</v>
      </c>
      <c r="N83" s="239">
        <f t="shared" si="2"/>
        <v>525911.87000000023</v>
      </c>
      <c r="P83" s="238"/>
      <c r="Q83" s="237"/>
      <c r="R83" s="254"/>
      <c r="S83" s="239"/>
      <c r="T83" s="239">
        <v>6646.45</v>
      </c>
      <c r="U83" s="239">
        <f t="shared" si="3"/>
        <v>741911.86999999988</v>
      </c>
    </row>
    <row r="84" spans="9:21" x14ac:dyDescent="0.3">
      <c r="I84" s="238"/>
      <c r="J84" s="237"/>
      <c r="K84" s="235"/>
      <c r="L84" s="239"/>
      <c r="M84" s="239">
        <v>8000</v>
      </c>
      <c r="N84" s="239">
        <f t="shared" si="2"/>
        <v>517911.87000000023</v>
      </c>
      <c r="P84" s="238"/>
      <c r="Q84" s="237"/>
      <c r="R84" s="254"/>
      <c r="S84" s="239"/>
      <c r="T84" s="239"/>
      <c r="U84" s="239">
        <f t="shared" si="3"/>
        <v>741911.86999999988</v>
      </c>
    </row>
    <row r="85" spans="9:21" x14ac:dyDescent="0.3">
      <c r="I85" s="238">
        <v>8</v>
      </c>
      <c r="J85" s="235">
        <v>2019</v>
      </c>
      <c r="K85" s="235">
        <v>1051</v>
      </c>
      <c r="L85" s="239">
        <v>444.64</v>
      </c>
      <c r="M85" s="239"/>
      <c r="N85" s="239">
        <f t="shared" si="2"/>
        <v>518356.51000000024</v>
      </c>
      <c r="P85" s="238">
        <v>8</v>
      </c>
      <c r="Q85" s="254">
        <v>2019</v>
      </c>
      <c r="R85" s="254">
        <v>1051</v>
      </c>
      <c r="S85" s="239">
        <v>444.64</v>
      </c>
      <c r="T85" s="239"/>
      <c r="U85" s="239">
        <f t="shared" si="3"/>
        <v>742356.50999999989</v>
      </c>
    </row>
    <row r="86" spans="9:21" x14ac:dyDescent="0.3">
      <c r="I86" s="238"/>
      <c r="J86" s="237"/>
      <c r="K86" s="235"/>
      <c r="L86" s="239"/>
      <c r="M86" s="239"/>
      <c r="N86" s="239">
        <f t="shared" si="2"/>
        <v>518356.51000000024</v>
      </c>
      <c r="P86" s="238"/>
      <c r="Q86" s="237"/>
      <c r="R86" s="254"/>
      <c r="S86" s="239"/>
      <c r="T86" s="239"/>
      <c r="U86" s="239">
        <f t="shared" si="3"/>
        <v>742356.50999999989</v>
      </c>
    </row>
    <row r="87" spans="9:21" x14ac:dyDescent="0.3">
      <c r="I87" s="238"/>
      <c r="J87" s="237"/>
      <c r="K87" s="235"/>
      <c r="L87" s="239"/>
      <c r="M87" s="239">
        <v>8000</v>
      </c>
      <c r="N87" s="239">
        <f t="shared" si="2"/>
        <v>510356.51000000024</v>
      </c>
      <c r="P87" s="238"/>
      <c r="Q87" s="237"/>
      <c r="R87" s="254"/>
      <c r="S87" s="239"/>
      <c r="T87" s="239"/>
      <c r="U87" s="239">
        <f t="shared" si="3"/>
        <v>742356.50999999989</v>
      </c>
    </row>
    <row r="88" spans="9:21" x14ac:dyDescent="0.3">
      <c r="I88" s="238">
        <v>9</v>
      </c>
      <c r="J88" s="235">
        <v>2019</v>
      </c>
      <c r="K88" s="235">
        <v>1051</v>
      </c>
      <c r="L88" s="239">
        <v>33268.870000000003</v>
      </c>
      <c r="M88" s="239"/>
      <c r="N88" s="239">
        <f t="shared" si="2"/>
        <v>543625.38000000024</v>
      </c>
      <c r="P88" s="238">
        <v>9</v>
      </c>
      <c r="Q88" s="254">
        <v>2019</v>
      </c>
      <c r="R88" s="254">
        <v>1051</v>
      </c>
      <c r="S88" s="239">
        <v>33268.870000000003</v>
      </c>
      <c r="T88" s="239"/>
      <c r="U88" s="239">
        <f t="shared" si="3"/>
        <v>775625.37999999989</v>
      </c>
    </row>
    <row r="89" spans="9:21" x14ac:dyDescent="0.3">
      <c r="I89" s="238"/>
      <c r="J89" s="237"/>
      <c r="K89" s="235"/>
      <c r="L89" s="239"/>
      <c r="M89" s="239">
        <v>6653.77</v>
      </c>
      <c r="N89" s="239">
        <f t="shared" si="2"/>
        <v>536971.61000000022</v>
      </c>
      <c r="P89" s="238"/>
      <c r="Q89" s="237"/>
      <c r="R89" s="254"/>
      <c r="S89" s="239"/>
      <c r="T89" s="239">
        <v>6653.77</v>
      </c>
      <c r="U89" s="239">
        <f t="shared" si="3"/>
        <v>768971.60999999987</v>
      </c>
    </row>
    <row r="90" spans="9:21" x14ac:dyDescent="0.3">
      <c r="I90" s="238"/>
      <c r="J90" s="237"/>
      <c r="K90" s="235"/>
      <c r="L90" s="239"/>
      <c r="M90" s="239">
        <v>8000</v>
      </c>
      <c r="N90" s="239">
        <f t="shared" si="2"/>
        <v>528971.61000000022</v>
      </c>
      <c r="P90" s="238"/>
      <c r="Q90" s="237"/>
      <c r="R90" s="254"/>
      <c r="S90" s="239"/>
      <c r="T90" s="239"/>
      <c r="U90" s="239">
        <f t="shared" si="3"/>
        <v>768971.60999999987</v>
      </c>
    </row>
    <row r="91" spans="9:21" x14ac:dyDescent="0.3">
      <c r="I91" s="238">
        <v>10</v>
      </c>
      <c r="J91" s="235">
        <v>2019</v>
      </c>
      <c r="K91" s="235">
        <v>1051</v>
      </c>
      <c r="L91" s="239">
        <v>441.76</v>
      </c>
      <c r="M91" s="239"/>
      <c r="N91" s="239">
        <f t="shared" si="2"/>
        <v>529413.37000000023</v>
      </c>
      <c r="P91" s="238">
        <v>10</v>
      </c>
      <c r="Q91" s="254">
        <v>2019</v>
      </c>
      <c r="R91" s="254">
        <v>1051</v>
      </c>
      <c r="S91" s="239">
        <v>441.76</v>
      </c>
      <c r="T91" s="239"/>
      <c r="U91" s="239">
        <f t="shared" si="3"/>
        <v>769413.36999999988</v>
      </c>
    </row>
    <row r="92" spans="9:21" x14ac:dyDescent="0.3">
      <c r="I92" s="238"/>
      <c r="J92" s="237"/>
      <c r="K92" s="235"/>
      <c r="L92" s="239"/>
      <c r="M92" s="239"/>
      <c r="N92" s="239">
        <f t="shared" si="2"/>
        <v>529413.37000000023</v>
      </c>
      <c r="P92" s="238"/>
      <c r="Q92" s="237"/>
      <c r="R92" s="254"/>
      <c r="S92" s="239"/>
      <c r="T92" s="239"/>
      <c r="U92" s="239">
        <f t="shared" si="3"/>
        <v>769413.36999999988</v>
      </c>
    </row>
    <row r="93" spans="9:21" x14ac:dyDescent="0.3">
      <c r="I93" s="238"/>
      <c r="J93" s="237"/>
      <c r="K93" s="235"/>
      <c r="L93" s="239"/>
      <c r="M93" s="239">
        <v>8000</v>
      </c>
      <c r="N93" s="239">
        <f t="shared" si="2"/>
        <v>521413.37000000023</v>
      </c>
      <c r="P93" s="238"/>
      <c r="Q93" s="237"/>
      <c r="R93" s="254"/>
      <c r="S93" s="239"/>
      <c r="T93" s="239"/>
      <c r="U93" s="239">
        <f t="shared" si="3"/>
        <v>769413.36999999988</v>
      </c>
    </row>
    <row r="94" spans="9:21" x14ac:dyDescent="0.3">
      <c r="I94" s="238">
        <v>11</v>
      </c>
      <c r="J94" s="235">
        <v>2019</v>
      </c>
      <c r="K94" s="235">
        <v>1051</v>
      </c>
      <c r="L94" s="239">
        <v>448.36</v>
      </c>
      <c r="M94" s="239"/>
      <c r="N94" s="239">
        <f t="shared" si="2"/>
        <v>521861.73000000021</v>
      </c>
      <c r="P94" s="238">
        <v>11</v>
      </c>
      <c r="Q94" s="254">
        <v>2019</v>
      </c>
      <c r="R94" s="254">
        <v>1051</v>
      </c>
      <c r="S94" s="239">
        <v>448.36</v>
      </c>
      <c r="T94" s="239"/>
      <c r="U94" s="239">
        <f t="shared" si="3"/>
        <v>769861.72999999986</v>
      </c>
    </row>
    <row r="95" spans="9:21" x14ac:dyDescent="0.3">
      <c r="I95" s="238"/>
      <c r="J95" s="237"/>
      <c r="K95" s="235"/>
      <c r="L95" s="239"/>
      <c r="M95" s="239"/>
      <c r="N95" s="239">
        <f t="shared" si="2"/>
        <v>521861.73000000021</v>
      </c>
      <c r="P95" s="238"/>
      <c r="Q95" s="237"/>
      <c r="R95" s="254"/>
      <c r="S95" s="239"/>
      <c r="T95" s="239"/>
      <c r="U95" s="239">
        <f t="shared" si="3"/>
        <v>769861.72999999986</v>
      </c>
    </row>
    <row r="96" spans="9:21" x14ac:dyDescent="0.3">
      <c r="I96" s="238"/>
      <c r="J96" s="237"/>
      <c r="K96" s="235"/>
      <c r="L96" s="239"/>
      <c r="M96" s="239">
        <v>8000</v>
      </c>
      <c r="N96" s="239">
        <f t="shared" si="2"/>
        <v>513861.73000000021</v>
      </c>
      <c r="P96" s="238"/>
      <c r="Q96" s="237"/>
      <c r="R96" s="254"/>
      <c r="S96" s="239"/>
      <c r="T96" s="239"/>
      <c r="U96" s="239">
        <f t="shared" si="3"/>
        <v>769861.72999999986</v>
      </c>
    </row>
    <row r="97" spans="9:21" x14ac:dyDescent="0.3">
      <c r="I97" s="238">
        <v>12</v>
      </c>
      <c r="J97" s="235">
        <v>2019</v>
      </c>
      <c r="K97" s="235">
        <v>1051</v>
      </c>
      <c r="L97" s="239">
        <v>426.24</v>
      </c>
      <c r="M97" s="239"/>
      <c r="N97" s="239">
        <f t="shared" si="2"/>
        <v>514287.9700000002</v>
      </c>
      <c r="P97" s="238">
        <v>12</v>
      </c>
      <c r="Q97" s="254">
        <v>2019</v>
      </c>
      <c r="R97" s="254">
        <v>1051</v>
      </c>
      <c r="S97" s="239">
        <v>426.24</v>
      </c>
      <c r="T97" s="239"/>
      <c r="U97" s="239">
        <f t="shared" si="3"/>
        <v>770287.96999999986</v>
      </c>
    </row>
    <row r="98" spans="9:21" x14ac:dyDescent="0.3">
      <c r="I98" s="238"/>
      <c r="J98" s="237"/>
      <c r="K98" s="235"/>
      <c r="L98" s="239"/>
      <c r="M98" s="239"/>
      <c r="N98" s="239">
        <f t="shared" si="2"/>
        <v>514287.9700000002</v>
      </c>
      <c r="P98" s="238"/>
      <c r="Q98" s="237"/>
      <c r="R98" s="254"/>
      <c r="S98" s="239"/>
      <c r="T98" s="239"/>
      <c r="U98" s="239">
        <f t="shared" si="3"/>
        <v>770287.96999999986</v>
      </c>
    </row>
    <row r="99" spans="9:21" x14ac:dyDescent="0.3">
      <c r="I99" s="238"/>
      <c r="J99" s="237"/>
      <c r="K99" s="235"/>
      <c r="L99" s="239"/>
      <c r="M99" s="239">
        <v>8000</v>
      </c>
      <c r="N99" s="239">
        <f t="shared" si="2"/>
        <v>506287.9700000002</v>
      </c>
      <c r="P99" s="238"/>
      <c r="Q99" s="237"/>
      <c r="R99" s="254"/>
      <c r="S99" s="239"/>
      <c r="T99" s="239"/>
      <c r="U99" s="239">
        <f t="shared" si="3"/>
        <v>770287.96999999986</v>
      </c>
    </row>
    <row r="100" spans="9:21" x14ac:dyDescent="0.3">
      <c r="I100" s="238">
        <v>1</v>
      </c>
      <c r="J100" s="235">
        <v>2020</v>
      </c>
      <c r="K100" s="235">
        <v>1051</v>
      </c>
      <c r="L100" s="239">
        <v>65598.38</v>
      </c>
      <c r="M100" s="239"/>
      <c r="N100" s="239">
        <f t="shared" si="2"/>
        <v>571886.35000000021</v>
      </c>
      <c r="P100" s="238">
        <v>1</v>
      </c>
      <c r="Q100" s="254">
        <v>2020</v>
      </c>
      <c r="R100" s="254">
        <v>1051</v>
      </c>
      <c r="S100" s="239">
        <v>65598.38</v>
      </c>
      <c r="T100" s="239"/>
      <c r="U100" s="239">
        <f t="shared" si="3"/>
        <v>835886.34999999986</v>
      </c>
    </row>
    <row r="101" spans="9:21" x14ac:dyDescent="0.3">
      <c r="I101" s="238"/>
      <c r="J101" s="237"/>
      <c r="K101" s="235"/>
      <c r="L101" s="239"/>
      <c r="M101" s="239">
        <v>13119.68</v>
      </c>
      <c r="N101" s="239">
        <f t="shared" si="2"/>
        <v>558766.67000000016</v>
      </c>
      <c r="P101" s="238"/>
      <c r="Q101" s="237"/>
      <c r="R101" s="254"/>
      <c r="S101" s="239"/>
      <c r="T101" s="239">
        <v>13119.68</v>
      </c>
      <c r="U101" s="239">
        <f t="shared" si="3"/>
        <v>822766.66999999981</v>
      </c>
    </row>
    <row r="102" spans="9:21" x14ac:dyDescent="0.3">
      <c r="I102" s="238"/>
      <c r="J102" s="237"/>
      <c r="K102" s="235"/>
      <c r="L102" s="239"/>
      <c r="M102" s="239">
        <v>8000</v>
      </c>
      <c r="N102" s="239">
        <f t="shared" si="2"/>
        <v>550766.67000000016</v>
      </c>
      <c r="P102" s="238"/>
      <c r="Q102" s="237"/>
      <c r="R102" s="254"/>
      <c r="S102" s="239"/>
      <c r="T102" s="239"/>
      <c r="U102" s="239">
        <f t="shared" si="3"/>
        <v>822766.66999999981</v>
      </c>
    </row>
    <row r="103" spans="9:21" x14ac:dyDescent="0.3">
      <c r="I103" s="238">
        <v>2</v>
      </c>
      <c r="J103" s="235">
        <v>2020</v>
      </c>
      <c r="K103" s="235">
        <v>1051</v>
      </c>
      <c r="L103" s="239">
        <v>479.53</v>
      </c>
      <c r="M103" s="239"/>
      <c r="N103" s="239">
        <f t="shared" si="2"/>
        <v>551246.20000000019</v>
      </c>
      <c r="P103" s="238">
        <v>2</v>
      </c>
      <c r="Q103" s="254">
        <v>2020</v>
      </c>
      <c r="R103" s="254">
        <v>1051</v>
      </c>
      <c r="S103" s="239">
        <v>479.53</v>
      </c>
      <c r="T103" s="239"/>
      <c r="U103" s="239">
        <f t="shared" si="3"/>
        <v>823246.19999999984</v>
      </c>
    </row>
    <row r="104" spans="9:21" x14ac:dyDescent="0.3">
      <c r="I104" s="238"/>
      <c r="J104" s="237"/>
      <c r="K104" s="235"/>
      <c r="L104" s="239"/>
      <c r="M104" s="239"/>
      <c r="N104" s="239">
        <f t="shared" si="2"/>
        <v>551246.20000000019</v>
      </c>
      <c r="P104" s="238"/>
      <c r="Q104" s="237"/>
      <c r="R104" s="254"/>
      <c r="S104" s="239"/>
      <c r="T104" s="239"/>
      <c r="U104" s="239">
        <f t="shared" si="3"/>
        <v>823246.19999999984</v>
      </c>
    </row>
    <row r="105" spans="9:21" x14ac:dyDescent="0.3">
      <c r="I105" s="238"/>
      <c r="J105" s="237"/>
      <c r="K105" s="235"/>
      <c r="L105" s="239"/>
      <c r="M105" s="239">
        <v>8000</v>
      </c>
      <c r="N105" s="239">
        <f t="shared" si="2"/>
        <v>543246.20000000019</v>
      </c>
      <c r="P105" s="238"/>
      <c r="Q105" s="237"/>
      <c r="R105" s="254"/>
      <c r="S105" s="239"/>
      <c r="T105" s="239"/>
      <c r="U105" s="239">
        <f t="shared" si="3"/>
        <v>823246.19999999984</v>
      </c>
    </row>
    <row r="106" spans="9:21" x14ac:dyDescent="0.3">
      <c r="I106" s="238">
        <v>3</v>
      </c>
      <c r="J106" s="235">
        <v>2020</v>
      </c>
      <c r="K106" s="235">
        <v>1051</v>
      </c>
      <c r="L106" s="239">
        <v>47759.09</v>
      </c>
      <c r="M106" s="239"/>
      <c r="N106" s="239">
        <f t="shared" si="2"/>
        <v>591005.29000000015</v>
      </c>
      <c r="P106" s="238">
        <v>3</v>
      </c>
      <c r="Q106" s="254">
        <v>2020</v>
      </c>
      <c r="R106" s="254">
        <v>1051</v>
      </c>
      <c r="S106" s="239">
        <v>47759.09</v>
      </c>
      <c r="T106" s="239"/>
      <c r="U106" s="239">
        <f t="shared" si="3"/>
        <v>871005.2899999998</v>
      </c>
    </row>
    <row r="107" spans="9:21" x14ac:dyDescent="0.3">
      <c r="I107" s="238"/>
      <c r="J107" s="237"/>
      <c r="K107" s="235"/>
      <c r="L107" s="239"/>
      <c r="M107" s="239">
        <v>9551.82</v>
      </c>
      <c r="N107" s="239">
        <f t="shared" si="2"/>
        <v>581453.4700000002</v>
      </c>
      <c r="P107" s="238"/>
      <c r="Q107" s="237"/>
      <c r="R107" s="254"/>
      <c r="S107" s="239"/>
      <c r="T107" s="239">
        <v>9551.82</v>
      </c>
      <c r="U107" s="239">
        <f t="shared" si="3"/>
        <v>861453.46999999986</v>
      </c>
    </row>
    <row r="108" spans="9:21" x14ac:dyDescent="0.3">
      <c r="I108" s="238"/>
      <c r="J108" s="237"/>
      <c r="K108" s="235"/>
      <c r="L108" s="239"/>
      <c r="M108" s="239">
        <v>8000</v>
      </c>
      <c r="N108" s="239">
        <f t="shared" si="2"/>
        <v>573453.4700000002</v>
      </c>
      <c r="P108" s="238"/>
      <c r="Q108" s="237"/>
      <c r="R108" s="254"/>
      <c r="S108" s="239"/>
      <c r="T108" s="239"/>
      <c r="U108" s="239">
        <f t="shared" si="3"/>
        <v>861453.46999999986</v>
      </c>
    </row>
    <row r="109" spans="9:21" x14ac:dyDescent="0.3">
      <c r="I109" s="238">
        <v>4</v>
      </c>
      <c r="J109" s="235">
        <v>2020</v>
      </c>
      <c r="K109" s="235">
        <v>1051</v>
      </c>
      <c r="L109" s="239">
        <v>503.61</v>
      </c>
      <c r="M109" s="239"/>
      <c r="N109" s="239">
        <f t="shared" si="2"/>
        <v>573957.08000000019</v>
      </c>
      <c r="P109" s="238">
        <v>4</v>
      </c>
      <c r="Q109" s="254">
        <v>2020</v>
      </c>
      <c r="R109" s="254">
        <v>1051</v>
      </c>
      <c r="S109" s="239">
        <v>503.61</v>
      </c>
      <c r="T109" s="239"/>
      <c r="U109" s="239">
        <f t="shared" si="3"/>
        <v>861957.07999999984</v>
      </c>
    </row>
    <row r="110" spans="9:21" x14ac:dyDescent="0.3">
      <c r="I110" s="238"/>
      <c r="J110" s="237"/>
      <c r="K110" s="235"/>
      <c r="L110" s="239"/>
      <c r="M110" s="239"/>
      <c r="N110" s="239">
        <f t="shared" si="2"/>
        <v>573957.08000000019</v>
      </c>
      <c r="P110" s="238"/>
      <c r="Q110" s="237"/>
      <c r="R110" s="254"/>
      <c r="S110" s="239"/>
      <c r="T110" s="239"/>
      <c r="U110" s="239">
        <f t="shared" si="3"/>
        <v>861957.07999999984</v>
      </c>
    </row>
    <row r="111" spans="9:21" x14ac:dyDescent="0.3">
      <c r="I111" s="238"/>
      <c r="J111" s="237"/>
      <c r="K111" s="235"/>
      <c r="L111" s="239"/>
      <c r="M111" s="239">
        <v>8000</v>
      </c>
      <c r="N111" s="239">
        <f t="shared" si="2"/>
        <v>565957.08000000019</v>
      </c>
      <c r="P111" s="238"/>
      <c r="Q111" s="237"/>
      <c r="R111" s="254"/>
      <c r="S111" s="239"/>
      <c r="T111" s="239"/>
      <c r="U111" s="239">
        <f t="shared" si="3"/>
        <v>861957.07999999984</v>
      </c>
    </row>
    <row r="112" spans="9:21" x14ac:dyDescent="0.3">
      <c r="I112" s="238">
        <v>5</v>
      </c>
      <c r="J112" s="235">
        <v>2020</v>
      </c>
      <c r="K112" s="235">
        <v>1051</v>
      </c>
      <c r="L112" s="239">
        <v>479.76</v>
      </c>
      <c r="M112" s="239"/>
      <c r="N112" s="239">
        <f t="shared" si="2"/>
        <v>566436.8400000002</v>
      </c>
      <c r="P112" s="238">
        <v>5</v>
      </c>
      <c r="Q112" s="254">
        <v>2020</v>
      </c>
      <c r="R112" s="254">
        <v>1051</v>
      </c>
      <c r="S112" s="239">
        <v>479.76</v>
      </c>
      <c r="T112" s="239"/>
      <c r="U112" s="239">
        <f t="shared" si="3"/>
        <v>862436.83999999985</v>
      </c>
    </row>
    <row r="113" spans="9:21" x14ac:dyDescent="0.3">
      <c r="I113" s="238"/>
      <c r="J113" s="237"/>
      <c r="K113" s="235"/>
      <c r="L113" s="239"/>
      <c r="M113" s="239"/>
      <c r="N113" s="239">
        <f t="shared" si="2"/>
        <v>566436.8400000002</v>
      </c>
      <c r="P113" s="238"/>
      <c r="Q113" s="237"/>
      <c r="R113" s="254"/>
      <c r="S113" s="239"/>
      <c r="T113" s="239"/>
      <c r="U113" s="239">
        <f t="shared" si="3"/>
        <v>862436.83999999985</v>
      </c>
    </row>
    <row r="114" spans="9:21" x14ac:dyDescent="0.3">
      <c r="I114" s="238"/>
      <c r="J114" s="237"/>
      <c r="K114" s="235"/>
      <c r="L114" s="239"/>
      <c r="M114" s="239">
        <v>8000</v>
      </c>
      <c r="N114" s="239">
        <f t="shared" si="2"/>
        <v>558436.8400000002</v>
      </c>
      <c r="P114" s="238"/>
      <c r="Q114" s="237"/>
      <c r="R114" s="254"/>
      <c r="S114" s="239"/>
      <c r="T114" s="239"/>
      <c r="U114" s="239">
        <f t="shared" si="3"/>
        <v>862436.83999999985</v>
      </c>
    </row>
    <row r="115" spans="9:21" x14ac:dyDescent="0.3">
      <c r="I115" s="238">
        <v>6</v>
      </c>
      <c r="J115" s="235">
        <v>2020</v>
      </c>
      <c r="K115" s="235">
        <v>1051</v>
      </c>
      <c r="L115" s="239">
        <v>487.67</v>
      </c>
      <c r="M115" s="239"/>
      <c r="N115" s="239">
        <f t="shared" si="2"/>
        <v>558924.51000000024</v>
      </c>
      <c r="P115" s="238">
        <v>6</v>
      </c>
      <c r="Q115" s="254">
        <v>2020</v>
      </c>
      <c r="R115" s="254">
        <v>1051</v>
      </c>
      <c r="S115" s="239">
        <v>487.67</v>
      </c>
      <c r="T115" s="239"/>
      <c r="U115" s="239">
        <f t="shared" si="3"/>
        <v>862924.50999999989</v>
      </c>
    </row>
    <row r="116" spans="9:21" x14ac:dyDescent="0.3">
      <c r="I116" s="238"/>
      <c r="J116" s="237"/>
      <c r="K116" s="235"/>
      <c r="L116" s="239"/>
      <c r="M116" s="239"/>
      <c r="N116" s="239">
        <f t="shared" si="2"/>
        <v>558924.51000000024</v>
      </c>
      <c r="P116" s="238"/>
      <c r="Q116" s="237"/>
      <c r="R116" s="254"/>
      <c r="S116" s="239"/>
      <c r="T116" s="239"/>
      <c r="U116" s="239">
        <f t="shared" si="3"/>
        <v>862924.50999999989</v>
      </c>
    </row>
    <row r="117" spans="9:21" x14ac:dyDescent="0.3">
      <c r="I117" s="238"/>
      <c r="J117" s="237"/>
      <c r="K117" s="235"/>
      <c r="L117" s="239"/>
      <c r="M117" s="239">
        <v>8000</v>
      </c>
      <c r="N117" s="239">
        <f t="shared" si="2"/>
        <v>550924.51000000024</v>
      </c>
      <c r="P117" s="238"/>
      <c r="Q117" s="237"/>
      <c r="R117" s="254"/>
      <c r="S117" s="239"/>
      <c r="T117" s="239"/>
      <c r="U117" s="239">
        <f t="shared" si="3"/>
        <v>862924.50999999989</v>
      </c>
    </row>
    <row r="118" spans="9:21" x14ac:dyDescent="0.3">
      <c r="I118" s="238">
        <v>7</v>
      </c>
      <c r="J118" s="235">
        <v>2020</v>
      </c>
      <c r="K118" s="235">
        <v>1051</v>
      </c>
      <c r="L118" s="239">
        <v>191976.75</v>
      </c>
      <c r="M118" s="239"/>
      <c r="N118" s="239">
        <f t="shared" si="2"/>
        <v>742901.26000000024</v>
      </c>
      <c r="P118" s="238">
        <v>7</v>
      </c>
      <c r="Q118" s="254">
        <v>2020</v>
      </c>
      <c r="R118" s="254">
        <v>1051</v>
      </c>
      <c r="S118" s="239">
        <v>191976.75</v>
      </c>
      <c r="T118" s="239"/>
      <c r="U118" s="239">
        <f t="shared" si="3"/>
        <v>1054901.2599999998</v>
      </c>
    </row>
    <row r="119" spans="9:21" x14ac:dyDescent="0.3">
      <c r="I119" s="238"/>
      <c r="J119" s="237"/>
      <c r="K119" s="235"/>
      <c r="L119" s="239"/>
      <c r="M119" s="239">
        <v>38395.35</v>
      </c>
      <c r="N119" s="239">
        <f t="shared" si="2"/>
        <v>704505.91000000027</v>
      </c>
      <c r="P119" s="238"/>
      <c r="Q119" s="237"/>
      <c r="R119" s="254"/>
      <c r="S119" s="239"/>
      <c r="T119" s="239">
        <v>38395.35</v>
      </c>
      <c r="U119" s="239">
        <f t="shared" si="3"/>
        <v>1016505.9099999998</v>
      </c>
    </row>
    <row r="120" spans="9:21" x14ac:dyDescent="0.3">
      <c r="I120" s="238"/>
      <c r="J120" s="237"/>
      <c r="K120" s="235"/>
      <c r="L120" s="239"/>
      <c r="M120" s="239">
        <v>8000</v>
      </c>
      <c r="N120" s="239">
        <f t="shared" si="2"/>
        <v>696505.91000000027</v>
      </c>
      <c r="P120" s="238"/>
      <c r="Q120" s="237"/>
      <c r="R120" s="254"/>
      <c r="S120" s="239"/>
      <c r="T120" s="239"/>
      <c r="U120" s="239">
        <f t="shared" si="3"/>
        <v>1016505.9099999998</v>
      </c>
    </row>
    <row r="121" spans="9:21" x14ac:dyDescent="0.3">
      <c r="I121" s="238">
        <v>8</v>
      </c>
      <c r="J121" s="235">
        <v>2020</v>
      </c>
      <c r="K121" s="235">
        <v>1051</v>
      </c>
      <c r="L121" s="239">
        <v>39630.93</v>
      </c>
      <c r="M121" s="239"/>
      <c r="N121" s="239">
        <f t="shared" si="2"/>
        <v>736136.84000000032</v>
      </c>
      <c r="P121" s="238">
        <v>8</v>
      </c>
      <c r="Q121" s="254">
        <v>2020</v>
      </c>
      <c r="R121" s="254">
        <v>1051</v>
      </c>
      <c r="S121" s="239">
        <v>39630.93</v>
      </c>
      <c r="T121" s="239"/>
      <c r="U121" s="239">
        <f t="shared" si="3"/>
        <v>1056136.8399999999</v>
      </c>
    </row>
    <row r="122" spans="9:21" x14ac:dyDescent="0.3">
      <c r="I122" s="238"/>
      <c r="J122" s="237"/>
      <c r="K122" s="235"/>
      <c r="L122" s="239"/>
      <c r="M122" s="239">
        <v>7926.19</v>
      </c>
      <c r="N122" s="239">
        <f t="shared" si="2"/>
        <v>728210.65000000037</v>
      </c>
      <c r="P122" s="238"/>
      <c r="Q122" s="237"/>
      <c r="R122" s="254"/>
      <c r="S122" s="239"/>
      <c r="T122" s="239">
        <v>7926.19</v>
      </c>
      <c r="U122" s="239">
        <f t="shared" si="3"/>
        <v>1048210.6499999999</v>
      </c>
    </row>
    <row r="123" spans="9:21" x14ac:dyDescent="0.3">
      <c r="I123" s="238"/>
      <c r="J123" s="237"/>
      <c r="K123" s="235"/>
      <c r="L123" s="239"/>
      <c r="M123" s="239">
        <v>8000</v>
      </c>
      <c r="N123" s="239">
        <f t="shared" si="2"/>
        <v>720210.65000000037</v>
      </c>
      <c r="P123" s="238"/>
      <c r="Q123" s="237"/>
      <c r="R123" s="254"/>
      <c r="S123" s="239"/>
      <c r="T123" s="239"/>
      <c r="U123" s="239">
        <f t="shared" si="3"/>
        <v>1048210.6499999999</v>
      </c>
    </row>
    <row r="124" spans="9:21" x14ac:dyDescent="0.3">
      <c r="I124" s="238">
        <v>9</v>
      </c>
      <c r="J124" s="235">
        <v>2020</v>
      </c>
      <c r="K124" s="235">
        <v>1051</v>
      </c>
      <c r="L124" s="239">
        <v>527.53</v>
      </c>
      <c r="M124" s="239"/>
      <c r="N124" s="239">
        <f t="shared" si="2"/>
        <v>720738.1800000004</v>
      </c>
      <c r="P124" s="238">
        <v>9</v>
      </c>
      <c r="Q124" s="254">
        <v>2020</v>
      </c>
      <c r="R124" s="254">
        <v>1051</v>
      </c>
      <c r="S124" s="239">
        <v>527.53</v>
      </c>
      <c r="T124" s="239"/>
      <c r="U124" s="239">
        <f t="shared" si="3"/>
        <v>1048738.18</v>
      </c>
    </row>
    <row r="125" spans="9:21" x14ac:dyDescent="0.3">
      <c r="I125" s="238"/>
      <c r="J125" s="237"/>
      <c r="K125" s="235"/>
      <c r="L125" s="239"/>
      <c r="M125" s="239"/>
      <c r="N125" s="239">
        <f t="shared" si="2"/>
        <v>720738.1800000004</v>
      </c>
      <c r="P125" s="238"/>
      <c r="Q125" s="237"/>
      <c r="R125" s="254"/>
      <c r="S125" s="239"/>
      <c r="T125" s="239"/>
      <c r="U125" s="239">
        <f t="shared" si="3"/>
        <v>1048738.18</v>
      </c>
    </row>
    <row r="126" spans="9:21" x14ac:dyDescent="0.3">
      <c r="I126" s="238"/>
      <c r="J126" s="237"/>
      <c r="K126" s="235"/>
      <c r="L126" s="239"/>
      <c r="M126" s="239">
        <v>8000</v>
      </c>
      <c r="N126" s="239">
        <f t="shared" si="2"/>
        <v>712738.1800000004</v>
      </c>
      <c r="P126" s="238"/>
      <c r="Q126" s="237"/>
      <c r="R126" s="254"/>
      <c r="S126" s="239"/>
      <c r="T126" s="239"/>
      <c r="U126" s="239">
        <f t="shared" si="3"/>
        <v>1048738.18</v>
      </c>
    </row>
    <row r="127" spans="9:21" x14ac:dyDescent="0.3">
      <c r="I127" s="238">
        <v>10</v>
      </c>
      <c r="J127" s="235">
        <v>2020</v>
      </c>
      <c r="K127" s="235">
        <v>1051</v>
      </c>
      <c r="L127" s="239">
        <v>88461.56</v>
      </c>
      <c r="M127" s="239"/>
      <c r="N127" s="239">
        <f t="shared" si="2"/>
        <v>801199.74000000046</v>
      </c>
      <c r="P127" s="238">
        <v>10</v>
      </c>
      <c r="Q127" s="254">
        <v>2020</v>
      </c>
      <c r="R127" s="254">
        <v>1051</v>
      </c>
      <c r="S127" s="239">
        <v>88461.56</v>
      </c>
      <c r="T127" s="239"/>
      <c r="U127" s="239">
        <f t="shared" si="3"/>
        <v>1137199.74</v>
      </c>
    </row>
    <row r="128" spans="9:21" x14ac:dyDescent="0.3">
      <c r="I128" s="238"/>
      <c r="J128" s="237"/>
      <c r="K128" s="235"/>
      <c r="L128" s="239"/>
      <c r="M128" s="239">
        <v>17692.310000000001</v>
      </c>
      <c r="N128" s="239">
        <f t="shared" si="2"/>
        <v>783507.4300000004</v>
      </c>
      <c r="P128" s="238"/>
      <c r="Q128" s="237"/>
      <c r="R128" s="254"/>
      <c r="S128" s="239"/>
      <c r="T128" s="239">
        <v>17692.310000000001</v>
      </c>
      <c r="U128" s="239">
        <f t="shared" si="3"/>
        <v>1119507.43</v>
      </c>
    </row>
    <row r="129" spans="9:21" x14ac:dyDescent="0.3">
      <c r="I129" s="238"/>
      <c r="J129" s="237"/>
      <c r="K129" s="235"/>
      <c r="L129" s="239"/>
      <c r="M129" s="239">
        <v>8000</v>
      </c>
      <c r="N129" s="239">
        <f t="shared" si="2"/>
        <v>775507.4300000004</v>
      </c>
      <c r="P129" s="238"/>
      <c r="Q129" s="237"/>
      <c r="R129" s="254"/>
      <c r="S129" s="239"/>
      <c r="T129" s="239"/>
      <c r="U129" s="239">
        <f t="shared" si="3"/>
        <v>1119507.43</v>
      </c>
    </row>
    <row r="130" spans="9:21" x14ac:dyDescent="0.3">
      <c r="I130" s="238">
        <v>11</v>
      </c>
      <c r="J130" s="235">
        <v>2020</v>
      </c>
      <c r="K130" s="235">
        <v>1051</v>
      </c>
      <c r="L130" s="239">
        <v>127685.72</v>
      </c>
      <c r="M130" s="239"/>
      <c r="N130" s="239">
        <f t="shared" si="2"/>
        <v>903193.15000000037</v>
      </c>
      <c r="P130" s="238">
        <v>11</v>
      </c>
      <c r="Q130" s="254">
        <v>2020</v>
      </c>
      <c r="R130" s="254">
        <v>1051</v>
      </c>
      <c r="S130" s="239">
        <v>127685.72</v>
      </c>
      <c r="T130" s="239"/>
      <c r="U130" s="239">
        <f t="shared" si="3"/>
        <v>1247193.1499999999</v>
      </c>
    </row>
    <row r="131" spans="9:21" x14ac:dyDescent="0.3">
      <c r="I131" s="238"/>
      <c r="J131" s="237"/>
      <c r="K131" s="235"/>
      <c r="L131" s="239"/>
      <c r="M131" s="239">
        <v>25537.14</v>
      </c>
      <c r="N131" s="239">
        <f t="shared" si="2"/>
        <v>877656.01000000036</v>
      </c>
      <c r="P131" s="238"/>
      <c r="Q131" s="237"/>
      <c r="R131" s="254"/>
      <c r="S131" s="239"/>
      <c r="T131" s="239">
        <v>25537.14</v>
      </c>
      <c r="U131" s="239">
        <f t="shared" si="3"/>
        <v>1221656.01</v>
      </c>
    </row>
    <row r="132" spans="9:21" x14ac:dyDescent="0.3">
      <c r="I132" s="238"/>
      <c r="J132" s="237"/>
      <c r="K132" s="235"/>
      <c r="L132" s="239"/>
      <c r="M132" s="239">
        <v>8000</v>
      </c>
      <c r="N132" s="239">
        <f t="shared" si="2"/>
        <v>869656.01000000036</v>
      </c>
      <c r="P132" s="238"/>
      <c r="Q132" s="237"/>
      <c r="R132" s="254"/>
      <c r="S132" s="239"/>
      <c r="T132" s="239"/>
      <c r="U132" s="239">
        <f t="shared" si="3"/>
        <v>1221656.01</v>
      </c>
    </row>
    <row r="133" spans="9:21" x14ac:dyDescent="0.3">
      <c r="I133" s="238">
        <v>12</v>
      </c>
      <c r="J133" s="235">
        <v>2020</v>
      </c>
      <c r="K133" s="235">
        <v>1051</v>
      </c>
      <c r="L133" s="239">
        <v>99073.34</v>
      </c>
      <c r="M133" s="239"/>
      <c r="N133" s="239">
        <f t="shared" si="2"/>
        <v>968729.35000000033</v>
      </c>
      <c r="P133" s="238">
        <v>12</v>
      </c>
      <c r="Q133" s="254">
        <v>2020</v>
      </c>
      <c r="R133" s="254">
        <v>1051</v>
      </c>
      <c r="S133" s="239">
        <v>99073.34</v>
      </c>
      <c r="T133" s="239"/>
      <c r="U133" s="239">
        <f t="shared" si="3"/>
        <v>1320729.3500000001</v>
      </c>
    </row>
    <row r="134" spans="9:21" x14ac:dyDescent="0.3">
      <c r="I134" s="238"/>
      <c r="J134" s="237"/>
      <c r="K134" s="235"/>
      <c r="L134" s="239"/>
      <c r="M134" s="239">
        <v>19814.669999999998</v>
      </c>
      <c r="N134" s="239">
        <f t="shared" si="2"/>
        <v>948914.68000000028</v>
      </c>
      <c r="P134" s="238"/>
      <c r="Q134" s="237"/>
      <c r="R134" s="254"/>
      <c r="S134" s="239"/>
      <c r="T134" s="239">
        <v>19814.669999999998</v>
      </c>
      <c r="U134" s="239">
        <f t="shared" si="3"/>
        <v>1300914.6800000002</v>
      </c>
    </row>
    <row r="135" spans="9:21" x14ac:dyDescent="0.3">
      <c r="I135" s="238"/>
      <c r="J135" s="237"/>
      <c r="K135" s="235"/>
      <c r="L135" s="239"/>
      <c r="M135" s="239">
        <v>8000</v>
      </c>
      <c r="N135" s="239">
        <f t="shared" ref="N135:N171" si="4">L135+N134-M135</f>
        <v>940914.68000000028</v>
      </c>
      <c r="P135" s="238"/>
      <c r="Q135" s="237"/>
      <c r="R135" s="254"/>
      <c r="S135" s="239"/>
      <c r="T135" s="239"/>
      <c r="U135" s="239">
        <f t="shared" si="3"/>
        <v>1300914.6800000002</v>
      </c>
    </row>
    <row r="136" spans="9:21" x14ac:dyDescent="0.3">
      <c r="I136" s="238">
        <v>1</v>
      </c>
      <c r="J136" s="235">
        <v>2021</v>
      </c>
      <c r="K136" s="235">
        <v>1051</v>
      </c>
      <c r="L136" s="239">
        <v>714.98</v>
      </c>
      <c r="M136" s="239"/>
      <c r="N136" s="239">
        <f t="shared" si="4"/>
        <v>941629.66000000027</v>
      </c>
      <c r="P136" s="238">
        <v>1</v>
      </c>
      <c r="Q136" s="254">
        <v>2021</v>
      </c>
      <c r="R136" s="254">
        <v>1051</v>
      </c>
      <c r="S136" s="239">
        <v>714.98</v>
      </c>
      <c r="T136" s="239"/>
      <c r="U136" s="239">
        <f t="shared" ref="U136:U171" si="5">S136+U135-T136</f>
        <v>1301629.6600000001</v>
      </c>
    </row>
    <row r="137" spans="9:21" x14ac:dyDescent="0.3">
      <c r="I137" s="238"/>
      <c r="J137" s="237"/>
      <c r="K137" s="235"/>
      <c r="L137" s="239"/>
      <c r="M137" s="239"/>
      <c r="N137" s="239">
        <f t="shared" si="4"/>
        <v>941629.66000000027</v>
      </c>
      <c r="P137" s="238"/>
      <c r="Q137" s="237"/>
      <c r="R137" s="254"/>
      <c r="S137" s="239"/>
      <c r="T137" s="239"/>
      <c r="U137" s="239">
        <f t="shared" si="5"/>
        <v>1301629.6600000001</v>
      </c>
    </row>
    <row r="138" spans="9:21" x14ac:dyDescent="0.3">
      <c r="I138" s="238"/>
      <c r="J138" s="237"/>
      <c r="K138" s="235"/>
      <c r="L138" s="239"/>
      <c r="M138" s="239">
        <v>8000</v>
      </c>
      <c r="N138" s="239">
        <f t="shared" si="4"/>
        <v>933629.66000000027</v>
      </c>
      <c r="P138" s="238"/>
      <c r="Q138" s="237"/>
      <c r="R138" s="254"/>
      <c r="S138" s="239"/>
      <c r="T138" s="239"/>
      <c r="U138" s="239">
        <f t="shared" si="5"/>
        <v>1301629.6600000001</v>
      </c>
    </row>
    <row r="139" spans="9:21" x14ac:dyDescent="0.3">
      <c r="I139" s="238">
        <v>2</v>
      </c>
      <c r="J139" s="235">
        <v>2021</v>
      </c>
      <c r="K139" s="235">
        <v>1051</v>
      </c>
      <c r="L139" s="239">
        <v>708.79</v>
      </c>
      <c r="M139" s="239"/>
      <c r="N139" s="239">
        <f t="shared" si="4"/>
        <v>934338.4500000003</v>
      </c>
      <c r="P139" s="238">
        <v>2</v>
      </c>
      <c r="Q139" s="254">
        <v>2021</v>
      </c>
      <c r="R139" s="254">
        <v>1051</v>
      </c>
      <c r="S139" s="239">
        <v>708.79</v>
      </c>
      <c r="T139" s="239"/>
      <c r="U139" s="239">
        <f t="shared" si="5"/>
        <v>1302338.4500000002</v>
      </c>
    </row>
    <row r="140" spans="9:21" x14ac:dyDescent="0.3">
      <c r="I140" s="238"/>
      <c r="J140" s="237"/>
      <c r="K140" s="235"/>
      <c r="L140" s="239"/>
      <c r="M140" s="239"/>
      <c r="N140" s="239">
        <f t="shared" si="4"/>
        <v>934338.4500000003</v>
      </c>
      <c r="P140" s="238"/>
      <c r="Q140" s="237"/>
      <c r="R140" s="254"/>
      <c r="S140" s="239"/>
      <c r="T140" s="239"/>
      <c r="U140" s="239">
        <f t="shared" si="5"/>
        <v>1302338.4500000002</v>
      </c>
    </row>
    <row r="141" spans="9:21" x14ac:dyDescent="0.3">
      <c r="I141" s="238"/>
      <c r="J141" s="237"/>
      <c r="K141" s="235"/>
      <c r="L141" s="239"/>
      <c r="M141" s="239">
        <v>8000</v>
      </c>
      <c r="N141" s="239">
        <f t="shared" si="4"/>
        <v>926338.4500000003</v>
      </c>
      <c r="P141" s="238"/>
      <c r="Q141" s="237"/>
      <c r="R141" s="254"/>
      <c r="S141" s="239"/>
      <c r="T141" s="239"/>
      <c r="U141" s="239">
        <f t="shared" si="5"/>
        <v>1302338.4500000002</v>
      </c>
    </row>
    <row r="142" spans="9:21" x14ac:dyDescent="0.3">
      <c r="I142" s="238">
        <v>3</v>
      </c>
      <c r="J142" s="235">
        <v>2021</v>
      </c>
      <c r="K142" s="235">
        <v>1051</v>
      </c>
      <c r="L142" s="239">
        <v>54327.38</v>
      </c>
      <c r="M142" s="239"/>
      <c r="N142" s="239">
        <f t="shared" si="4"/>
        <v>980665.83000000031</v>
      </c>
      <c r="P142" s="238">
        <v>3</v>
      </c>
      <c r="Q142" s="254">
        <v>2021</v>
      </c>
      <c r="R142" s="254">
        <v>1051</v>
      </c>
      <c r="S142" s="239">
        <v>54327.38</v>
      </c>
      <c r="T142" s="239"/>
      <c r="U142" s="239">
        <f t="shared" si="5"/>
        <v>1356665.83</v>
      </c>
    </row>
    <row r="143" spans="9:21" x14ac:dyDescent="0.3">
      <c r="I143" s="238"/>
      <c r="J143" s="237"/>
      <c r="K143" s="235"/>
      <c r="L143" s="239"/>
      <c r="M143" s="239">
        <v>10864.48</v>
      </c>
      <c r="N143" s="239">
        <f t="shared" si="4"/>
        <v>969801.35000000033</v>
      </c>
      <c r="P143" s="238"/>
      <c r="Q143" s="237"/>
      <c r="R143" s="254"/>
      <c r="S143" s="239"/>
      <c r="T143" s="239">
        <v>10864.48</v>
      </c>
      <c r="U143" s="239">
        <f t="shared" si="5"/>
        <v>1345801.35</v>
      </c>
    </row>
    <row r="144" spans="9:21" x14ac:dyDescent="0.3">
      <c r="I144" s="238"/>
      <c r="J144" s="237"/>
      <c r="K144" s="235"/>
      <c r="L144" s="239"/>
      <c r="M144" s="239">
        <v>8000</v>
      </c>
      <c r="N144" s="239">
        <f t="shared" si="4"/>
        <v>961801.35000000033</v>
      </c>
      <c r="P144" s="238"/>
      <c r="Q144" s="237"/>
      <c r="R144" s="254"/>
      <c r="S144" s="239"/>
      <c r="T144" s="239"/>
      <c r="U144" s="239">
        <f t="shared" si="5"/>
        <v>1345801.35</v>
      </c>
    </row>
    <row r="145" spans="9:21" x14ac:dyDescent="0.3">
      <c r="I145" s="238">
        <v>4</v>
      </c>
      <c r="J145" s="235">
        <v>2021</v>
      </c>
      <c r="K145" s="235">
        <v>1051</v>
      </c>
      <c r="L145" s="239">
        <v>59502.47</v>
      </c>
      <c r="M145" s="239"/>
      <c r="N145" s="239">
        <f t="shared" si="4"/>
        <v>1021303.8200000003</v>
      </c>
      <c r="P145" s="238">
        <v>4</v>
      </c>
      <c r="Q145" s="254">
        <v>2021</v>
      </c>
      <c r="R145" s="254">
        <v>1051</v>
      </c>
      <c r="S145" s="239">
        <v>59502.47</v>
      </c>
      <c r="T145" s="239"/>
      <c r="U145" s="239">
        <f t="shared" si="5"/>
        <v>1405303.82</v>
      </c>
    </row>
    <row r="146" spans="9:21" x14ac:dyDescent="0.3">
      <c r="I146" s="238"/>
      <c r="J146" s="237"/>
      <c r="K146" s="235"/>
      <c r="L146" s="239"/>
      <c r="M146" s="239">
        <v>11900.49</v>
      </c>
      <c r="N146" s="239">
        <f t="shared" si="4"/>
        <v>1009403.3300000003</v>
      </c>
      <c r="P146" s="238"/>
      <c r="Q146" s="237"/>
      <c r="R146" s="254"/>
      <c r="S146" s="239"/>
      <c r="T146" s="239">
        <v>11900.49</v>
      </c>
      <c r="U146" s="239">
        <f t="shared" si="5"/>
        <v>1393403.33</v>
      </c>
    </row>
    <row r="147" spans="9:21" x14ac:dyDescent="0.3">
      <c r="I147" s="238"/>
      <c r="J147" s="237"/>
      <c r="K147" s="235"/>
      <c r="L147" s="239"/>
      <c r="M147" s="239">
        <v>8000</v>
      </c>
      <c r="N147" s="239">
        <f t="shared" si="4"/>
        <v>1001403.3300000003</v>
      </c>
      <c r="P147" s="238"/>
      <c r="Q147" s="237"/>
      <c r="R147" s="254"/>
      <c r="S147" s="239"/>
      <c r="T147" s="239"/>
      <c r="U147" s="239">
        <f t="shared" si="5"/>
        <v>1393403.33</v>
      </c>
    </row>
    <row r="148" spans="9:21" x14ac:dyDescent="0.3">
      <c r="I148" s="238">
        <v>5</v>
      </c>
      <c r="J148" s="235">
        <v>2021</v>
      </c>
      <c r="K148" s="235">
        <v>1051</v>
      </c>
      <c r="L148" s="239">
        <v>84939.08</v>
      </c>
      <c r="M148" s="239"/>
      <c r="N148" s="239">
        <f t="shared" si="4"/>
        <v>1086342.4100000004</v>
      </c>
      <c r="P148" s="238">
        <v>5</v>
      </c>
      <c r="Q148" s="254">
        <v>2021</v>
      </c>
      <c r="R148" s="254">
        <v>1051</v>
      </c>
      <c r="S148" s="239">
        <v>84939.08</v>
      </c>
      <c r="T148" s="239"/>
      <c r="U148" s="239">
        <f t="shared" si="5"/>
        <v>1478342.4100000001</v>
      </c>
    </row>
    <row r="149" spans="9:21" x14ac:dyDescent="0.3">
      <c r="I149" s="238"/>
      <c r="J149" s="237"/>
      <c r="K149" s="235"/>
      <c r="L149" s="239"/>
      <c r="M149" s="239">
        <v>16987.82</v>
      </c>
      <c r="N149" s="239">
        <f t="shared" si="4"/>
        <v>1069354.5900000003</v>
      </c>
      <c r="P149" s="238"/>
      <c r="Q149" s="237"/>
      <c r="R149" s="254"/>
      <c r="S149" s="239"/>
      <c r="T149" s="239">
        <v>16987.82</v>
      </c>
      <c r="U149" s="239">
        <f t="shared" si="5"/>
        <v>1461354.59</v>
      </c>
    </row>
    <row r="150" spans="9:21" x14ac:dyDescent="0.3">
      <c r="I150" s="238"/>
      <c r="J150" s="237"/>
      <c r="K150" s="235"/>
      <c r="L150" s="239"/>
      <c r="M150" s="239">
        <v>8000</v>
      </c>
      <c r="N150" s="239">
        <f t="shared" si="4"/>
        <v>1061354.5900000003</v>
      </c>
      <c r="P150" s="238"/>
      <c r="Q150" s="237"/>
      <c r="R150" s="254"/>
      <c r="S150" s="239"/>
      <c r="T150" s="239"/>
      <c r="U150" s="239">
        <f t="shared" si="5"/>
        <v>1461354.59</v>
      </c>
    </row>
    <row r="151" spans="9:21" x14ac:dyDescent="0.3">
      <c r="I151" s="238">
        <v>6</v>
      </c>
      <c r="J151" s="235">
        <v>2021</v>
      </c>
      <c r="K151" s="235">
        <v>1051</v>
      </c>
      <c r="L151" s="239">
        <v>203371.79</v>
      </c>
      <c r="M151" s="239"/>
      <c r="N151" s="239">
        <f t="shared" si="4"/>
        <v>1264726.3800000004</v>
      </c>
      <c r="P151" s="238">
        <v>6</v>
      </c>
      <c r="Q151" s="254">
        <v>2021</v>
      </c>
      <c r="R151" s="254">
        <v>1051</v>
      </c>
      <c r="S151" s="239">
        <v>203371.79</v>
      </c>
      <c r="T151" s="239"/>
      <c r="U151" s="239">
        <f t="shared" si="5"/>
        <v>1664726.3800000001</v>
      </c>
    </row>
    <row r="152" spans="9:21" x14ac:dyDescent="0.3">
      <c r="I152" s="238"/>
      <c r="J152" s="237"/>
      <c r="K152" s="235"/>
      <c r="L152" s="239"/>
      <c r="M152" s="239">
        <v>40674.36</v>
      </c>
      <c r="N152" s="239">
        <f t="shared" si="4"/>
        <v>1224052.0200000003</v>
      </c>
      <c r="P152" s="238"/>
      <c r="Q152" s="237"/>
      <c r="R152" s="254"/>
      <c r="S152" s="239"/>
      <c r="T152" s="239">
        <v>40674.36</v>
      </c>
      <c r="U152" s="239">
        <f t="shared" si="5"/>
        <v>1624052.02</v>
      </c>
    </row>
    <row r="153" spans="9:21" x14ac:dyDescent="0.3">
      <c r="I153" s="238"/>
      <c r="J153" s="237"/>
      <c r="K153" s="235"/>
      <c r="L153" s="239"/>
      <c r="M153" s="239">
        <v>8000</v>
      </c>
      <c r="N153" s="239">
        <f t="shared" si="4"/>
        <v>1216052.0200000003</v>
      </c>
      <c r="P153" s="238"/>
      <c r="Q153" s="237"/>
      <c r="R153" s="254"/>
      <c r="S153" s="239"/>
      <c r="T153" s="239"/>
      <c r="U153" s="239">
        <f t="shared" si="5"/>
        <v>1624052.02</v>
      </c>
    </row>
    <row r="154" spans="9:21" x14ac:dyDescent="0.3">
      <c r="I154" s="238">
        <v>7</v>
      </c>
      <c r="J154" s="235">
        <v>2021</v>
      </c>
      <c r="K154" s="235">
        <v>1051</v>
      </c>
      <c r="L154" s="239">
        <v>127526.35</v>
      </c>
      <c r="M154" s="239"/>
      <c r="N154" s="239">
        <f t="shared" si="4"/>
        <v>1343578.3700000003</v>
      </c>
      <c r="P154" s="238">
        <v>7</v>
      </c>
      <c r="Q154" s="254">
        <v>2021</v>
      </c>
      <c r="R154" s="254">
        <v>1051</v>
      </c>
      <c r="S154" s="239">
        <v>127526.35</v>
      </c>
      <c r="T154" s="239"/>
      <c r="U154" s="239">
        <f t="shared" si="5"/>
        <v>1751578.37</v>
      </c>
    </row>
    <row r="155" spans="9:21" x14ac:dyDescent="0.3">
      <c r="I155" s="238"/>
      <c r="J155" s="237"/>
      <c r="K155" s="235"/>
      <c r="L155" s="239"/>
      <c r="M155" s="239">
        <v>25505.27</v>
      </c>
      <c r="N155" s="239">
        <f t="shared" si="4"/>
        <v>1318073.1000000003</v>
      </c>
      <c r="P155" s="238"/>
      <c r="Q155" s="237"/>
      <c r="R155" s="254"/>
      <c r="S155" s="239"/>
      <c r="T155" s="239">
        <v>25505.27</v>
      </c>
      <c r="U155" s="239">
        <f t="shared" si="5"/>
        <v>1726073.1</v>
      </c>
    </row>
    <row r="156" spans="9:21" x14ac:dyDescent="0.3">
      <c r="I156" s="238"/>
      <c r="J156" s="237"/>
      <c r="K156" s="235"/>
      <c r="L156" s="239"/>
      <c r="M156" s="239">
        <v>8000</v>
      </c>
      <c r="N156" s="239">
        <f t="shared" si="4"/>
        <v>1310073.1000000003</v>
      </c>
      <c r="P156" s="238"/>
      <c r="Q156" s="237"/>
      <c r="R156" s="254"/>
      <c r="S156" s="239"/>
      <c r="T156" s="239"/>
      <c r="U156" s="239">
        <f t="shared" si="5"/>
        <v>1726073.1</v>
      </c>
    </row>
    <row r="157" spans="9:21" x14ac:dyDescent="0.3">
      <c r="I157" s="238">
        <v>8</v>
      </c>
      <c r="J157" s="235">
        <v>2021</v>
      </c>
      <c r="K157" s="235">
        <v>1051</v>
      </c>
      <c r="L157" s="239">
        <v>131857</v>
      </c>
      <c r="M157" s="239"/>
      <c r="N157" s="239">
        <f t="shared" si="4"/>
        <v>1441930.1000000003</v>
      </c>
      <c r="P157" s="238">
        <v>8</v>
      </c>
      <c r="Q157" s="254">
        <v>2021</v>
      </c>
      <c r="R157" s="254">
        <v>1051</v>
      </c>
      <c r="S157" s="239">
        <v>131857</v>
      </c>
      <c r="T157" s="239"/>
      <c r="U157" s="239">
        <f t="shared" si="5"/>
        <v>1857930.1</v>
      </c>
    </row>
    <row r="158" spans="9:21" x14ac:dyDescent="0.3">
      <c r="I158" s="238"/>
      <c r="J158" s="237"/>
      <c r="K158" s="235"/>
      <c r="L158" s="239"/>
      <c r="M158" s="239">
        <v>26371.4</v>
      </c>
      <c r="N158" s="239">
        <f t="shared" si="4"/>
        <v>1415558.7000000004</v>
      </c>
      <c r="P158" s="238"/>
      <c r="Q158" s="237"/>
      <c r="R158" s="254"/>
      <c r="S158" s="239"/>
      <c r="T158" s="239">
        <v>26371.4</v>
      </c>
      <c r="U158" s="239">
        <f t="shared" si="5"/>
        <v>1831558.7000000002</v>
      </c>
    </row>
    <row r="159" spans="9:21" x14ac:dyDescent="0.3">
      <c r="I159" s="238"/>
      <c r="J159" s="237"/>
      <c r="K159" s="235"/>
      <c r="L159" s="239"/>
      <c r="M159" s="239">
        <v>8000</v>
      </c>
      <c r="N159" s="239">
        <f t="shared" si="4"/>
        <v>1407558.7000000004</v>
      </c>
      <c r="P159" s="238"/>
      <c r="Q159" s="237"/>
      <c r="R159" s="254"/>
      <c r="S159" s="239"/>
      <c r="T159" s="239"/>
      <c r="U159" s="239">
        <f t="shared" si="5"/>
        <v>1831558.7000000002</v>
      </c>
    </row>
    <row r="160" spans="9:21" x14ac:dyDescent="0.3">
      <c r="I160" s="238">
        <v>9</v>
      </c>
      <c r="J160" s="235">
        <v>2021</v>
      </c>
      <c r="K160" s="235">
        <v>1051</v>
      </c>
      <c r="L160" s="239">
        <v>46818.9</v>
      </c>
      <c r="M160" s="239"/>
      <c r="N160" s="239">
        <f t="shared" si="4"/>
        <v>1454377.6000000003</v>
      </c>
      <c r="P160" s="238">
        <v>9</v>
      </c>
      <c r="Q160" s="254">
        <v>2021</v>
      </c>
      <c r="R160" s="254">
        <v>1051</v>
      </c>
      <c r="S160" s="239">
        <v>46818.9</v>
      </c>
      <c r="T160" s="239"/>
      <c r="U160" s="239">
        <f t="shared" si="5"/>
        <v>1878377.6</v>
      </c>
    </row>
    <row r="161" spans="9:22" x14ac:dyDescent="0.3">
      <c r="I161" s="238"/>
      <c r="J161" s="237"/>
      <c r="K161" s="235"/>
      <c r="L161" s="239"/>
      <c r="M161" s="239">
        <v>9363.7800000000007</v>
      </c>
      <c r="N161" s="239">
        <f t="shared" si="4"/>
        <v>1445013.8200000003</v>
      </c>
      <c r="P161" s="238"/>
      <c r="Q161" s="237"/>
      <c r="R161" s="254"/>
      <c r="S161" s="239"/>
      <c r="T161" s="239">
        <v>9363.7800000000007</v>
      </c>
      <c r="U161" s="239">
        <f t="shared" si="5"/>
        <v>1869013.82</v>
      </c>
    </row>
    <row r="162" spans="9:22" x14ac:dyDescent="0.3">
      <c r="I162" s="238"/>
      <c r="J162" s="237"/>
      <c r="K162" s="235"/>
      <c r="L162" s="239"/>
      <c r="M162" s="239">
        <v>8000</v>
      </c>
      <c r="N162" s="239">
        <f t="shared" si="4"/>
        <v>1437013.8200000003</v>
      </c>
      <c r="P162" s="238"/>
      <c r="Q162" s="237"/>
      <c r="R162" s="254"/>
      <c r="S162" s="239"/>
      <c r="T162" s="239"/>
      <c r="U162" s="239">
        <f t="shared" si="5"/>
        <v>1869013.82</v>
      </c>
    </row>
    <row r="163" spans="9:22" x14ac:dyDescent="0.3">
      <c r="I163" s="238">
        <v>10</v>
      </c>
      <c r="J163" s="235">
        <v>2021</v>
      </c>
      <c r="K163" s="235">
        <v>1051</v>
      </c>
      <c r="L163" s="239">
        <v>13213.42</v>
      </c>
      <c r="M163" s="239"/>
      <c r="N163" s="239">
        <f t="shared" si="4"/>
        <v>1450227.2400000002</v>
      </c>
      <c r="P163" s="238">
        <v>10</v>
      </c>
      <c r="Q163" s="254">
        <v>2021</v>
      </c>
      <c r="R163" s="254">
        <v>1051</v>
      </c>
      <c r="S163" s="239">
        <v>13213.42</v>
      </c>
      <c r="T163" s="239"/>
      <c r="U163" s="239">
        <f t="shared" si="5"/>
        <v>1882227.24</v>
      </c>
    </row>
    <row r="164" spans="9:22" x14ac:dyDescent="0.3">
      <c r="I164" s="238"/>
      <c r="J164" s="237"/>
      <c r="K164" s="235"/>
      <c r="L164" s="239"/>
      <c r="M164" s="239">
        <v>2642.68</v>
      </c>
      <c r="N164" s="239">
        <f t="shared" si="4"/>
        <v>1447584.5600000003</v>
      </c>
      <c r="P164" s="238"/>
      <c r="Q164" s="237"/>
      <c r="R164" s="254"/>
      <c r="S164" s="239"/>
      <c r="T164" s="239">
        <v>2642.68</v>
      </c>
      <c r="U164" s="239">
        <f t="shared" si="5"/>
        <v>1879584.56</v>
      </c>
    </row>
    <row r="165" spans="9:22" x14ac:dyDescent="0.3">
      <c r="I165" s="238"/>
      <c r="J165" s="237"/>
      <c r="K165" s="235"/>
      <c r="L165" s="239"/>
      <c r="M165" s="239">
        <v>8000</v>
      </c>
      <c r="N165" s="239">
        <f t="shared" si="4"/>
        <v>1439584.5600000003</v>
      </c>
      <c r="P165" s="238"/>
      <c r="Q165" s="237"/>
      <c r="R165" s="254"/>
      <c r="S165" s="239"/>
      <c r="T165" s="239"/>
      <c r="U165" s="239">
        <f t="shared" si="5"/>
        <v>1879584.56</v>
      </c>
    </row>
    <row r="166" spans="9:22" x14ac:dyDescent="0.3">
      <c r="I166" s="238">
        <v>11</v>
      </c>
      <c r="J166" s="235">
        <v>2021</v>
      </c>
      <c r="K166" s="235">
        <v>1051</v>
      </c>
      <c r="L166" s="241">
        <v>15000</v>
      </c>
      <c r="M166" s="241"/>
      <c r="N166" s="239">
        <f t="shared" si="4"/>
        <v>1454584.5600000003</v>
      </c>
      <c r="P166" s="238">
        <v>11</v>
      </c>
      <c r="Q166" s="254">
        <v>2021</v>
      </c>
      <c r="R166" s="254">
        <v>1051</v>
      </c>
      <c r="S166" s="256">
        <v>85932.1</v>
      </c>
      <c r="T166" s="256"/>
      <c r="U166" s="239">
        <f t="shared" si="5"/>
        <v>1965516.6600000001</v>
      </c>
    </row>
    <row r="167" spans="9:22" x14ac:dyDescent="0.3">
      <c r="I167" s="238"/>
      <c r="J167" s="237"/>
      <c r="K167" s="235"/>
      <c r="L167" s="239"/>
      <c r="M167" s="239"/>
      <c r="N167" s="239">
        <f t="shared" si="4"/>
        <v>1454584.5600000003</v>
      </c>
      <c r="P167" s="238"/>
      <c r="Q167" s="237"/>
      <c r="R167" s="254"/>
      <c r="S167" s="239"/>
      <c r="T167" s="239">
        <v>17186.419999999998</v>
      </c>
      <c r="U167" s="239">
        <f t="shared" si="5"/>
        <v>1948330.2400000002</v>
      </c>
    </row>
    <row r="168" spans="9:22" x14ac:dyDescent="0.3">
      <c r="I168" s="238"/>
      <c r="J168" s="237"/>
      <c r="K168" s="235"/>
      <c r="L168" s="239"/>
      <c r="M168" s="239">
        <v>8000</v>
      </c>
      <c r="N168" s="239">
        <f t="shared" si="4"/>
        <v>1446584.5600000003</v>
      </c>
      <c r="P168" s="238"/>
      <c r="Q168" s="237"/>
      <c r="R168" s="254"/>
      <c r="S168" s="239"/>
      <c r="T168" s="239"/>
      <c r="U168" s="239">
        <f t="shared" si="5"/>
        <v>1948330.2400000002</v>
      </c>
    </row>
    <row r="169" spans="9:22" x14ac:dyDescent="0.3">
      <c r="I169" s="238">
        <v>12</v>
      </c>
      <c r="J169" s="235">
        <v>2021</v>
      </c>
      <c r="K169" s="235">
        <v>1051</v>
      </c>
      <c r="L169" s="241">
        <v>15000</v>
      </c>
      <c r="M169" s="241"/>
      <c r="N169" s="239">
        <f t="shared" si="4"/>
        <v>1461584.5600000003</v>
      </c>
      <c r="P169" s="238">
        <v>12</v>
      </c>
      <c r="Q169" s="254">
        <v>2021</v>
      </c>
      <c r="R169" s="254">
        <v>1051</v>
      </c>
      <c r="S169" s="241"/>
      <c r="T169" s="241"/>
      <c r="U169" s="239">
        <f t="shared" si="5"/>
        <v>1948330.2400000002</v>
      </c>
    </row>
    <row r="170" spans="9:22" x14ac:dyDescent="0.3">
      <c r="I170" s="238"/>
      <c r="J170" s="237"/>
      <c r="K170" s="235"/>
      <c r="L170" s="239"/>
      <c r="M170" s="239"/>
      <c r="N170" s="239">
        <f t="shared" si="4"/>
        <v>1461584.5600000003</v>
      </c>
      <c r="P170" s="238"/>
      <c r="Q170" s="237"/>
      <c r="R170" s="254"/>
      <c r="S170" s="239"/>
      <c r="T170" s="239"/>
      <c r="U170" s="239">
        <f t="shared" si="5"/>
        <v>1948330.2400000002</v>
      </c>
    </row>
    <row r="171" spans="9:22" x14ac:dyDescent="0.3">
      <c r="I171" s="238"/>
      <c r="J171" s="237"/>
      <c r="K171" s="235"/>
      <c r="L171" s="239"/>
      <c r="M171" s="239">
        <v>8000</v>
      </c>
      <c r="N171" s="247">
        <f t="shared" si="4"/>
        <v>1453584.5600000003</v>
      </c>
      <c r="P171" s="238"/>
      <c r="Q171" s="237"/>
      <c r="R171" s="254"/>
      <c r="S171" s="239">
        <f>SUM(S4:S170)</f>
        <v>2425455.4</v>
      </c>
      <c r="T171" s="239">
        <f>SUM(T4:T170)</f>
        <v>477125.16000000003</v>
      </c>
      <c r="U171" s="247">
        <f t="shared" si="5"/>
        <v>3896660.4800000004</v>
      </c>
      <c r="V171" s="232">
        <f>S171-T171</f>
        <v>1948330.2399999998</v>
      </c>
    </row>
  </sheetData>
  <mergeCells count="8">
    <mergeCell ref="B3:D3"/>
    <mergeCell ref="I3:J3"/>
    <mergeCell ref="L3:M3"/>
    <mergeCell ref="AB3:AD3"/>
    <mergeCell ref="A1:G1"/>
    <mergeCell ref="A2:G2"/>
    <mergeCell ref="P3:Q3"/>
    <mergeCell ref="S3:T3"/>
  </mergeCells>
  <pageMargins left="0.70866141732283472" right="0.70866141732283472" top="0.74803149606299213" bottom="0.74803149606299213" header="0.31496062992125984" footer="0.31496062992125984"/>
  <pageSetup paperSize="9" scale="135" orientation="portrait" horizontalDpi="4294967293" verticalDpi="0" r:id="rId1"/>
  <colBreaks count="2" manualBreakCount="2">
    <brk id="15" max="1048575" man="1"/>
    <brk id="2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view="pageBreakPreview" topLeftCell="A25" zoomScale="115" zoomScaleNormal="110" zoomScaleSheetLayoutView="115" workbookViewId="0">
      <selection activeCell="N17" sqref="N17"/>
    </sheetView>
  </sheetViews>
  <sheetFormatPr defaultRowHeight="14.25" x14ac:dyDescent="0.2"/>
  <cols>
    <col min="1" max="1" width="4.28515625" style="33" customWidth="1"/>
    <col min="2" max="2" width="40.42578125" style="33" customWidth="1"/>
    <col min="3" max="3" width="10.140625" style="33" bestFit="1" customWidth="1"/>
    <col min="4" max="4" width="7" style="62" customWidth="1"/>
    <col min="5" max="5" width="5.85546875" style="62" customWidth="1"/>
    <col min="6" max="6" width="4.85546875" style="33" customWidth="1"/>
    <col min="7" max="12" width="12.5703125" style="33" bestFit="1" customWidth="1"/>
    <col min="13" max="13" width="14.85546875" style="33" bestFit="1" customWidth="1"/>
    <col min="14" max="14" width="12" style="62" customWidth="1"/>
    <col min="15" max="15" width="13.42578125" style="62" bestFit="1" customWidth="1"/>
    <col min="16" max="16" width="13.85546875" style="33" bestFit="1" customWidth="1"/>
    <col min="17" max="16384" width="9.140625" style="33"/>
  </cols>
  <sheetData>
    <row r="1" spans="1:16" x14ac:dyDescent="0.2">
      <c r="A1" s="31" t="s">
        <v>179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6" x14ac:dyDescent="0.2">
      <c r="A2" s="31" t="s">
        <v>64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6" ht="15.75" customHeight="1" x14ac:dyDescent="0.2">
      <c r="A3" s="34" t="s">
        <v>65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6" ht="16.5" x14ac:dyDescent="0.2">
      <c r="A4" s="131"/>
      <c r="B4" s="132"/>
      <c r="C4" s="132"/>
      <c r="D4" s="133"/>
      <c r="E4" s="133"/>
      <c r="F4" s="134"/>
      <c r="G4" s="134"/>
      <c r="H4" s="134"/>
      <c r="I4" s="134"/>
      <c r="J4" s="134"/>
      <c r="K4" s="134"/>
      <c r="L4" s="131"/>
      <c r="M4" s="131"/>
    </row>
    <row r="5" spans="1:16" ht="16.5" x14ac:dyDescent="0.2">
      <c r="A5" s="134">
        <v>1</v>
      </c>
      <c r="B5" s="131" t="s">
        <v>186</v>
      </c>
      <c r="C5" s="289">
        <v>98000000</v>
      </c>
      <c r="D5" s="289"/>
      <c r="E5" s="289"/>
      <c r="F5" s="289"/>
      <c r="G5" s="135">
        <v>0.3</v>
      </c>
      <c r="H5" s="289">
        <f>G5*$C$5</f>
        <v>29400000</v>
      </c>
      <c r="I5" s="290"/>
      <c r="J5" s="134"/>
      <c r="K5" s="134"/>
      <c r="L5" s="131"/>
      <c r="M5" s="131"/>
    </row>
    <row r="6" spans="1:16" ht="16.5" x14ac:dyDescent="0.2">
      <c r="A6" s="134">
        <v>2</v>
      </c>
      <c r="B6" s="131" t="s">
        <v>187</v>
      </c>
      <c r="C6" s="289">
        <f>74489875*3</f>
        <v>223469625</v>
      </c>
      <c r="D6" s="289"/>
      <c r="E6" s="289"/>
      <c r="F6" s="289"/>
      <c r="G6" s="135">
        <v>0.7</v>
      </c>
      <c r="H6" s="289">
        <f>G6*$C$5</f>
        <v>68600000</v>
      </c>
      <c r="I6" s="290"/>
      <c r="J6" s="134"/>
      <c r="K6" s="134"/>
      <c r="L6" s="131"/>
      <c r="M6" s="131"/>
    </row>
    <row r="7" spans="1:16" ht="16.5" x14ac:dyDescent="0.2">
      <c r="A7" s="134">
        <v>3</v>
      </c>
      <c r="B7" s="131" t="s">
        <v>188</v>
      </c>
      <c r="C7" s="289">
        <f>M72*3</f>
        <v>77317100</v>
      </c>
      <c r="D7" s="289"/>
      <c r="E7" s="289"/>
      <c r="F7" s="289"/>
      <c r="G7" s="134"/>
      <c r="H7" s="134"/>
      <c r="I7" s="134"/>
      <c r="J7" s="134"/>
      <c r="K7" s="134"/>
      <c r="L7" s="131"/>
      <c r="M7" s="131"/>
    </row>
    <row r="8" spans="1:16" ht="16.5" x14ac:dyDescent="0.2">
      <c r="A8" s="131"/>
      <c r="B8" s="132"/>
      <c r="C8" s="132"/>
      <c r="D8" s="133"/>
      <c r="E8" s="133"/>
      <c r="F8" s="134"/>
      <c r="G8" s="134"/>
      <c r="H8" s="134"/>
      <c r="I8" s="134"/>
      <c r="J8" s="134"/>
      <c r="K8" s="134"/>
      <c r="L8" s="131"/>
      <c r="M8" s="131"/>
    </row>
    <row r="9" spans="1:16" ht="4.5" customHeight="1" x14ac:dyDescent="0.2">
      <c r="A9" s="42"/>
      <c r="B9" s="43"/>
      <c r="C9" s="43"/>
      <c r="D9" s="44"/>
      <c r="E9" s="44"/>
      <c r="F9" s="45"/>
      <c r="G9" s="45"/>
      <c r="H9" s="45"/>
      <c r="I9" s="45"/>
      <c r="J9" s="45"/>
      <c r="K9" s="45"/>
      <c r="L9" s="46"/>
      <c r="M9" s="46"/>
    </row>
    <row r="10" spans="1:16" x14ac:dyDescent="0.2">
      <c r="A10" s="273" t="s">
        <v>90</v>
      </c>
      <c r="B10" s="273" t="s">
        <v>91</v>
      </c>
      <c r="C10" s="273" t="s">
        <v>89</v>
      </c>
      <c r="D10" s="274" t="s">
        <v>66</v>
      </c>
      <c r="E10" s="274"/>
      <c r="F10" s="274"/>
      <c r="G10" s="269" t="s">
        <v>172</v>
      </c>
      <c r="H10" s="269" t="s">
        <v>173</v>
      </c>
      <c r="I10" s="269" t="s">
        <v>169</v>
      </c>
      <c r="J10" s="269" t="s">
        <v>170</v>
      </c>
      <c r="K10" s="269" t="s">
        <v>171</v>
      </c>
      <c r="L10" s="269" t="s">
        <v>168</v>
      </c>
      <c r="M10" s="269" t="s">
        <v>185</v>
      </c>
      <c r="N10" s="287" t="s">
        <v>189</v>
      </c>
      <c r="O10" s="288"/>
      <c r="P10" s="288"/>
    </row>
    <row r="11" spans="1:16" ht="17.25" customHeight="1" x14ac:dyDescent="0.2">
      <c r="A11" s="273"/>
      <c r="B11" s="273"/>
      <c r="C11" s="273"/>
      <c r="D11" s="128" t="s">
        <v>180</v>
      </c>
      <c r="E11" s="128" t="s">
        <v>58</v>
      </c>
      <c r="F11" s="127" t="s">
        <v>55</v>
      </c>
      <c r="G11" s="270"/>
      <c r="H11" s="270"/>
      <c r="I11" s="270"/>
      <c r="J11" s="270"/>
      <c r="K11" s="270"/>
      <c r="L11" s="270"/>
      <c r="M11" s="270"/>
      <c r="N11" s="125" t="s">
        <v>190</v>
      </c>
      <c r="O11" s="125" t="s">
        <v>191</v>
      </c>
      <c r="P11" s="125" t="s">
        <v>192</v>
      </c>
    </row>
    <row r="12" spans="1:16" x14ac:dyDescent="0.2">
      <c r="A12" s="129">
        <v>49</v>
      </c>
      <c r="B12" s="61" t="s">
        <v>44</v>
      </c>
      <c r="C12" s="61" t="s">
        <v>51</v>
      </c>
      <c r="D12" s="53">
        <v>1985</v>
      </c>
      <c r="E12" s="53">
        <v>2022</v>
      </c>
      <c r="F12" s="53">
        <f t="shared" ref="F12:F30" si="0">E12-D12</f>
        <v>37</v>
      </c>
      <c r="G12" s="76">
        <v>2187300</v>
      </c>
      <c r="H12" s="76">
        <v>2187300</v>
      </c>
      <c r="I12" s="76">
        <v>2187300</v>
      </c>
      <c r="J12" s="76">
        <v>2187300</v>
      </c>
      <c r="K12" s="76">
        <v>2187300</v>
      </c>
      <c r="L12" s="76">
        <v>2187300</v>
      </c>
      <c r="M12" s="56">
        <f t="shared" ref="M12:M50" si="1">AVERAGE(G12:L12)</f>
        <v>2187300</v>
      </c>
      <c r="N12" s="138">
        <f>(M12/$C$6)*$H$5</f>
        <v>287764.47805825958</v>
      </c>
      <c r="O12" s="138">
        <f>(M12/($C$6+$C$7))*$H$6</f>
        <v>498854.39591790497</v>
      </c>
      <c r="P12" s="138">
        <f>N12+O12</f>
        <v>786618.8739761645</v>
      </c>
    </row>
    <row r="13" spans="1:16" s="58" customFormat="1" x14ac:dyDescent="0.2">
      <c r="A13" s="129">
        <v>50</v>
      </c>
      <c r="B13" s="61" t="s">
        <v>53</v>
      </c>
      <c r="C13" s="61" t="s">
        <v>51</v>
      </c>
      <c r="D13" s="53">
        <v>1985</v>
      </c>
      <c r="E13" s="53">
        <v>2022</v>
      </c>
      <c r="F13" s="53">
        <f t="shared" si="0"/>
        <v>37</v>
      </c>
      <c r="G13" s="76">
        <v>2104800</v>
      </c>
      <c r="H13" s="76">
        <v>2104800</v>
      </c>
      <c r="I13" s="76">
        <v>2104800</v>
      </c>
      <c r="J13" s="76">
        <v>2104800</v>
      </c>
      <c r="K13" s="76">
        <v>2104800</v>
      </c>
      <c r="L13" s="76">
        <v>2104800</v>
      </c>
      <c r="M13" s="56">
        <f t="shared" si="1"/>
        <v>2104800</v>
      </c>
      <c r="N13" s="138">
        <f t="shared" ref="N13:N50" si="2">(M13/$C$6)*$H$5</f>
        <v>276910.65396471665</v>
      </c>
      <c r="O13" s="138">
        <f t="shared" ref="O13:O71" si="3">(M13/($C$6+$C$7))*$H$6</f>
        <v>480038.73841174343</v>
      </c>
      <c r="P13" s="138">
        <f t="shared" ref="P13:P71" si="4">N13+O13</f>
        <v>756949.39237646013</v>
      </c>
    </row>
    <row r="14" spans="1:16" s="58" customFormat="1" x14ac:dyDescent="0.2">
      <c r="A14" s="53">
        <v>51</v>
      </c>
      <c r="B14" s="54" t="s">
        <v>45</v>
      </c>
      <c r="C14" s="54" t="s">
        <v>130</v>
      </c>
      <c r="D14" s="55">
        <v>1985</v>
      </c>
      <c r="E14" s="55">
        <v>2022</v>
      </c>
      <c r="F14" s="53">
        <f t="shared" si="0"/>
        <v>37</v>
      </c>
      <c r="G14" s="56">
        <v>2140000</v>
      </c>
      <c r="H14" s="56">
        <v>2140000</v>
      </c>
      <c r="I14" s="56">
        <v>2140000</v>
      </c>
      <c r="J14" s="56">
        <v>2140000</v>
      </c>
      <c r="K14" s="56">
        <v>2140000</v>
      </c>
      <c r="L14" s="56">
        <v>2070000</v>
      </c>
      <c r="M14" s="56">
        <f t="shared" si="1"/>
        <v>2128333.3333333335</v>
      </c>
      <c r="N14" s="138">
        <f t="shared" si="2"/>
        <v>280006.73469604651</v>
      </c>
      <c r="O14" s="138">
        <f t="shared" si="3"/>
        <v>485405.95222966268</v>
      </c>
      <c r="P14" s="138">
        <f t="shared" si="4"/>
        <v>765412.68692570925</v>
      </c>
    </row>
    <row r="15" spans="1:16" s="58" customFormat="1" x14ac:dyDescent="0.2">
      <c r="A15" s="53">
        <v>52</v>
      </c>
      <c r="B15" s="54" t="s">
        <v>46</v>
      </c>
      <c r="C15" s="54" t="s">
        <v>130</v>
      </c>
      <c r="D15" s="55">
        <v>1985</v>
      </c>
      <c r="E15" s="55">
        <v>2022</v>
      </c>
      <c r="F15" s="53">
        <f t="shared" si="0"/>
        <v>37</v>
      </c>
      <c r="G15" s="56">
        <v>2140000</v>
      </c>
      <c r="H15" s="56">
        <v>2140000</v>
      </c>
      <c r="I15" s="56">
        <v>2140000</v>
      </c>
      <c r="J15" s="56">
        <v>2140000</v>
      </c>
      <c r="K15" s="56">
        <v>2140000</v>
      </c>
      <c r="L15" s="56">
        <v>2070000</v>
      </c>
      <c r="M15" s="56">
        <f t="shared" si="1"/>
        <v>2128333.3333333335</v>
      </c>
      <c r="N15" s="138">
        <f t="shared" si="2"/>
        <v>280006.73469604651</v>
      </c>
      <c r="O15" s="138">
        <f t="shared" si="3"/>
        <v>485405.95222966268</v>
      </c>
      <c r="P15" s="138">
        <f t="shared" si="4"/>
        <v>765412.68692570925</v>
      </c>
    </row>
    <row r="16" spans="1:16" s="58" customFormat="1" x14ac:dyDescent="0.2">
      <c r="A16" s="53">
        <v>8</v>
      </c>
      <c r="B16" s="54" t="s">
        <v>98</v>
      </c>
      <c r="C16" s="54" t="s">
        <v>61</v>
      </c>
      <c r="D16" s="55">
        <v>1989</v>
      </c>
      <c r="E16" s="55">
        <f t="shared" ref="E16:E30" si="5">$E$13</f>
        <v>2022</v>
      </c>
      <c r="F16" s="53">
        <f t="shared" si="0"/>
        <v>33</v>
      </c>
      <c r="G16" s="56">
        <v>1807000</v>
      </c>
      <c r="H16" s="56">
        <v>1646000</v>
      </c>
      <c r="I16" s="56">
        <v>1591500</v>
      </c>
      <c r="J16" s="56">
        <v>1537000</v>
      </c>
      <c r="K16" s="56">
        <v>1643500</v>
      </c>
      <c r="L16" s="56">
        <v>1807000</v>
      </c>
      <c r="M16" s="56">
        <f t="shared" si="1"/>
        <v>1672000</v>
      </c>
      <c r="N16" s="138">
        <f t="shared" si="2"/>
        <v>219970.83496246973</v>
      </c>
      <c r="O16" s="138">
        <f t="shared" si="3"/>
        <v>381330.65879154077</v>
      </c>
      <c r="P16" s="138">
        <f t="shared" si="4"/>
        <v>601301.49375401053</v>
      </c>
    </row>
    <row r="17" spans="1:16" s="58" customFormat="1" x14ac:dyDescent="0.2">
      <c r="A17" s="53">
        <v>3</v>
      </c>
      <c r="B17" s="54" t="s">
        <v>6</v>
      </c>
      <c r="C17" s="54" t="s">
        <v>51</v>
      </c>
      <c r="D17" s="55">
        <v>1992</v>
      </c>
      <c r="E17" s="55">
        <f t="shared" si="5"/>
        <v>2022</v>
      </c>
      <c r="F17" s="53">
        <f t="shared" si="0"/>
        <v>30</v>
      </c>
      <c r="G17" s="56">
        <v>3929500</v>
      </c>
      <c r="H17" s="56">
        <v>3929500</v>
      </c>
      <c r="I17" s="56">
        <v>3929500</v>
      </c>
      <c r="J17" s="56">
        <v>3929500</v>
      </c>
      <c r="K17" s="56">
        <v>3929500</v>
      </c>
      <c r="L17" s="56">
        <v>3929500</v>
      </c>
      <c r="M17" s="56">
        <f t="shared" si="1"/>
        <v>3929500</v>
      </c>
      <c r="N17" s="138">
        <f t="shared" si="2"/>
        <v>516970.93061305309</v>
      </c>
      <c r="O17" s="138">
        <f t="shared" si="3"/>
        <v>896195.46873287042</v>
      </c>
      <c r="P17" s="138">
        <f t="shared" si="4"/>
        <v>1413166.3993459234</v>
      </c>
    </row>
    <row r="18" spans="1:16" s="58" customFormat="1" x14ac:dyDescent="0.2">
      <c r="A18" s="53">
        <v>9</v>
      </c>
      <c r="B18" s="54" t="s">
        <v>12</v>
      </c>
      <c r="C18" s="54" t="s">
        <v>61</v>
      </c>
      <c r="D18" s="55">
        <v>1992</v>
      </c>
      <c r="E18" s="55">
        <f t="shared" si="5"/>
        <v>2022</v>
      </c>
      <c r="F18" s="53">
        <f t="shared" si="0"/>
        <v>30</v>
      </c>
      <c r="G18" s="56">
        <v>1742000</v>
      </c>
      <c r="H18" s="56">
        <v>1742000</v>
      </c>
      <c r="I18" s="56">
        <v>1742000</v>
      </c>
      <c r="J18" s="56">
        <v>1742000</v>
      </c>
      <c r="K18" s="56">
        <v>1742000</v>
      </c>
      <c r="L18" s="56">
        <v>1742000</v>
      </c>
      <c r="M18" s="56">
        <f t="shared" si="1"/>
        <v>1742000</v>
      </c>
      <c r="N18" s="138">
        <f t="shared" si="2"/>
        <v>229180.14025396068</v>
      </c>
      <c r="O18" s="138">
        <f t="shared" si="3"/>
        <v>397295.45909979905</v>
      </c>
      <c r="P18" s="138">
        <f t="shared" si="4"/>
        <v>626475.59935375978</v>
      </c>
    </row>
    <row r="19" spans="1:16" s="58" customFormat="1" x14ac:dyDescent="0.2">
      <c r="A19" s="53">
        <v>10</v>
      </c>
      <c r="B19" s="54" t="s">
        <v>49</v>
      </c>
      <c r="C19" s="54" t="s">
        <v>61</v>
      </c>
      <c r="D19" s="55">
        <v>1992</v>
      </c>
      <c r="E19" s="55">
        <f t="shared" si="5"/>
        <v>2022</v>
      </c>
      <c r="F19" s="53">
        <f t="shared" si="0"/>
        <v>30</v>
      </c>
      <c r="G19" s="56">
        <v>1742000</v>
      </c>
      <c r="H19" s="56">
        <v>1742000</v>
      </c>
      <c r="I19" s="56">
        <v>1742000</v>
      </c>
      <c r="J19" s="56">
        <v>1742000</v>
      </c>
      <c r="K19" s="56">
        <v>1742000</v>
      </c>
      <c r="L19" s="56">
        <v>1742000</v>
      </c>
      <c r="M19" s="56">
        <f t="shared" si="1"/>
        <v>1742000</v>
      </c>
      <c r="N19" s="138">
        <f t="shared" si="2"/>
        <v>229180.14025396068</v>
      </c>
      <c r="O19" s="138">
        <f t="shared" si="3"/>
        <v>397295.45909979905</v>
      </c>
      <c r="P19" s="138">
        <f t="shared" si="4"/>
        <v>626475.59935375978</v>
      </c>
    </row>
    <row r="20" spans="1:16" s="58" customFormat="1" x14ac:dyDescent="0.2">
      <c r="A20" s="129">
        <v>32</v>
      </c>
      <c r="B20" s="61" t="s">
        <v>28</v>
      </c>
      <c r="C20" s="61" t="s">
        <v>52</v>
      </c>
      <c r="D20" s="53">
        <v>1993</v>
      </c>
      <c r="E20" s="55">
        <f t="shared" si="5"/>
        <v>2022</v>
      </c>
      <c r="F20" s="53">
        <f t="shared" si="0"/>
        <v>29</v>
      </c>
      <c r="G20" s="76">
        <v>2025000</v>
      </c>
      <c r="H20" s="76">
        <v>2025000</v>
      </c>
      <c r="I20" s="76">
        <v>2025000</v>
      </c>
      <c r="J20" s="76">
        <v>2025000</v>
      </c>
      <c r="K20" s="76">
        <v>2025000</v>
      </c>
      <c r="L20" s="76">
        <v>2025000</v>
      </c>
      <c r="M20" s="56">
        <f t="shared" si="1"/>
        <v>2025000</v>
      </c>
      <c r="N20" s="138">
        <f t="shared" si="2"/>
        <v>266412.04593241698</v>
      </c>
      <c r="O20" s="138">
        <f t="shared" si="3"/>
        <v>461838.86606032896</v>
      </c>
      <c r="P20" s="138">
        <f t="shared" si="4"/>
        <v>728250.91199274594</v>
      </c>
    </row>
    <row r="21" spans="1:16" s="58" customFormat="1" x14ac:dyDescent="0.2">
      <c r="A21" s="129">
        <v>48</v>
      </c>
      <c r="B21" s="61" t="s">
        <v>48</v>
      </c>
      <c r="C21" s="61" t="s">
        <v>52</v>
      </c>
      <c r="D21" s="53">
        <v>1993</v>
      </c>
      <c r="E21" s="55">
        <f t="shared" si="5"/>
        <v>2022</v>
      </c>
      <c r="F21" s="53">
        <f t="shared" si="0"/>
        <v>29</v>
      </c>
      <c r="G21" s="76">
        <v>2458000</v>
      </c>
      <c r="H21" s="76">
        <v>2458000</v>
      </c>
      <c r="I21" s="76">
        <v>2458000</v>
      </c>
      <c r="J21" s="76">
        <v>2458000</v>
      </c>
      <c r="K21" s="76">
        <v>2458000</v>
      </c>
      <c r="L21" s="76">
        <v>2458000</v>
      </c>
      <c r="M21" s="56">
        <f t="shared" si="1"/>
        <v>2458000</v>
      </c>
      <c r="N21" s="138">
        <f t="shared" si="2"/>
        <v>323378.17723549675</v>
      </c>
      <c r="O21" s="138">
        <f t="shared" si="3"/>
        <v>560592.55939569813</v>
      </c>
      <c r="P21" s="138">
        <f t="shared" si="4"/>
        <v>883970.73663119483</v>
      </c>
    </row>
    <row r="22" spans="1:16" s="58" customFormat="1" x14ac:dyDescent="0.2">
      <c r="A22" s="129">
        <v>14</v>
      </c>
      <c r="B22" s="61" t="s">
        <v>15</v>
      </c>
      <c r="C22" s="61" t="s">
        <v>51</v>
      </c>
      <c r="D22" s="53">
        <v>1996</v>
      </c>
      <c r="E22" s="55">
        <f t="shared" si="5"/>
        <v>2022</v>
      </c>
      <c r="F22" s="53">
        <f t="shared" si="0"/>
        <v>26</v>
      </c>
      <c r="G22" s="76">
        <v>1450000</v>
      </c>
      <c r="H22" s="76">
        <v>1450000</v>
      </c>
      <c r="I22" s="76">
        <v>1450000</v>
      </c>
      <c r="J22" s="76">
        <v>1450000</v>
      </c>
      <c r="K22" s="76">
        <v>1450000</v>
      </c>
      <c r="L22" s="76">
        <v>1450000</v>
      </c>
      <c r="M22" s="56">
        <f t="shared" si="1"/>
        <v>1450000</v>
      </c>
      <c r="N22" s="138">
        <f t="shared" si="2"/>
        <v>190764.18103802699</v>
      </c>
      <c r="O22" s="138">
        <f t="shared" si="3"/>
        <v>330699.43495677877</v>
      </c>
      <c r="P22" s="138">
        <f t="shared" si="4"/>
        <v>521463.61599480576</v>
      </c>
    </row>
    <row r="23" spans="1:16" s="58" customFormat="1" x14ac:dyDescent="0.2">
      <c r="A23" s="129">
        <v>33</v>
      </c>
      <c r="B23" s="61" t="s">
        <v>29</v>
      </c>
      <c r="C23" s="61" t="s">
        <v>52</v>
      </c>
      <c r="D23" s="93">
        <v>1996</v>
      </c>
      <c r="E23" s="55">
        <f t="shared" si="5"/>
        <v>2022</v>
      </c>
      <c r="F23" s="53">
        <f t="shared" si="0"/>
        <v>26</v>
      </c>
      <c r="G23" s="76">
        <v>1500000</v>
      </c>
      <c r="H23" s="76">
        <v>1500000</v>
      </c>
      <c r="I23" s="76">
        <v>1500000</v>
      </c>
      <c r="J23" s="76">
        <v>1500000</v>
      </c>
      <c r="K23" s="76">
        <v>1500000</v>
      </c>
      <c r="L23" s="76">
        <v>1500000</v>
      </c>
      <c r="M23" s="56">
        <f t="shared" si="1"/>
        <v>1500000</v>
      </c>
      <c r="N23" s="138">
        <f t="shared" si="2"/>
        <v>197342.25624623481</v>
      </c>
      <c r="O23" s="138">
        <f t="shared" si="3"/>
        <v>342102.86374839186</v>
      </c>
      <c r="P23" s="138">
        <f t="shared" si="4"/>
        <v>539445.11999462661</v>
      </c>
    </row>
    <row r="24" spans="1:16" s="58" customFormat="1" x14ac:dyDescent="0.2">
      <c r="A24" s="53">
        <v>2</v>
      </c>
      <c r="B24" s="54" t="s">
        <v>5</v>
      </c>
      <c r="C24" s="54" t="s">
        <v>52</v>
      </c>
      <c r="D24" s="55">
        <v>1998</v>
      </c>
      <c r="E24" s="55">
        <f t="shared" si="5"/>
        <v>2022</v>
      </c>
      <c r="F24" s="53">
        <f t="shared" si="0"/>
        <v>24</v>
      </c>
      <c r="G24" s="56">
        <v>3654500</v>
      </c>
      <c r="H24" s="56">
        <v>3654500</v>
      </c>
      <c r="I24" s="56">
        <v>3654500</v>
      </c>
      <c r="J24" s="56">
        <v>3654500</v>
      </c>
      <c r="K24" s="56">
        <v>3654500</v>
      </c>
      <c r="L24" s="56">
        <v>3654500</v>
      </c>
      <c r="M24" s="56">
        <f t="shared" si="1"/>
        <v>3654500</v>
      </c>
      <c r="N24" s="138">
        <f t="shared" si="2"/>
        <v>480791.51696791005</v>
      </c>
      <c r="O24" s="138">
        <f t="shared" si="3"/>
        <v>833476.61037899868</v>
      </c>
      <c r="P24" s="138">
        <f t="shared" si="4"/>
        <v>1314268.1273469087</v>
      </c>
    </row>
    <row r="25" spans="1:16" s="58" customFormat="1" x14ac:dyDescent="0.2">
      <c r="A25" s="129">
        <v>34</v>
      </c>
      <c r="B25" s="61" t="s">
        <v>30</v>
      </c>
      <c r="C25" s="61" t="s">
        <v>52</v>
      </c>
      <c r="D25" s="53">
        <v>1999</v>
      </c>
      <c r="E25" s="55">
        <f t="shared" si="5"/>
        <v>2022</v>
      </c>
      <c r="F25" s="53">
        <f t="shared" si="0"/>
        <v>23</v>
      </c>
      <c r="G25" s="76">
        <v>1340000</v>
      </c>
      <c r="H25" s="76">
        <v>1340000</v>
      </c>
      <c r="I25" s="76">
        <v>1340000</v>
      </c>
      <c r="J25" s="76">
        <v>1340000</v>
      </c>
      <c r="K25" s="76">
        <v>1340000</v>
      </c>
      <c r="L25" s="76">
        <v>1340000</v>
      </c>
      <c r="M25" s="56">
        <f t="shared" si="1"/>
        <v>1340000</v>
      </c>
      <c r="N25" s="138">
        <f t="shared" si="2"/>
        <v>176292.41557996976</v>
      </c>
      <c r="O25" s="138">
        <f t="shared" si="3"/>
        <v>305611.89161523001</v>
      </c>
      <c r="P25" s="138">
        <f t="shared" si="4"/>
        <v>481904.30719519977</v>
      </c>
    </row>
    <row r="26" spans="1:16" x14ac:dyDescent="0.2">
      <c r="A26" s="129">
        <v>35</v>
      </c>
      <c r="B26" s="61" t="s">
        <v>31</v>
      </c>
      <c r="C26" s="61" t="s">
        <v>52</v>
      </c>
      <c r="D26" s="53">
        <v>2000</v>
      </c>
      <c r="E26" s="55">
        <f t="shared" si="5"/>
        <v>2022</v>
      </c>
      <c r="F26" s="53">
        <f t="shared" si="0"/>
        <v>22</v>
      </c>
      <c r="G26" s="56">
        <v>1453000</v>
      </c>
      <c r="H26" s="56">
        <v>1453000</v>
      </c>
      <c r="I26" s="56">
        <v>1453000</v>
      </c>
      <c r="J26" s="56">
        <v>1453000</v>
      </c>
      <c r="K26" s="56">
        <v>1453000</v>
      </c>
      <c r="L26" s="76">
        <v>1719000</v>
      </c>
      <c r="M26" s="56">
        <f t="shared" si="1"/>
        <v>1497333.3333333333</v>
      </c>
      <c r="N26" s="138">
        <f t="shared" si="2"/>
        <v>196991.42556846372</v>
      </c>
      <c r="O26" s="138">
        <f t="shared" si="3"/>
        <v>341494.68087950576</v>
      </c>
      <c r="P26" s="138">
        <f t="shared" si="4"/>
        <v>538486.10644796945</v>
      </c>
    </row>
    <row r="27" spans="1:16" x14ac:dyDescent="0.2">
      <c r="A27" s="129">
        <v>36</v>
      </c>
      <c r="B27" s="61" t="s">
        <v>32</v>
      </c>
      <c r="C27" s="61" t="s">
        <v>52</v>
      </c>
      <c r="D27" s="53">
        <v>2000</v>
      </c>
      <c r="E27" s="55">
        <f t="shared" si="5"/>
        <v>2022</v>
      </c>
      <c r="F27" s="53">
        <f t="shared" si="0"/>
        <v>22</v>
      </c>
      <c r="G27" s="56">
        <v>1330000</v>
      </c>
      <c r="H27" s="56">
        <v>1330000</v>
      </c>
      <c r="I27" s="56">
        <v>1330000</v>
      </c>
      <c r="J27" s="56">
        <v>1330000</v>
      </c>
      <c r="K27" s="56">
        <v>1330000</v>
      </c>
      <c r="L27" s="76">
        <v>1576000</v>
      </c>
      <c r="M27" s="56">
        <f t="shared" si="1"/>
        <v>1371000</v>
      </c>
      <c r="N27" s="138">
        <f t="shared" si="2"/>
        <v>180370.82220905862</v>
      </c>
      <c r="O27" s="138">
        <f t="shared" si="3"/>
        <v>312682.01746603014</v>
      </c>
      <c r="P27" s="138">
        <f t="shared" si="4"/>
        <v>493052.83967508876</v>
      </c>
    </row>
    <row r="28" spans="1:16" x14ac:dyDescent="0.2">
      <c r="A28" s="129">
        <v>15</v>
      </c>
      <c r="B28" s="61" t="s">
        <v>16</v>
      </c>
      <c r="C28" s="61" t="s">
        <v>51</v>
      </c>
      <c r="D28" s="53">
        <v>2001</v>
      </c>
      <c r="E28" s="55">
        <f t="shared" si="5"/>
        <v>2022</v>
      </c>
      <c r="F28" s="53">
        <f t="shared" si="0"/>
        <v>21</v>
      </c>
      <c r="G28" s="76">
        <v>1287000</v>
      </c>
      <c r="H28" s="76">
        <v>1287000</v>
      </c>
      <c r="I28" s="76">
        <v>1287000</v>
      </c>
      <c r="J28" s="76">
        <v>1287000</v>
      </c>
      <c r="K28" s="76">
        <v>1287000</v>
      </c>
      <c r="L28" s="76">
        <v>1287000</v>
      </c>
      <c r="M28" s="56">
        <f t="shared" si="1"/>
        <v>1287000</v>
      </c>
      <c r="N28" s="138">
        <f t="shared" si="2"/>
        <v>169319.65585926946</v>
      </c>
      <c r="O28" s="138">
        <f t="shared" si="3"/>
        <v>293524.25709612016</v>
      </c>
      <c r="P28" s="138">
        <f t="shared" si="4"/>
        <v>462843.91295538959</v>
      </c>
    </row>
    <row r="29" spans="1:16" x14ac:dyDescent="0.2">
      <c r="A29" s="129">
        <v>37</v>
      </c>
      <c r="B29" s="61" t="s">
        <v>33</v>
      </c>
      <c r="C29" s="61" t="s">
        <v>52</v>
      </c>
      <c r="D29" s="53">
        <v>2001</v>
      </c>
      <c r="E29" s="55">
        <f t="shared" si="5"/>
        <v>2022</v>
      </c>
      <c r="F29" s="53">
        <f t="shared" si="0"/>
        <v>21</v>
      </c>
      <c r="G29" s="56">
        <v>1576000</v>
      </c>
      <c r="H29" s="56">
        <v>1576000</v>
      </c>
      <c r="I29" s="56">
        <v>1576000</v>
      </c>
      <c r="J29" s="56">
        <v>1576000</v>
      </c>
      <c r="K29" s="56">
        <v>1576000</v>
      </c>
      <c r="L29" s="76">
        <v>1790500</v>
      </c>
      <c r="M29" s="56">
        <f t="shared" si="1"/>
        <v>1611750</v>
      </c>
      <c r="N29" s="138">
        <f t="shared" si="2"/>
        <v>212044.2543365793</v>
      </c>
      <c r="O29" s="138">
        <f t="shared" si="3"/>
        <v>367589.52709764702</v>
      </c>
      <c r="P29" s="138">
        <f t="shared" si="4"/>
        <v>579633.78143422632</v>
      </c>
    </row>
    <row r="30" spans="1:16" s="58" customFormat="1" x14ac:dyDescent="0.2">
      <c r="A30" s="53">
        <v>12</v>
      </c>
      <c r="B30" s="54" t="s">
        <v>13</v>
      </c>
      <c r="C30" s="54" t="s">
        <v>61</v>
      </c>
      <c r="D30" s="55">
        <v>2002</v>
      </c>
      <c r="E30" s="55">
        <f t="shared" si="5"/>
        <v>2022</v>
      </c>
      <c r="F30" s="53">
        <f t="shared" si="0"/>
        <v>20</v>
      </c>
      <c r="G30" s="56">
        <v>1886000</v>
      </c>
      <c r="H30" s="56">
        <v>1886000</v>
      </c>
      <c r="I30" s="56">
        <v>1886000</v>
      </c>
      <c r="J30" s="56">
        <v>1886000</v>
      </c>
      <c r="K30" s="56">
        <v>1901000</v>
      </c>
      <c r="L30" s="56">
        <v>1901000</v>
      </c>
      <c r="M30" s="56">
        <f t="shared" si="1"/>
        <v>1891000</v>
      </c>
      <c r="N30" s="138">
        <f t="shared" si="2"/>
        <v>248782.80437442003</v>
      </c>
      <c r="O30" s="138">
        <f t="shared" si="3"/>
        <v>431277.67689880595</v>
      </c>
      <c r="P30" s="138">
        <f t="shared" si="4"/>
        <v>680060.48127322597</v>
      </c>
    </row>
    <row r="31" spans="1:16" x14ac:dyDescent="0.2">
      <c r="A31" s="53">
        <v>54</v>
      </c>
      <c r="B31" s="54" t="s">
        <v>183</v>
      </c>
      <c r="C31" s="54"/>
      <c r="D31" s="55"/>
      <c r="E31" s="55"/>
      <c r="F31" s="53">
        <v>20</v>
      </c>
      <c r="G31" s="56">
        <v>948400</v>
      </c>
      <c r="H31" s="56">
        <v>948400</v>
      </c>
      <c r="I31" s="56">
        <v>948400</v>
      </c>
      <c r="J31" s="56">
        <v>948400</v>
      </c>
      <c r="K31" s="56">
        <v>948400</v>
      </c>
      <c r="L31" s="56">
        <v>948400</v>
      </c>
      <c r="M31" s="56">
        <f t="shared" si="1"/>
        <v>948400</v>
      </c>
      <c r="N31" s="138">
        <f t="shared" si="2"/>
        <v>124772.93054928606</v>
      </c>
      <c r="O31" s="138">
        <f t="shared" si="3"/>
        <v>216300.23731931654</v>
      </c>
      <c r="P31" s="138">
        <f t="shared" si="4"/>
        <v>341073.16786860261</v>
      </c>
    </row>
    <row r="32" spans="1:16" x14ac:dyDescent="0.2">
      <c r="A32" s="129">
        <v>16</v>
      </c>
      <c r="B32" s="61" t="s">
        <v>17</v>
      </c>
      <c r="C32" s="61" t="s">
        <v>51</v>
      </c>
      <c r="D32" s="53">
        <v>2004</v>
      </c>
      <c r="E32" s="55">
        <f>$E$13</f>
        <v>2022</v>
      </c>
      <c r="F32" s="53">
        <f t="shared" ref="F32:F48" si="6">E32-D32</f>
        <v>18</v>
      </c>
      <c r="G32" s="76">
        <v>1278000</v>
      </c>
      <c r="H32" s="76">
        <v>1278000</v>
      </c>
      <c r="I32" s="76">
        <v>1278000</v>
      </c>
      <c r="J32" s="76">
        <v>1278000</v>
      </c>
      <c r="K32" s="76">
        <v>1278000</v>
      </c>
      <c r="L32" s="76">
        <v>1278000</v>
      </c>
      <c r="M32" s="56">
        <f t="shared" si="1"/>
        <v>1278000</v>
      </c>
      <c r="N32" s="138">
        <f t="shared" si="2"/>
        <v>168135.60232179207</v>
      </c>
      <c r="O32" s="138">
        <f t="shared" si="3"/>
        <v>291471.63991362986</v>
      </c>
      <c r="P32" s="138">
        <f t="shared" si="4"/>
        <v>459607.2422354219</v>
      </c>
    </row>
    <row r="33" spans="1:16" x14ac:dyDescent="0.2">
      <c r="A33" s="129">
        <v>38</v>
      </c>
      <c r="B33" s="61" t="s">
        <v>34</v>
      </c>
      <c r="C33" s="61" t="s">
        <v>52</v>
      </c>
      <c r="D33" s="53">
        <v>2004</v>
      </c>
      <c r="E33" s="55">
        <f>$E$13</f>
        <v>2022</v>
      </c>
      <c r="F33" s="53">
        <f t="shared" si="6"/>
        <v>18</v>
      </c>
      <c r="G33" s="56">
        <v>2045500</v>
      </c>
      <c r="H33" s="76">
        <v>2056000</v>
      </c>
      <c r="I33" s="76">
        <v>2056000</v>
      </c>
      <c r="J33" s="76">
        <v>2056000</v>
      </c>
      <c r="K33" s="76">
        <v>2056000</v>
      </c>
      <c r="L33" s="76">
        <v>2056000</v>
      </c>
      <c r="M33" s="56">
        <f t="shared" si="1"/>
        <v>2054250</v>
      </c>
      <c r="N33" s="138">
        <f t="shared" si="2"/>
        <v>270260.21992921858</v>
      </c>
      <c r="O33" s="138">
        <f t="shared" si="3"/>
        <v>468509.87190342258</v>
      </c>
      <c r="P33" s="138">
        <f t="shared" si="4"/>
        <v>738770.09183264116</v>
      </c>
    </row>
    <row r="34" spans="1:16" x14ac:dyDescent="0.2">
      <c r="A34" s="53">
        <v>56</v>
      </c>
      <c r="B34" s="54" t="s">
        <v>175</v>
      </c>
      <c r="C34" s="54"/>
      <c r="D34" s="55">
        <v>2004</v>
      </c>
      <c r="E34" s="55">
        <v>2022</v>
      </c>
      <c r="F34" s="53">
        <f t="shared" si="6"/>
        <v>18</v>
      </c>
      <c r="G34" s="56">
        <v>1098000</v>
      </c>
      <c r="H34" s="56">
        <v>1091000</v>
      </c>
      <c r="I34" s="56">
        <v>1098000</v>
      </c>
      <c r="J34" s="56">
        <v>1098000</v>
      </c>
      <c r="K34" s="56">
        <v>1098000</v>
      </c>
      <c r="L34" s="56">
        <v>0</v>
      </c>
      <c r="M34" s="56">
        <f t="shared" si="1"/>
        <v>913833.33333333337</v>
      </c>
      <c r="N34" s="138">
        <f t="shared" si="2"/>
        <v>120225.28788867839</v>
      </c>
      <c r="O34" s="138">
        <f t="shared" si="3"/>
        <v>208416.66688138136</v>
      </c>
      <c r="P34" s="138">
        <f t="shared" si="4"/>
        <v>328641.95477005973</v>
      </c>
    </row>
    <row r="35" spans="1:16" x14ac:dyDescent="0.2">
      <c r="A35" s="129">
        <v>39</v>
      </c>
      <c r="B35" s="61" t="s">
        <v>35</v>
      </c>
      <c r="C35" s="61" t="s">
        <v>52</v>
      </c>
      <c r="D35" s="53">
        <v>2005</v>
      </c>
      <c r="E35" s="55">
        <f>$E$13</f>
        <v>2022</v>
      </c>
      <c r="F35" s="53">
        <f t="shared" si="6"/>
        <v>17</v>
      </c>
      <c r="G35" s="56">
        <v>1198000</v>
      </c>
      <c r="H35" s="56">
        <v>1198000</v>
      </c>
      <c r="I35" s="56">
        <v>1198000</v>
      </c>
      <c r="J35" s="56">
        <v>1198000</v>
      </c>
      <c r="K35" s="56">
        <v>1198000</v>
      </c>
      <c r="L35" s="76">
        <v>1320000</v>
      </c>
      <c r="M35" s="56">
        <f t="shared" si="1"/>
        <v>1218333.3333333333</v>
      </c>
      <c r="N35" s="138">
        <f t="shared" si="2"/>
        <v>160285.76590666402</v>
      </c>
      <c r="O35" s="138">
        <f t="shared" si="3"/>
        <v>277863.54822230485</v>
      </c>
      <c r="P35" s="138">
        <f t="shared" si="4"/>
        <v>438149.31412896886</v>
      </c>
    </row>
    <row r="36" spans="1:16" x14ac:dyDescent="0.2">
      <c r="A36" s="129">
        <v>40</v>
      </c>
      <c r="B36" s="61" t="s">
        <v>36</v>
      </c>
      <c r="C36" s="61" t="s">
        <v>52</v>
      </c>
      <c r="D36" s="53">
        <v>2005</v>
      </c>
      <c r="E36" s="55">
        <f>$E$13</f>
        <v>2022</v>
      </c>
      <c r="F36" s="53">
        <f t="shared" si="6"/>
        <v>17</v>
      </c>
      <c r="G36" s="76">
        <v>2386000</v>
      </c>
      <c r="H36" s="76">
        <v>2386000</v>
      </c>
      <c r="I36" s="76">
        <v>2386000</v>
      </c>
      <c r="J36" s="76">
        <v>2386000</v>
      </c>
      <c r="K36" s="76">
        <v>2386000</v>
      </c>
      <c r="L36" s="76">
        <v>2386000</v>
      </c>
      <c r="M36" s="56">
        <f t="shared" si="1"/>
        <v>2386000</v>
      </c>
      <c r="N36" s="138">
        <f t="shared" si="2"/>
        <v>313905.74893567746</v>
      </c>
      <c r="O36" s="138">
        <f t="shared" si="3"/>
        <v>544171.62193577527</v>
      </c>
      <c r="P36" s="138">
        <f t="shared" si="4"/>
        <v>858077.37087145273</v>
      </c>
    </row>
    <row r="37" spans="1:16" x14ac:dyDescent="0.2">
      <c r="A37" s="53">
        <v>1</v>
      </c>
      <c r="B37" s="54" t="s">
        <v>4</v>
      </c>
      <c r="C37" s="54" t="s">
        <v>52</v>
      </c>
      <c r="D37" s="55">
        <v>2006</v>
      </c>
      <c r="E37" s="55">
        <v>2022</v>
      </c>
      <c r="F37" s="53">
        <f t="shared" si="6"/>
        <v>16</v>
      </c>
      <c r="G37" s="56">
        <v>3995000</v>
      </c>
      <c r="H37" s="56">
        <v>3995000</v>
      </c>
      <c r="I37" s="56">
        <v>3995000</v>
      </c>
      <c r="J37" s="56">
        <v>3995000</v>
      </c>
      <c r="K37" s="56">
        <v>3995000</v>
      </c>
      <c r="L37" s="56">
        <v>3995000</v>
      </c>
      <c r="M37" s="56">
        <f t="shared" si="1"/>
        <v>3995000</v>
      </c>
      <c r="N37" s="138">
        <f t="shared" si="2"/>
        <v>525588.20913580537</v>
      </c>
      <c r="O37" s="138">
        <f t="shared" si="3"/>
        <v>911133.96044988348</v>
      </c>
      <c r="P37" s="138">
        <f t="shared" si="4"/>
        <v>1436722.169585689</v>
      </c>
    </row>
    <row r="38" spans="1:16" x14ac:dyDescent="0.2">
      <c r="A38" s="129">
        <v>41</v>
      </c>
      <c r="B38" s="61" t="s">
        <v>37</v>
      </c>
      <c r="C38" s="61" t="s">
        <v>52</v>
      </c>
      <c r="D38" s="53">
        <v>2006</v>
      </c>
      <c r="E38" s="55">
        <f>$E$13</f>
        <v>2022</v>
      </c>
      <c r="F38" s="53">
        <f t="shared" si="6"/>
        <v>16</v>
      </c>
      <c r="G38" s="76">
        <v>1552000</v>
      </c>
      <c r="H38" s="76">
        <v>1552000</v>
      </c>
      <c r="I38" s="76">
        <v>1552000</v>
      </c>
      <c r="J38" s="76">
        <v>1552000</v>
      </c>
      <c r="K38" s="76">
        <v>1552000</v>
      </c>
      <c r="L38" s="76">
        <v>1552000</v>
      </c>
      <c r="M38" s="56">
        <f t="shared" si="1"/>
        <v>1552000</v>
      </c>
      <c r="N38" s="138">
        <f t="shared" si="2"/>
        <v>204183.45446277095</v>
      </c>
      <c r="O38" s="138">
        <f t="shared" si="3"/>
        <v>353962.42969166941</v>
      </c>
      <c r="P38" s="138">
        <f t="shared" si="4"/>
        <v>558145.88415444037</v>
      </c>
    </row>
    <row r="39" spans="1:16" x14ac:dyDescent="0.2">
      <c r="A39" s="53">
        <v>57</v>
      </c>
      <c r="B39" s="54" t="s">
        <v>176</v>
      </c>
      <c r="C39" s="54"/>
      <c r="D39" s="55">
        <v>2006</v>
      </c>
      <c r="E39" s="55">
        <v>2022</v>
      </c>
      <c r="F39" s="53">
        <f t="shared" si="6"/>
        <v>16</v>
      </c>
      <c r="G39" s="56">
        <v>1552000</v>
      </c>
      <c r="H39" s="56">
        <v>1552000</v>
      </c>
      <c r="I39" s="56">
        <v>1552000</v>
      </c>
      <c r="J39" s="56">
        <v>1552000</v>
      </c>
      <c r="K39" s="56">
        <v>1552000</v>
      </c>
      <c r="L39" s="56">
        <v>0</v>
      </c>
      <c r="M39" s="56">
        <f t="shared" si="1"/>
        <v>1293333.3333333333</v>
      </c>
      <c r="N39" s="138">
        <f t="shared" si="2"/>
        <v>170152.87871897579</v>
      </c>
      <c r="O39" s="138">
        <f t="shared" si="3"/>
        <v>294968.69140972447</v>
      </c>
      <c r="P39" s="138">
        <f t="shared" si="4"/>
        <v>465121.57012870023</v>
      </c>
    </row>
    <row r="40" spans="1:16" x14ac:dyDescent="0.2">
      <c r="A40" s="53">
        <v>53</v>
      </c>
      <c r="B40" s="54" t="s">
        <v>47</v>
      </c>
      <c r="C40" s="54" t="s">
        <v>130</v>
      </c>
      <c r="D40" s="55">
        <v>2006</v>
      </c>
      <c r="E40" s="55">
        <v>2022</v>
      </c>
      <c r="F40" s="53">
        <f t="shared" si="6"/>
        <v>16</v>
      </c>
      <c r="G40" s="56">
        <v>2140000</v>
      </c>
      <c r="H40" s="56">
        <v>2140000</v>
      </c>
      <c r="I40" s="56">
        <v>2140000</v>
      </c>
      <c r="J40" s="56">
        <v>2140000</v>
      </c>
      <c r="K40" s="56">
        <v>2140000</v>
      </c>
      <c r="L40" s="56">
        <v>2140000</v>
      </c>
      <c r="M40" s="56">
        <f t="shared" si="1"/>
        <v>2140000</v>
      </c>
      <c r="N40" s="138">
        <f t="shared" si="2"/>
        <v>281541.61891129502</v>
      </c>
      <c r="O40" s="138">
        <f t="shared" si="3"/>
        <v>488066.75228103902</v>
      </c>
      <c r="P40" s="138">
        <f t="shared" si="4"/>
        <v>769608.37119233399</v>
      </c>
    </row>
    <row r="41" spans="1:16" x14ac:dyDescent="0.2">
      <c r="A41" s="53">
        <v>4</v>
      </c>
      <c r="B41" s="54" t="s">
        <v>166</v>
      </c>
      <c r="C41" s="54" t="s">
        <v>52</v>
      </c>
      <c r="D41" s="55">
        <v>2007</v>
      </c>
      <c r="E41" s="55">
        <f>$E$13</f>
        <v>2022</v>
      </c>
      <c r="F41" s="53">
        <f t="shared" si="6"/>
        <v>15</v>
      </c>
      <c r="G41" s="56">
        <v>3472000</v>
      </c>
      <c r="H41" s="56">
        <v>3472000</v>
      </c>
      <c r="I41" s="56">
        <v>3472000</v>
      </c>
      <c r="J41" s="56">
        <v>3472000</v>
      </c>
      <c r="K41" s="56">
        <v>3472000</v>
      </c>
      <c r="L41" s="56">
        <v>3472000</v>
      </c>
      <c r="M41" s="56">
        <f t="shared" si="1"/>
        <v>3472000</v>
      </c>
      <c r="N41" s="138">
        <f t="shared" si="2"/>
        <v>456781.54245795147</v>
      </c>
      <c r="O41" s="138">
        <f t="shared" si="3"/>
        <v>791854.09528961091</v>
      </c>
      <c r="P41" s="138">
        <f t="shared" si="4"/>
        <v>1248635.6377475625</v>
      </c>
    </row>
    <row r="42" spans="1:16" x14ac:dyDescent="0.2">
      <c r="A42" s="53">
        <v>6</v>
      </c>
      <c r="B42" s="61" t="s">
        <v>10</v>
      </c>
      <c r="C42" s="54" t="s">
        <v>51</v>
      </c>
      <c r="D42" s="55">
        <v>2007</v>
      </c>
      <c r="E42" s="55">
        <f>$E$13</f>
        <v>2022</v>
      </c>
      <c r="F42" s="53">
        <f t="shared" si="6"/>
        <v>15</v>
      </c>
      <c r="G42" s="56">
        <v>2265000</v>
      </c>
      <c r="H42" s="56">
        <v>2265000</v>
      </c>
      <c r="I42" s="56">
        <v>2265000</v>
      </c>
      <c r="J42" s="56">
        <v>2265000</v>
      </c>
      <c r="K42" s="56">
        <v>2265000</v>
      </c>
      <c r="L42" s="56">
        <v>2265000</v>
      </c>
      <c r="M42" s="56">
        <f t="shared" si="1"/>
        <v>2265000</v>
      </c>
      <c r="N42" s="138">
        <f t="shared" si="2"/>
        <v>297986.80693181459</v>
      </c>
      <c r="O42" s="138">
        <f t="shared" si="3"/>
        <v>516575.32426007162</v>
      </c>
      <c r="P42" s="138">
        <f t="shared" si="4"/>
        <v>814562.13119188626</v>
      </c>
    </row>
    <row r="43" spans="1:16" x14ac:dyDescent="0.2">
      <c r="A43" s="129">
        <v>44</v>
      </c>
      <c r="B43" s="61" t="s">
        <v>40</v>
      </c>
      <c r="C43" s="61" t="s">
        <v>52</v>
      </c>
      <c r="D43" s="53">
        <v>2007</v>
      </c>
      <c r="E43" s="55">
        <f>$E$13</f>
        <v>2022</v>
      </c>
      <c r="F43" s="53">
        <f t="shared" si="6"/>
        <v>15</v>
      </c>
      <c r="G43" s="76">
        <v>1028500</v>
      </c>
      <c r="H43" s="76">
        <v>1028500</v>
      </c>
      <c r="I43" s="76">
        <v>1028500</v>
      </c>
      <c r="J43" s="76">
        <v>1028500</v>
      </c>
      <c r="K43" s="76">
        <v>1028500</v>
      </c>
      <c r="L43" s="76">
        <v>1028500</v>
      </c>
      <c r="M43" s="56">
        <f t="shared" si="1"/>
        <v>1028500</v>
      </c>
      <c r="N43" s="138">
        <f t="shared" si="2"/>
        <v>135311.00703283501</v>
      </c>
      <c r="O43" s="138">
        <f t="shared" si="3"/>
        <v>234568.53024348067</v>
      </c>
      <c r="P43" s="138">
        <f t="shared" si="4"/>
        <v>369879.53727631568</v>
      </c>
    </row>
    <row r="44" spans="1:16" x14ac:dyDescent="0.2">
      <c r="A44" s="129">
        <v>42</v>
      </c>
      <c r="B44" s="61" t="s">
        <v>38</v>
      </c>
      <c r="C44" s="61" t="s">
        <v>52</v>
      </c>
      <c r="D44" s="53">
        <v>2008</v>
      </c>
      <c r="E44" s="55">
        <f>$E$13</f>
        <v>2022</v>
      </c>
      <c r="F44" s="53">
        <f t="shared" si="6"/>
        <v>14</v>
      </c>
      <c r="G44" s="56">
        <v>1189000</v>
      </c>
      <c r="H44" s="56">
        <v>1169500</v>
      </c>
      <c r="I44" s="56">
        <v>1189000</v>
      </c>
      <c r="J44" s="56">
        <v>1189000</v>
      </c>
      <c r="K44" s="56">
        <v>1189000</v>
      </c>
      <c r="L44" s="76">
        <v>1431000</v>
      </c>
      <c r="M44" s="56">
        <f t="shared" si="1"/>
        <v>1226083.3333333333</v>
      </c>
      <c r="N44" s="138">
        <f t="shared" si="2"/>
        <v>161305.36756393625</v>
      </c>
      <c r="O44" s="138">
        <f t="shared" si="3"/>
        <v>279631.07968500489</v>
      </c>
      <c r="P44" s="138">
        <f t="shared" si="4"/>
        <v>440936.44724894117</v>
      </c>
    </row>
    <row r="45" spans="1:16" x14ac:dyDescent="0.2">
      <c r="A45" s="129">
        <v>43</v>
      </c>
      <c r="B45" s="61" t="s">
        <v>39</v>
      </c>
      <c r="C45" s="61" t="s">
        <v>52</v>
      </c>
      <c r="D45" s="53">
        <v>2008</v>
      </c>
      <c r="E45" s="55">
        <f>$E$13</f>
        <v>2022</v>
      </c>
      <c r="F45" s="53">
        <f t="shared" si="6"/>
        <v>14</v>
      </c>
      <c r="G45" s="56">
        <v>1431000</v>
      </c>
      <c r="H45" s="56">
        <v>1411250</v>
      </c>
      <c r="I45" s="56">
        <v>1431000</v>
      </c>
      <c r="J45" s="56">
        <v>1431000</v>
      </c>
      <c r="K45" s="56">
        <v>1431000</v>
      </c>
      <c r="L45" s="76">
        <v>1431000</v>
      </c>
      <c r="M45" s="56">
        <f t="shared" si="1"/>
        <v>1427708.3333333333</v>
      </c>
      <c r="N45" s="138">
        <f t="shared" si="2"/>
        <v>187831.4558410343</v>
      </c>
      <c r="O45" s="138">
        <f t="shared" si="3"/>
        <v>325615.40628718463</v>
      </c>
      <c r="P45" s="138">
        <f t="shared" si="4"/>
        <v>513446.86212821893</v>
      </c>
    </row>
    <row r="46" spans="1:16" x14ac:dyDescent="0.2">
      <c r="A46" s="129">
        <v>45</v>
      </c>
      <c r="B46" s="61" t="s">
        <v>18</v>
      </c>
      <c r="C46" s="61" t="s">
        <v>51</v>
      </c>
      <c r="D46" s="53">
        <v>2008</v>
      </c>
      <c r="E46" s="55">
        <v>2022</v>
      </c>
      <c r="F46" s="53">
        <f t="shared" si="6"/>
        <v>14</v>
      </c>
      <c r="G46" s="76">
        <v>2215000</v>
      </c>
      <c r="H46" s="76">
        <v>2215000</v>
      </c>
      <c r="I46" s="76">
        <v>2215000</v>
      </c>
      <c r="J46" s="76">
        <v>2215000</v>
      </c>
      <c r="K46" s="76">
        <v>2215000</v>
      </c>
      <c r="L46" s="76">
        <v>1975000</v>
      </c>
      <c r="M46" s="56">
        <f t="shared" si="1"/>
        <v>2175000</v>
      </c>
      <c r="N46" s="138">
        <f t="shared" si="2"/>
        <v>286146.27155704045</v>
      </c>
      <c r="O46" s="138">
        <f t="shared" si="3"/>
        <v>496049.1524351681</v>
      </c>
      <c r="P46" s="138">
        <f t="shared" si="4"/>
        <v>782195.42399220855</v>
      </c>
    </row>
    <row r="47" spans="1:16" x14ac:dyDescent="0.2">
      <c r="A47" s="53">
        <v>58</v>
      </c>
      <c r="B47" s="54" t="s">
        <v>177</v>
      </c>
      <c r="C47" s="54"/>
      <c r="D47" s="55">
        <v>2008</v>
      </c>
      <c r="E47" s="55">
        <v>2022</v>
      </c>
      <c r="F47" s="53">
        <f t="shared" si="6"/>
        <v>14</v>
      </c>
      <c r="G47" s="56">
        <v>1622500</v>
      </c>
      <c r="H47" s="56">
        <v>1622500</v>
      </c>
      <c r="I47" s="56">
        <v>1622500</v>
      </c>
      <c r="J47" s="56">
        <v>1622500</v>
      </c>
      <c r="K47" s="56">
        <v>1622500</v>
      </c>
      <c r="L47" s="56">
        <v>0</v>
      </c>
      <c r="M47" s="56">
        <f t="shared" si="1"/>
        <v>1352083.3333333333</v>
      </c>
      <c r="N47" s="138">
        <f t="shared" si="2"/>
        <v>177882.11708861997</v>
      </c>
      <c r="O47" s="138">
        <f t="shared" si="3"/>
        <v>308367.72023986984</v>
      </c>
      <c r="P47" s="138">
        <f t="shared" si="4"/>
        <v>486249.83732848981</v>
      </c>
    </row>
    <row r="48" spans="1:16" x14ac:dyDescent="0.2">
      <c r="A48" s="129">
        <v>17</v>
      </c>
      <c r="B48" s="61" t="s">
        <v>19</v>
      </c>
      <c r="C48" s="61" t="s">
        <v>51</v>
      </c>
      <c r="D48" s="53">
        <v>2010</v>
      </c>
      <c r="E48" s="55">
        <f>$E$13</f>
        <v>2022</v>
      </c>
      <c r="F48" s="53">
        <f t="shared" si="6"/>
        <v>12</v>
      </c>
      <c r="G48" s="76">
        <v>420000</v>
      </c>
      <c r="H48" s="76">
        <v>420000</v>
      </c>
      <c r="I48" s="76">
        <v>420000</v>
      </c>
      <c r="J48" s="76">
        <v>420000</v>
      </c>
      <c r="K48" s="76">
        <v>420000</v>
      </c>
      <c r="L48" s="76">
        <v>420000</v>
      </c>
      <c r="M48" s="56">
        <f t="shared" si="1"/>
        <v>420000</v>
      </c>
      <c r="N48" s="138">
        <f t="shared" si="2"/>
        <v>55255.831748945748</v>
      </c>
      <c r="O48" s="138">
        <f t="shared" si="3"/>
        <v>95788.801849549709</v>
      </c>
      <c r="P48" s="138">
        <f t="shared" si="4"/>
        <v>151044.63359849545</v>
      </c>
    </row>
    <row r="49" spans="1:16" x14ac:dyDescent="0.2">
      <c r="A49" s="53">
        <v>5</v>
      </c>
      <c r="B49" s="54" t="s">
        <v>8</v>
      </c>
      <c r="C49" s="54" t="s">
        <v>52</v>
      </c>
      <c r="D49" s="55">
        <v>2012</v>
      </c>
      <c r="E49" s="55">
        <f>$E$13</f>
        <v>2022</v>
      </c>
      <c r="F49" s="53">
        <v>11</v>
      </c>
      <c r="G49" s="56">
        <v>3460000</v>
      </c>
      <c r="H49" s="56">
        <v>3460000</v>
      </c>
      <c r="I49" s="56">
        <v>3460000</v>
      </c>
      <c r="J49" s="56">
        <v>3460000</v>
      </c>
      <c r="K49" s="56">
        <v>3460000</v>
      </c>
      <c r="L49" s="56">
        <v>3460000</v>
      </c>
      <c r="M49" s="56">
        <f t="shared" si="1"/>
        <v>3460000</v>
      </c>
      <c r="N49" s="138">
        <f t="shared" si="2"/>
        <v>455202.80440798163</v>
      </c>
      <c r="O49" s="138">
        <f t="shared" si="3"/>
        <v>789117.27237962373</v>
      </c>
      <c r="P49" s="138">
        <f t="shared" si="4"/>
        <v>1244320.0767876054</v>
      </c>
    </row>
    <row r="50" spans="1:16" x14ac:dyDescent="0.2">
      <c r="A50" s="53">
        <v>55</v>
      </c>
      <c r="B50" s="54" t="s">
        <v>184</v>
      </c>
      <c r="C50" s="54"/>
      <c r="D50" s="55"/>
      <c r="E50" s="55"/>
      <c r="F50" s="53">
        <v>11</v>
      </c>
      <c r="G50" s="56">
        <v>2387000</v>
      </c>
      <c r="H50" s="56">
        <v>2387000</v>
      </c>
      <c r="I50" s="56">
        <v>2387000</v>
      </c>
      <c r="J50" s="56">
        <v>2387000</v>
      </c>
      <c r="K50" s="56">
        <v>2387000</v>
      </c>
      <c r="L50" s="56">
        <v>2387000</v>
      </c>
      <c r="M50" s="56">
        <f t="shared" si="1"/>
        <v>2387000</v>
      </c>
      <c r="N50" s="138">
        <f t="shared" si="2"/>
        <v>314037.31043984165</v>
      </c>
      <c r="O50" s="138">
        <f t="shared" si="3"/>
        <v>544399.69051160756</v>
      </c>
      <c r="P50" s="138">
        <f t="shared" si="4"/>
        <v>858437.00095144915</v>
      </c>
    </row>
    <row r="51" spans="1:16" ht="23.25" customHeight="1" x14ac:dyDescent="0.2">
      <c r="A51" s="127"/>
      <c r="B51" s="130"/>
      <c r="C51" s="130"/>
      <c r="D51" s="128"/>
      <c r="E51" s="128"/>
      <c r="F51" s="127"/>
      <c r="G51" s="77"/>
      <c r="H51" s="77"/>
      <c r="I51" s="77"/>
      <c r="J51" s="77"/>
      <c r="K51" s="77"/>
      <c r="L51" s="77"/>
      <c r="M51" s="77">
        <f>SUM(M12:M50)</f>
        <v>74712375.000000015</v>
      </c>
      <c r="N51" s="77"/>
      <c r="O51" s="77"/>
      <c r="P51" s="77">
        <f t="shared" ref="P51" si="7">SUM(P12:P50)</f>
        <v>26868817.397972368</v>
      </c>
    </row>
    <row r="52" spans="1:16" x14ac:dyDescent="0.2">
      <c r="A52" s="129">
        <v>18</v>
      </c>
      <c r="B52" s="61" t="s">
        <v>20</v>
      </c>
      <c r="C52" s="61" t="s">
        <v>51</v>
      </c>
      <c r="D52" s="53">
        <v>2014</v>
      </c>
      <c r="E52" s="55">
        <f t="shared" ref="E52:E57" si="8">$E$13</f>
        <v>2022</v>
      </c>
      <c r="F52" s="53">
        <f t="shared" ref="F52:F71" si="9">E52-D52</f>
        <v>8</v>
      </c>
      <c r="G52" s="76">
        <v>2449000</v>
      </c>
      <c r="H52" s="76">
        <v>2449000</v>
      </c>
      <c r="I52" s="76">
        <v>2449000</v>
      </c>
      <c r="J52" s="76">
        <v>2449000</v>
      </c>
      <c r="K52" s="76">
        <v>2449000</v>
      </c>
      <c r="L52" s="76">
        <v>2449000</v>
      </c>
      <c r="M52" s="56">
        <f t="shared" ref="M52:M71" si="10">AVERAGE(G52:L52)</f>
        <v>2449000</v>
      </c>
      <c r="N52" s="136"/>
      <c r="O52" s="138">
        <f>(M52/($C$6+$C$7))*$H$6</f>
        <v>558539.94221320772</v>
      </c>
      <c r="P52" s="138">
        <f t="shared" si="4"/>
        <v>558539.94221320772</v>
      </c>
    </row>
    <row r="53" spans="1:16" x14ac:dyDescent="0.2">
      <c r="A53" s="129">
        <v>19</v>
      </c>
      <c r="B53" s="61" t="s">
        <v>21</v>
      </c>
      <c r="C53" s="61" t="s">
        <v>51</v>
      </c>
      <c r="D53" s="53">
        <v>2015</v>
      </c>
      <c r="E53" s="55">
        <f t="shared" si="8"/>
        <v>2022</v>
      </c>
      <c r="F53" s="53">
        <f t="shared" si="9"/>
        <v>7</v>
      </c>
      <c r="G53" s="76">
        <v>2058000</v>
      </c>
      <c r="H53" s="76">
        <v>2070000</v>
      </c>
      <c r="I53" s="76">
        <v>2070000</v>
      </c>
      <c r="J53" s="76">
        <v>2070000</v>
      </c>
      <c r="K53" s="76">
        <v>2070000</v>
      </c>
      <c r="L53" s="76">
        <v>2170000</v>
      </c>
      <c r="M53" s="56">
        <f t="shared" si="10"/>
        <v>2084666.6666666667</v>
      </c>
      <c r="N53" s="136"/>
      <c r="O53" s="138">
        <f t="shared" si="3"/>
        <v>475446.95775165391</v>
      </c>
      <c r="P53" s="138">
        <f t="shared" si="4"/>
        <v>475446.95775165391</v>
      </c>
    </row>
    <row r="54" spans="1:16" x14ac:dyDescent="0.2">
      <c r="A54" s="129">
        <v>22</v>
      </c>
      <c r="B54" s="61" t="s">
        <v>14</v>
      </c>
      <c r="C54" s="61" t="s">
        <v>51</v>
      </c>
      <c r="D54" s="53">
        <v>2015</v>
      </c>
      <c r="E54" s="55">
        <f t="shared" si="8"/>
        <v>2022</v>
      </c>
      <c r="F54" s="53">
        <f t="shared" si="9"/>
        <v>7</v>
      </c>
      <c r="G54" s="76">
        <v>552000</v>
      </c>
      <c r="H54" s="76">
        <v>552000</v>
      </c>
      <c r="I54" s="76">
        <v>552000</v>
      </c>
      <c r="J54" s="76">
        <v>552000</v>
      </c>
      <c r="K54" s="76">
        <v>552000</v>
      </c>
      <c r="L54" s="76">
        <v>552000</v>
      </c>
      <c r="M54" s="56">
        <f t="shared" si="10"/>
        <v>552000</v>
      </c>
      <c r="N54" s="136"/>
      <c r="O54" s="138">
        <f t="shared" si="3"/>
        <v>125893.85385940818</v>
      </c>
      <c r="P54" s="138">
        <f t="shared" si="4"/>
        <v>125893.85385940818</v>
      </c>
    </row>
    <row r="55" spans="1:16" x14ac:dyDescent="0.2">
      <c r="A55" s="129">
        <v>20</v>
      </c>
      <c r="B55" s="61" t="s">
        <v>22</v>
      </c>
      <c r="C55" s="61" t="s">
        <v>51</v>
      </c>
      <c r="D55" s="53">
        <v>2016</v>
      </c>
      <c r="E55" s="55">
        <f t="shared" si="8"/>
        <v>2022</v>
      </c>
      <c r="F55" s="53">
        <f t="shared" si="9"/>
        <v>6</v>
      </c>
      <c r="G55" s="76">
        <v>1518000</v>
      </c>
      <c r="H55" s="76">
        <v>1518000</v>
      </c>
      <c r="I55" s="76">
        <v>1518000</v>
      </c>
      <c r="J55" s="76">
        <v>1518000</v>
      </c>
      <c r="K55" s="76">
        <v>1518000</v>
      </c>
      <c r="L55" s="76">
        <v>1618000</v>
      </c>
      <c r="M55" s="56">
        <f t="shared" si="10"/>
        <v>1534666.6666666667</v>
      </c>
      <c r="N55" s="136"/>
      <c r="O55" s="138">
        <f t="shared" si="3"/>
        <v>350009.24104391021</v>
      </c>
      <c r="P55" s="138">
        <f t="shared" si="4"/>
        <v>350009.24104391021</v>
      </c>
    </row>
    <row r="56" spans="1:16" x14ac:dyDescent="0.2">
      <c r="A56" s="129">
        <v>21</v>
      </c>
      <c r="B56" s="61" t="s">
        <v>23</v>
      </c>
      <c r="C56" s="61" t="s">
        <v>51</v>
      </c>
      <c r="D56" s="53">
        <v>2016</v>
      </c>
      <c r="E56" s="55">
        <f t="shared" si="8"/>
        <v>2022</v>
      </c>
      <c r="F56" s="53">
        <f t="shared" si="9"/>
        <v>6</v>
      </c>
      <c r="G56" s="76">
        <v>1135000</v>
      </c>
      <c r="H56" s="76">
        <v>1135000</v>
      </c>
      <c r="I56" s="76">
        <v>1135000</v>
      </c>
      <c r="J56" s="76">
        <v>1135000</v>
      </c>
      <c r="K56" s="76">
        <v>1135000</v>
      </c>
      <c r="L56" s="76">
        <v>1135000</v>
      </c>
      <c r="M56" s="56">
        <f t="shared" si="10"/>
        <v>1135000</v>
      </c>
      <c r="N56" s="136"/>
      <c r="O56" s="138">
        <f t="shared" si="3"/>
        <v>258857.83356961649</v>
      </c>
      <c r="P56" s="138">
        <f t="shared" si="4"/>
        <v>258857.83356961649</v>
      </c>
    </row>
    <row r="57" spans="1:16" x14ac:dyDescent="0.2">
      <c r="A57" s="53">
        <v>11</v>
      </c>
      <c r="B57" s="54" t="s">
        <v>60</v>
      </c>
      <c r="C57" s="54" t="s">
        <v>61</v>
      </c>
      <c r="D57" s="55">
        <v>2017</v>
      </c>
      <c r="E57" s="55">
        <f t="shared" si="8"/>
        <v>2022</v>
      </c>
      <c r="F57" s="53">
        <f t="shared" si="9"/>
        <v>5</v>
      </c>
      <c r="G57" s="56">
        <v>1729500</v>
      </c>
      <c r="H57" s="56">
        <v>1729500</v>
      </c>
      <c r="I57" s="56">
        <v>1729500</v>
      </c>
      <c r="J57" s="56">
        <v>1729500</v>
      </c>
      <c r="K57" s="56">
        <v>1729500</v>
      </c>
      <c r="L57" s="56">
        <v>1729500</v>
      </c>
      <c r="M57" s="56">
        <f t="shared" si="10"/>
        <v>1729500</v>
      </c>
      <c r="N57" s="136"/>
      <c r="O57" s="138">
        <f t="shared" si="3"/>
        <v>394444.60190189577</v>
      </c>
      <c r="P57" s="138">
        <f t="shared" si="4"/>
        <v>394444.60190189577</v>
      </c>
    </row>
    <row r="58" spans="1:16" x14ac:dyDescent="0.2">
      <c r="A58" s="53">
        <v>59</v>
      </c>
      <c r="B58" s="54" t="s">
        <v>178</v>
      </c>
      <c r="C58" s="54"/>
      <c r="D58" s="55">
        <v>2018</v>
      </c>
      <c r="E58" s="55">
        <v>2022</v>
      </c>
      <c r="F58" s="53">
        <f t="shared" si="9"/>
        <v>4</v>
      </c>
      <c r="G58" s="56">
        <v>1629500</v>
      </c>
      <c r="H58" s="56">
        <v>1629500</v>
      </c>
      <c r="I58" s="56">
        <v>1629500</v>
      </c>
      <c r="J58" s="56">
        <v>1302500</v>
      </c>
      <c r="K58" s="56"/>
      <c r="L58" s="56">
        <v>0</v>
      </c>
      <c r="M58" s="56">
        <f t="shared" si="10"/>
        <v>1238200</v>
      </c>
      <c r="N58" s="136"/>
      <c r="O58" s="138">
        <f t="shared" si="3"/>
        <v>282394.51059550582</v>
      </c>
      <c r="P58" s="138">
        <f t="shared" si="4"/>
        <v>282394.51059550582</v>
      </c>
    </row>
    <row r="59" spans="1:16" s="58" customFormat="1" x14ac:dyDescent="0.2">
      <c r="A59" s="129">
        <v>23</v>
      </c>
      <c r="B59" s="61" t="s">
        <v>24</v>
      </c>
      <c r="C59" s="61" t="s">
        <v>51</v>
      </c>
      <c r="D59" s="53">
        <v>2019</v>
      </c>
      <c r="E59" s="55">
        <f t="shared" ref="E59:E65" si="11">$E$13</f>
        <v>2022</v>
      </c>
      <c r="F59" s="53">
        <f t="shared" si="9"/>
        <v>3</v>
      </c>
      <c r="G59" s="56">
        <v>1233000</v>
      </c>
      <c r="H59" s="56">
        <v>1233000</v>
      </c>
      <c r="I59" s="56">
        <v>1233000</v>
      </c>
      <c r="J59" s="56">
        <v>787500</v>
      </c>
      <c r="K59" s="56">
        <v>604500</v>
      </c>
      <c r="L59" s="76">
        <v>1134000</v>
      </c>
      <c r="M59" s="56">
        <f t="shared" si="10"/>
        <v>1037500</v>
      </c>
      <c r="N59" s="137"/>
      <c r="O59" s="138">
        <f t="shared" si="3"/>
        <v>236621.14742597102</v>
      </c>
      <c r="P59" s="138">
        <f t="shared" si="4"/>
        <v>236621.14742597102</v>
      </c>
    </row>
    <row r="60" spans="1:16" x14ac:dyDescent="0.2">
      <c r="A60" s="129">
        <v>24</v>
      </c>
      <c r="B60" s="61" t="s">
        <v>25</v>
      </c>
      <c r="C60" s="61" t="s">
        <v>51</v>
      </c>
      <c r="D60" s="53">
        <v>2019</v>
      </c>
      <c r="E60" s="55">
        <f t="shared" si="11"/>
        <v>2022</v>
      </c>
      <c r="F60" s="53">
        <f t="shared" si="9"/>
        <v>3</v>
      </c>
      <c r="G60" s="76">
        <v>753500</v>
      </c>
      <c r="H60" s="76">
        <v>753500</v>
      </c>
      <c r="I60" s="76">
        <v>753500</v>
      </c>
      <c r="J60" s="76">
        <v>753500</v>
      </c>
      <c r="K60" s="76">
        <v>753500</v>
      </c>
      <c r="L60" s="76">
        <v>753500</v>
      </c>
      <c r="M60" s="56">
        <f t="shared" si="10"/>
        <v>753500</v>
      </c>
      <c r="N60" s="136"/>
      <c r="O60" s="138">
        <f t="shared" si="3"/>
        <v>171849.67188960884</v>
      </c>
      <c r="P60" s="138">
        <f t="shared" si="4"/>
        <v>171849.67188960884</v>
      </c>
    </row>
    <row r="61" spans="1:16" x14ac:dyDescent="0.2">
      <c r="A61" s="129">
        <v>25</v>
      </c>
      <c r="B61" s="61" t="s">
        <v>68</v>
      </c>
      <c r="C61" s="61" t="s">
        <v>51</v>
      </c>
      <c r="D61" s="53">
        <v>2019</v>
      </c>
      <c r="E61" s="55">
        <f t="shared" si="11"/>
        <v>2022</v>
      </c>
      <c r="F61" s="53">
        <f t="shared" si="9"/>
        <v>3</v>
      </c>
      <c r="G61" s="76">
        <v>411000</v>
      </c>
      <c r="H61" s="76">
        <v>411000</v>
      </c>
      <c r="I61" s="76">
        <v>411000</v>
      </c>
      <c r="J61" s="76">
        <v>411000</v>
      </c>
      <c r="K61" s="76">
        <v>411000</v>
      </c>
      <c r="L61" s="76">
        <v>411000</v>
      </c>
      <c r="M61" s="56">
        <f t="shared" si="10"/>
        <v>411000</v>
      </c>
      <c r="N61" s="136"/>
      <c r="O61" s="138">
        <f t="shared" si="3"/>
        <v>93736.184667059351</v>
      </c>
      <c r="P61" s="138">
        <f t="shared" si="4"/>
        <v>93736.184667059351</v>
      </c>
    </row>
    <row r="62" spans="1:16" x14ac:dyDescent="0.2">
      <c r="A62" s="129">
        <v>26</v>
      </c>
      <c r="B62" s="61" t="s">
        <v>26</v>
      </c>
      <c r="C62" s="61" t="s">
        <v>51</v>
      </c>
      <c r="D62" s="53">
        <v>2019</v>
      </c>
      <c r="E62" s="55">
        <f t="shared" si="11"/>
        <v>2022</v>
      </c>
      <c r="F62" s="53">
        <f t="shared" si="9"/>
        <v>3</v>
      </c>
      <c r="G62" s="76">
        <v>685000</v>
      </c>
      <c r="H62" s="76">
        <v>685000</v>
      </c>
      <c r="I62" s="76">
        <v>685000</v>
      </c>
      <c r="J62" s="76">
        <v>685000</v>
      </c>
      <c r="K62" s="76">
        <v>685000</v>
      </c>
      <c r="L62" s="76">
        <v>685000</v>
      </c>
      <c r="M62" s="56">
        <f t="shared" si="10"/>
        <v>685000</v>
      </c>
      <c r="N62" s="136"/>
      <c r="O62" s="138">
        <f t="shared" si="3"/>
        <v>156226.97444509892</v>
      </c>
      <c r="P62" s="138">
        <f t="shared" si="4"/>
        <v>156226.97444509892</v>
      </c>
    </row>
    <row r="63" spans="1:16" x14ac:dyDescent="0.2">
      <c r="A63" s="129">
        <v>27</v>
      </c>
      <c r="B63" s="61" t="s">
        <v>27</v>
      </c>
      <c r="C63" s="61" t="s">
        <v>51</v>
      </c>
      <c r="D63" s="53">
        <v>2019</v>
      </c>
      <c r="E63" s="55">
        <f t="shared" si="11"/>
        <v>2022</v>
      </c>
      <c r="F63" s="53">
        <f t="shared" si="9"/>
        <v>3</v>
      </c>
      <c r="G63" s="76">
        <v>1370000</v>
      </c>
      <c r="H63" s="76">
        <v>1370000</v>
      </c>
      <c r="I63" s="76">
        <v>1370000</v>
      </c>
      <c r="J63" s="76">
        <v>1370000</v>
      </c>
      <c r="K63" s="76">
        <v>1370000</v>
      </c>
      <c r="L63" s="76">
        <v>1271000</v>
      </c>
      <c r="M63" s="56">
        <f t="shared" si="10"/>
        <v>1353500</v>
      </c>
      <c r="N63" s="136"/>
      <c r="O63" s="138">
        <f t="shared" si="3"/>
        <v>308690.81738896552</v>
      </c>
      <c r="P63" s="138">
        <f t="shared" si="4"/>
        <v>308690.81738896552</v>
      </c>
    </row>
    <row r="64" spans="1:16" s="58" customFormat="1" x14ac:dyDescent="0.2">
      <c r="A64" s="129">
        <v>29</v>
      </c>
      <c r="B64" s="61" t="s">
        <v>69</v>
      </c>
      <c r="C64" s="61" t="s">
        <v>51</v>
      </c>
      <c r="D64" s="53">
        <v>2020</v>
      </c>
      <c r="E64" s="55">
        <f t="shared" si="11"/>
        <v>2022</v>
      </c>
      <c r="F64" s="53">
        <f t="shared" si="9"/>
        <v>2</v>
      </c>
      <c r="G64" s="56">
        <v>1460500</v>
      </c>
      <c r="H64" s="56">
        <v>1460500</v>
      </c>
      <c r="I64" s="56">
        <v>1460500</v>
      </c>
      <c r="J64" s="56">
        <v>1460500</v>
      </c>
      <c r="K64" s="56">
        <v>1460500</v>
      </c>
      <c r="L64" s="76">
        <v>1714500</v>
      </c>
      <c r="M64" s="56">
        <f t="shared" si="10"/>
        <v>1502833.3333333333</v>
      </c>
      <c r="N64" s="137"/>
      <c r="O64" s="138">
        <f t="shared" si="3"/>
        <v>342749.0580465832</v>
      </c>
      <c r="P64" s="138">
        <f t="shared" si="4"/>
        <v>342749.0580465832</v>
      </c>
    </row>
    <row r="65" spans="1:16" s="58" customFormat="1" x14ac:dyDescent="0.2">
      <c r="A65" s="53">
        <v>7</v>
      </c>
      <c r="B65" s="61" t="s">
        <v>43</v>
      </c>
      <c r="C65" s="54" t="s">
        <v>51</v>
      </c>
      <c r="D65" s="55">
        <v>2021</v>
      </c>
      <c r="E65" s="55">
        <f t="shared" si="11"/>
        <v>2022</v>
      </c>
      <c r="F65" s="53">
        <f t="shared" si="9"/>
        <v>1</v>
      </c>
      <c r="G65" s="56">
        <v>1814000</v>
      </c>
      <c r="H65" s="56">
        <v>1814000</v>
      </c>
      <c r="I65" s="56">
        <v>1814000</v>
      </c>
      <c r="J65" s="56">
        <v>1814000</v>
      </c>
      <c r="K65" s="56">
        <v>1814000</v>
      </c>
      <c r="L65" s="56">
        <v>1814000</v>
      </c>
      <c r="M65" s="56">
        <f t="shared" si="10"/>
        <v>1814000</v>
      </c>
      <c r="N65" s="137"/>
      <c r="O65" s="138">
        <f t="shared" si="3"/>
        <v>413716.39655972185</v>
      </c>
      <c r="P65" s="138">
        <f t="shared" si="4"/>
        <v>413716.39655972185</v>
      </c>
    </row>
    <row r="66" spans="1:16" s="58" customFormat="1" x14ac:dyDescent="0.2">
      <c r="A66" s="129">
        <v>28</v>
      </c>
      <c r="B66" s="61" t="s">
        <v>41</v>
      </c>
      <c r="C66" s="61" t="s">
        <v>51</v>
      </c>
      <c r="D66" s="53">
        <v>2021</v>
      </c>
      <c r="E66" s="55">
        <v>2022</v>
      </c>
      <c r="F66" s="53">
        <f t="shared" si="9"/>
        <v>1</v>
      </c>
      <c r="G66" s="56">
        <v>1125000</v>
      </c>
      <c r="H66" s="56">
        <v>1125000</v>
      </c>
      <c r="I66" s="56">
        <v>1125000</v>
      </c>
      <c r="J66" s="56">
        <v>1125000</v>
      </c>
      <c r="K66" s="56">
        <v>1125000</v>
      </c>
      <c r="L66" s="56">
        <v>1125000</v>
      </c>
      <c r="M66" s="56">
        <f t="shared" si="10"/>
        <v>1125000</v>
      </c>
      <c r="N66" s="137"/>
      <c r="O66" s="138">
        <f t="shared" si="3"/>
        <v>256577.14781129386</v>
      </c>
      <c r="P66" s="138">
        <f t="shared" si="4"/>
        <v>256577.14781129386</v>
      </c>
    </row>
    <row r="67" spans="1:16" s="58" customFormat="1" x14ac:dyDescent="0.2">
      <c r="A67" s="129">
        <v>30</v>
      </c>
      <c r="B67" s="61" t="s">
        <v>42</v>
      </c>
      <c r="C67" s="61" t="s">
        <v>51</v>
      </c>
      <c r="D67" s="53">
        <v>2021</v>
      </c>
      <c r="E67" s="55">
        <f>$E$13</f>
        <v>2022</v>
      </c>
      <c r="F67" s="53">
        <f t="shared" si="9"/>
        <v>1</v>
      </c>
      <c r="G67" s="56">
        <v>750000</v>
      </c>
      <c r="H67" s="56">
        <v>750000</v>
      </c>
      <c r="I67" s="56">
        <v>750000</v>
      </c>
      <c r="J67" s="56">
        <v>750000</v>
      </c>
      <c r="K67" s="56">
        <v>750000</v>
      </c>
      <c r="L67" s="56">
        <v>750000</v>
      </c>
      <c r="M67" s="56">
        <f t="shared" si="10"/>
        <v>750000</v>
      </c>
      <c r="N67" s="137"/>
      <c r="O67" s="138">
        <f t="shared" si="3"/>
        <v>171051.43187419593</v>
      </c>
      <c r="P67" s="138">
        <f t="shared" si="4"/>
        <v>171051.43187419593</v>
      </c>
    </row>
    <row r="68" spans="1:16" s="58" customFormat="1" x14ac:dyDescent="0.2">
      <c r="A68" s="129">
        <v>31</v>
      </c>
      <c r="B68" s="61" t="s">
        <v>50</v>
      </c>
      <c r="C68" s="61" t="s">
        <v>51</v>
      </c>
      <c r="D68" s="53">
        <v>2021</v>
      </c>
      <c r="E68" s="55">
        <f>$E$13</f>
        <v>2022</v>
      </c>
      <c r="F68" s="53">
        <f t="shared" si="9"/>
        <v>1</v>
      </c>
      <c r="G68" s="56">
        <v>1000000</v>
      </c>
      <c r="H68" s="56">
        <v>1000000</v>
      </c>
      <c r="I68" s="56">
        <v>1000000</v>
      </c>
      <c r="J68" s="56">
        <v>1000000</v>
      </c>
      <c r="K68" s="56">
        <v>1000000</v>
      </c>
      <c r="L68" s="56">
        <v>1000000</v>
      </c>
      <c r="M68" s="56">
        <f t="shared" si="10"/>
        <v>1000000</v>
      </c>
      <c r="N68" s="137"/>
      <c r="O68" s="138">
        <f t="shared" si="3"/>
        <v>228068.57583226121</v>
      </c>
      <c r="P68" s="138">
        <f t="shared" si="4"/>
        <v>228068.57583226121</v>
      </c>
    </row>
    <row r="69" spans="1:16" s="58" customFormat="1" x14ac:dyDescent="0.2">
      <c r="A69" s="53">
        <v>13</v>
      </c>
      <c r="B69" s="54" t="s">
        <v>163</v>
      </c>
      <c r="C69" s="54" t="s">
        <v>164</v>
      </c>
      <c r="D69" s="55">
        <v>2022</v>
      </c>
      <c r="E69" s="55">
        <f>$E$13</f>
        <v>2022</v>
      </c>
      <c r="F69" s="53">
        <f t="shared" si="9"/>
        <v>0</v>
      </c>
      <c r="G69" s="56">
        <v>1617000</v>
      </c>
      <c r="H69" s="56">
        <v>1617000</v>
      </c>
      <c r="I69" s="56">
        <v>1617000</v>
      </c>
      <c r="J69" s="56">
        <v>1617000</v>
      </c>
      <c r="K69" s="56">
        <v>1617000</v>
      </c>
      <c r="L69" s="56">
        <v>1617000</v>
      </c>
      <c r="M69" s="56">
        <f t="shared" si="10"/>
        <v>1617000</v>
      </c>
      <c r="N69" s="137"/>
      <c r="O69" s="138">
        <f t="shared" si="3"/>
        <v>368786.88712076633</v>
      </c>
      <c r="P69" s="138">
        <f t="shared" si="4"/>
        <v>368786.88712076633</v>
      </c>
    </row>
    <row r="70" spans="1:16" s="58" customFormat="1" x14ac:dyDescent="0.2">
      <c r="A70" s="129">
        <v>46</v>
      </c>
      <c r="B70" s="61" t="s">
        <v>133</v>
      </c>
      <c r="C70" s="61" t="s">
        <v>51</v>
      </c>
      <c r="D70" s="53">
        <v>2022</v>
      </c>
      <c r="E70" s="53">
        <f>$E$13</f>
        <v>2022</v>
      </c>
      <c r="F70" s="53">
        <f t="shared" si="9"/>
        <v>0</v>
      </c>
      <c r="G70" s="56">
        <v>1500000</v>
      </c>
      <c r="H70" s="56">
        <v>1500000</v>
      </c>
      <c r="I70" s="56">
        <v>1500000</v>
      </c>
      <c r="J70" s="56">
        <v>1500000</v>
      </c>
      <c r="K70" s="56">
        <v>1500000</v>
      </c>
      <c r="L70" s="56">
        <v>1500000</v>
      </c>
      <c r="M70" s="56">
        <f t="shared" si="10"/>
        <v>1500000</v>
      </c>
      <c r="N70" s="137"/>
      <c r="O70" s="138">
        <f t="shared" si="3"/>
        <v>342102.86374839186</v>
      </c>
      <c r="P70" s="138">
        <f t="shared" si="4"/>
        <v>342102.86374839186</v>
      </c>
    </row>
    <row r="71" spans="1:16" s="58" customFormat="1" x14ac:dyDescent="0.2">
      <c r="A71" s="129">
        <v>47</v>
      </c>
      <c r="B71" s="61" t="s">
        <v>165</v>
      </c>
      <c r="C71" s="61" t="s">
        <v>51</v>
      </c>
      <c r="D71" s="53">
        <v>2022</v>
      </c>
      <c r="E71" s="55">
        <f>$E$13</f>
        <v>2022</v>
      </c>
      <c r="F71" s="53">
        <f t="shared" si="9"/>
        <v>0</v>
      </c>
      <c r="G71" s="56">
        <v>1500000</v>
      </c>
      <c r="H71" s="56">
        <v>1500000</v>
      </c>
      <c r="I71" s="56">
        <v>1500000</v>
      </c>
      <c r="J71" s="56">
        <v>1500000</v>
      </c>
      <c r="K71" s="56">
        <v>1500000</v>
      </c>
      <c r="L71" s="56">
        <v>1500000</v>
      </c>
      <c r="M71" s="56">
        <f t="shared" si="10"/>
        <v>1500000</v>
      </c>
      <c r="N71" s="137"/>
      <c r="O71" s="138">
        <f t="shared" si="3"/>
        <v>342102.86374839186</v>
      </c>
      <c r="P71" s="138">
        <f t="shared" si="4"/>
        <v>342102.86374839186</v>
      </c>
    </row>
    <row r="72" spans="1:16" s="58" customFormat="1" ht="22.5" customHeight="1" x14ac:dyDescent="0.2">
      <c r="A72" s="272"/>
      <c r="B72" s="272"/>
      <c r="C72" s="272"/>
      <c r="D72" s="272"/>
      <c r="E72" s="272"/>
      <c r="F72" s="272"/>
      <c r="G72" s="126"/>
      <c r="H72" s="126"/>
      <c r="I72" s="126"/>
      <c r="J72" s="126"/>
      <c r="K72" s="126"/>
      <c r="L72" s="90"/>
      <c r="M72" s="90">
        <f>SUM(M52:M71)</f>
        <v>25772366.666666668</v>
      </c>
      <c r="N72" s="90">
        <f>SUM(N52:N71)</f>
        <v>0</v>
      </c>
      <c r="O72" s="90">
        <f>SUM(O52:O71)</f>
        <v>5877866.961493508</v>
      </c>
      <c r="P72" s="90">
        <f>SUM(P52:P71)</f>
        <v>5877866.961493508</v>
      </c>
    </row>
    <row r="73" spans="1:16" hidden="1" x14ac:dyDescent="0.2"/>
    <row r="74" spans="1:16" hidden="1" x14ac:dyDescent="0.2">
      <c r="A74" s="63" t="s">
        <v>85</v>
      </c>
    </row>
    <row r="75" spans="1:16" hidden="1" x14ac:dyDescent="0.2">
      <c r="A75" s="64"/>
      <c r="B75" s="33" t="s">
        <v>86</v>
      </c>
    </row>
    <row r="76" spans="1:16" hidden="1" x14ac:dyDescent="0.2">
      <c r="A76" s="65"/>
      <c r="B76" s="33" t="s">
        <v>87</v>
      </c>
    </row>
    <row r="77" spans="1:16" hidden="1" x14ac:dyDescent="0.2">
      <c r="A77" s="67"/>
      <c r="B77" s="33" t="s">
        <v>88</v>
      </c>
    </row>
    <row r="78" spans="1:16" hidden="1" x14ac:dyDescent="0.2"/>
    <row r="79" spans="1:16" x14ac:dyDescent="0.2">
      <c r="A79" s="68"/>
      <c r="C79" s="69"/>
      <c r="D79" s="70"/>
      <c r="E79" s="70"/>
      <c r="F79" s="70"/>
      <c r="G79" s="70"/>
      <c r="H79" s="70"/>
      <c r="I79" s="70"/>
      <c r="J79" s="69"/>
      <c r="K79" s="70"/>
    </row>
    <row r="80" spans="1:16" x14ac:dyDescent="0.2">
      <c r="A80" s="68"/>
      <c r="C80" s="69"/>
      <c r="D80" s="70"/>
      <c r="E80" s="70"/>
      <c r="F80" s="70"/>
      <c r="G80" s="70"/>
      <c r="H80" s="70"/>
      <c r="I80" s="70"/>
      <c r="J80" s="69"/>
      <c r="K80" s="70"/>
    </row>
    <row r="81" spans="1:13" x14ac:dyDescent="0.2">
      <c r="A81" s="68"/>
      <c r="C81" s="69"/>
      <c r="D81" s="70"/>
      <c r="E81" s="70"/>
      <c r="F81" s="70"/>
      <c r="G81" s="70"/>
      <c r="H81" s="70"/>
      <c r="I81" s="70"/>
      <c r="J81" s="70"/>
      <c r="K81" s="70"/>
    </row>
    <row r="82" spans="1:13" x14ac:dyDescent="0.2">
      <c r="A82" s="68"/>
      <c r="C82" s="69"/>
      <c r="D82" s="70"/>
      <c r="E82" s="70"/>
      <c r="F82" s="70"/>
      <c r="G82" s="70"/>
      <c r="H82" s="70"/>
      <c r="I82" s="70"/>
      <c r="J82" s="70"/>
      <c r="K82" s="70"/>
    </row>
    <row r="83" spans="1:13" x14ac:dyDescent="0.2">
      <c r="A83" s="68"/>
      <c r="C83" s="69"/>
      <c r="D83" s="70"/>
      <c r="E83" s="70"/>
      <c r="F83" s="70"/>
      <c r="G83" s="70"/>
      <c r="H83" s="70"/>
      <c r="I83" s="70"/>
      <c r="J83" s="70"/>
      <c r="K83" s="70"/>
    </row>
    <row r="84" spans="1:13" x14ac:dyDescent="0.2">
      <c r="A84" s="68"/>
      <c r="C84" s="71"/>
      <c r="D84" s="72"/>
      <c r="E84" s="72"/>
      <c r="F84" s="72"/>
      <c r="G84" s="72"/>
      <c r="H84" s="72"/>
      <c r="I84" s="72"/>
      <c r="J84" s="71"/>
      <c r="K84" s="72"/>
    </row>
    <row r="85" spans="1:13" x14ac:dyDescent="0.2">
      <c r="B85" s="73"/>
      <c r="C85" s="73"/>
      <c r="D85" s="74"/>
      <c r="E85" s="74"/>
      <c r="F85" s="73"/>
      <c r="G85" s="73"/>
      <c r="H85" s="73"/>
      <c r="I85" s="73"/>
      <c r="J85" s="73"/>
      <c r="K85" s="73"/>
      <c r="L85" s="73"/>
      <c r="M85" s="73"/>
    </row>
    <row r="86" spans="1:13" x14ac:dyDescent="0.2">
      <c r="B86" s="73"/>
      <c r="C86" s="73"/>
      <c r="D86" s="74"/>
      <c r="E86" s="74"/>
      <c r="F86" s="73"/>
      <c r="G86" s="73"/>
      <c r="H86" s="73"/>
      <c r="I86" s="73"/>
      <c r="J86" s="73"/>
      <c r="K86" s="73"/>
      <c r="L86" s="75"/>
      <c r="M86" s="75"/>
    </row>
    <row r="88" spans="1:13" x14ac:dyDescent="0.2">
      <c r="L88" s="66"/>
      <c r="M88" s="66"/>
    </row>
  </sheetData>
  <sortState ref="A12:M71">
    <sortCondition descending="1" ref="F12:F71"/>
  </sortState>
  <mergeCells count="18">
    <mergeCell ref="C5:F5"/>
    <mergeCell ref="C6:F6"/>
    <mergeCell ref="C7:F7"/>
    <mergeCell ref="H5:I5"/>
    <mergeCell ref="H6:I6"/>
    <mergeCell ref="G10:G11"/>
    <mergeCell ref="H10:H11"/>
    <mergeCell ref="N10:P10"/>
    <mergeCell ref="A72:F72"/>
    <mergeCell ref="M10:M11"/>
    <mergeCell ref="I10:I11"/>
    <mergeCell ref="J10:J11"/>
    <mergeCell ref="K10:K11"/>
    <mergeCell ref="L10:L11"/>
    <mergeCell ref="A10:A11"/>
    <mergeCell ref="B10:B11"/>
    <mergeCell ref="C10:C11"/>
    <mergeCell ref="D10:F10"/>
  </mergeCells>
  <pageMargins left="0.43307086614173229" right="0.19685039370078741" top="0.51181102362204722" bottom="0.51181102362204722" header="0.31496062992125984" footer="0.31496062992125984"/>
  <pageSetup paperSize="5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view="pageBreakPreview" topLeftCell="K1" zoomScale="115" zoomScaleNormal="115" zoomScaleSheetLayoutView="115" workbookViewId="0">
      <selection activeCell="T80" sqref="T80"/>
    </sheetView>
  </sheetViews>
  <sheetFormatPr defaultRowHeight="16.5" x14ac:dyDescent="0.25"/>
  <cols>
    <col min="1" max="1" width="4" style="158" customWidth="1"/>
    <col min="2" max="2" width="36" style="158" customWidth="1"/>
    <col min="3" max="3" width="13.5703125" style="158" customWidth="1"/>
    <col min="4" max="5" width="6.140625" style="158" customWidth="1"/>
    <col min="6" max="6" width="3.85546875" style="158" customWidth="1"/>
    <col min="7" max="7" width="13.85546875" style="159" customWidth="1"/>
    <col min="8" max="8" width="12.7109375" style="158" customWidth="1"/>
    <col min="9" max="9" width="13.140625" style="158" customWidth="1"/>
    <col min="10" max="10" width="12.5703125" style="158" customWidth="1"/>
    <col min="11" max="11" width="5.5703125" style="158" customWidth="1"/>
    <col min="12" max="12" width="44.140625" style="158" customWidth="1"/>
    <col min="13" max="13" width="14" style="158" bestFit="1" customWidth="1"/>
    <col min="14" max="15" width="6.140625" style="158" bestFit="1" customWidth="1"/>
    <col min="16" max="16" width="3.85546875" style="158" bestFit="1" customWidth="1"/>
    <col min="17" max="17" width="13.140625" style="159" bestFit="1" customWidth="1"/>
    <col min="18" max="19" width="12.5703125" style="158" customWidth="1"/>
    <col min="20" max="20" width="12.7109375" style="158" customWidth="1"/>
    <col min="21" max="21" width="7" style="159" customWidth="1"/>
    <col min="22" max="22" width="12.5703125" style="158" customWidth="1"/>
    <col min="23" max="23" width="13.85546875" style="158" customWidth="1"/>
    <col min="24" max="24" width="12.7109375" style="158" customWidth="1"/>
    <col min="25" max="25" width="24.28515625" style="158" customWidth="1"/>
    <col min="26" max="26" width="25" style="158" customWidth="1"/>
    <col min="27" max="32" width="9.140625" style="158" customWidth="1"/>
    <col min="33" max="16384" width="9.140625" style="158"/>
  </cols>
  <sheetData>
    <row r="1" spans="1:25" x14ac:dyDescent="0.25">
      <c r="K1" s="291" t="s">
        <v>205</v>
      </c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</row>
    <row r="2" spans="1:25" x14ac:dyDescent="0.25">
      <c r="K2" s="292" t="s">
        <v>64</v>
      </c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</row>
    <row r="3" spans="1:25" x14ac:dyDescent="0.25">
      <c r="B3" s="160">
        <v>23816000</v>
      </c>
      <c r="K3" s="292" t="s">
        <v>211</v>
      </c>
      <c r="L3" s="292"/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2"/>
      <c r="Y3" s="292"/>
    </row>
    <row r="4" spans="1:25" x14ac:dyDescent="0.25">
      <c r="B4" s="160">
        <v>317500</v>
      </c>
      <c r="C4" s="158" t="s">
        <v>207</v>
      </c>
      <c r="K4" s="156">
        <v>1</v>
      </c>
      <c r="L4" s="157" t="s">
        <v>193</v>
      </c>
      <c r="M4" s="296">
        <f>$G$36</f>
        <v>49478200</v>
      </c>
      <c r="N4" s="296"/>
      <c r="O4" s="296"/>
      <c r="P4" s="296"/>
      <c r="Q4" s="207">
        <f>M4-(G9+G13+G24+G27+G28+G35)</f>
        <v>28702200</v>
      </c>
    </row>
    <row r="5" spans="1:25" x14ac:dyDescent="0.25">
      <c r="A5" s="150"/>
      <c r="B5" s="181">
        <f>B3-B4</f>
        <v>23498500</v>
      </c>
      <c r="C5" s="151"/>
      <c r="D5" s="152"/>
      <c r="E5" s="150"/>
      <c r="F5" s="150"/>
      <c r="G5" s="153"/>
      <c r="K5" s="156">
        <v>2</v>
      </c>
      <c r="L5" s="157" t="s">
        <v>194</v>
      </c>
      <c r="M5" s="296">
        <f>$G$58</f>
        <v>30865500</v>
      </c>
      <c r="N5" s="296"/>
      <c r="O5" s="296"/>
      <c r="P5" s="296"/>
      <c r="Q5" s="207">
        <f>M5-G48</f>
        <v>29051500</v>
      </c>
    </row>
    <row r="6" spans="1:25" x14ac:dyDescent="0.25">
      <c r="A6" s="150"/>
      <c r="B6" s="151"/>
      <c r="C6" s="151"/>
      <c r="D6" s="152"/>
      <c r="E6" s="150"/>
      <c r="F6" s="150"/>
      <c r="G6" s="153"/>
      <c r="K6" s="297" t="s">
        <v>167</v>
      </c>
      <c r="L6" s="297"/>
      <c r="M6" s="296">
        <f>SUM(M4:P5)</f>
        <v>80343700</v>
      </c>
      <c r="N6" s="296"/>
      <c r="O6" s="296"/>
      <c r="P6" s="296"/>
      <c r="Q6" s="207">
        <f>SUM(Q4:Q5)</f>
        <v>57753700</v>
      </c>
    </row>
    <row r="7" spans="1:25" x14ac:dyDescent="0.25">
      <c r="A7" s="150"/>
      <c r="B7" s="151"/>
      <c r="C7" s="151"/>
      <c r="D7" s="152"/>
      <c r="E7" s="150"/>
      <c r="F7" s="150"/>
      <c r="G7" s="153"/>
      <c r="K7" s="147"/>
      <c r="L7" s="131"/>
      <c r="M7" s="146"/>
      <c r="N7" s="146"/>
      <c r="O7" s="146"/>
      <c r="P7" s="146"/>
    </row>
    <row r="8" spans="1:25" x14ac:dyDescent="0.25">
      <c r="A8" s="170" t="s">
        <v>117</v>
      </c>
      <c r="B8" s="170" t="s">
        <v>134</v>
      </c>
      <c r="C8" s="170" t="s">
        <v>62</v>
      </c>
      <c r="D8" s="170" t="s">
        <v>180</v>
      </c>
      <c r="E8" s="170" t="s">
        <v>58</v>
      </c>
      <c r="F8" s="170" t="s">
        <v>55</v>
      </c>
      <c r="G8" s="170" t="s">
        <v>198</v>
      </c>
      <c r="K8" s="293" t="s">
        <v>117</v>
      </c>
      <c r="L8" s="293" t="s">
        <v>134</v>
      </c>
      <c r="M8" s="293" t="s">
        <v>62</v>
      </c>
      <c r="N8" s="293" t="s">
        <v>180</v>
      </c>
      <c r="O8" s="293" t="s">
        <v>58</v>
      </c>
      <c r="P8" s="293" t="s">
        <v>55</v>
      </c>
      <c r="Q8" s="293" t="s">
        <v>198</v>
      </c>
      <c r="R8" s="178" t="s">
        <v>195</v>
      </c>
      <c r="S8" s="178" t="s">
        <v>209</v>
      </c>
      <c r="T8" s="178" t="s">
        <v>136</v>
      </c>
      <c r="U8" s="294" t="s">
        <v>196</v>
      </c>
      <c r="V8" s="295"/>
      <c r="W8" s="178" t="s">
        <v>167</v>
      </c>
      <c r="X8" s="299" t="s">
        <v>167</v>
      </c>
      <c r="Y8" s="299" t="s">
        <v>210</v>
      </c>
    </row>
    <row r="9" spans="1:25" x14ac:dyDescent="0.25">
      <c r="A9" s="139">
        <v>3</v>
      </c>
      <c r="B9" s="140" t="s">
        <v>6</v>
      </c>
      <c r="C9" s="140" t="s">
        <v>195</v>
      </c>
      <c r="D9" s="141">
        <v>1992</v>
      </c>
      <c r="E9" s="139">
        <v>2022</v>
      </c>
      <c r="F9" s="139">
        <f t="shared" ref="F9:F34" si="0">E9-D9</f>
        <v>30</v>
      </c>
      <c r="G9" s="145">
        <v>3929500</v>
      </c>
      <c r="K9" s="293"/>
      <c r="L9" s="293"/>
      <c r="M9" s="293"/>
      <c r="N9" s="293"/>
      <c r="O9" s="293"/>
      <c r="P9" s="293"/>
      <c r="Q9" s="293"/>
      <c r="R9" s="179">
        <v>7560500</v>
      </c>
      <c r="S9" s="179">
        <v>8298000</v>
      </c>
      <c r="T9" s="179">
        <v>3576000</v>
      </c>
      <c r="U9" s="180" t="s">
        <v>201</v>
      </c>
      <c r="V9" s="179">
        <v>4064000</v>
      </c>
      <c r="W9" s="179">
        <f>SUM(R9:V9)</f>
        <v>23498500</v>
      </c>
      <c r="X9" s="300"/>
      <c r="Y9" s="300"/>
    </row>
    <row r="10" spans="1:25" ht="21.75" customHeight="1" x14ac:dyDescent="0.25">
      <c r="A10" s="139">
        <v>32</v>
      </c>
      <c r="B10" s="142" t="s">
        <v>28</v>
      </c>
      <c r="C10" s="142" t="s">
        <v>51</v>
      </c>
      <c r="D10" s="139">
        <v>1993</v>
      </c>
      <c r="E10" s="139">
        <v>2022</v>
      </c>
      <c r="F10" s="139">
        <f t="shared" si="0"/>
        <v>29</v>
      </c>
      <c r="G10" s="189">
        <f>1700000+50000+25000+25000+15000</f>
        <v>1815000</v>
      </c>
      <c r="H10" s="189">
        <v>2025000</v>
      </c>
      <c r="I10" s="192">
        <f>H10-G10</f>
        <v>210000</v>
      </c>
      <c r="J10" s="192"/>
      <c r="K10" s="161">
        <v>1</v>
      </c>
      <c r="L10" s="165" t="s">
        <v>4</v>
      </c>
      <c r="M10" s="165" t="s">
        <v>195</v>
      </c>
      <c r="N10" s="166">
        <v>2006</v>
      </c>
      <c r="O10" s="161">
        <v>2022</v>
      </c>
      <c r="P10" s="161">
        <f>O10-N10</f>
        <v>16</v>
      </c>
      <c r="Q10" s="163">
        <v>3995000</v>
      </c>
      <c r="R10" s="164">
        <v>1000000</v>
      </c>
      <c r="S10" s="164">
        <f>(Q10/$M$6)*$S$9</f>
        <v>412608.70485178049</v>
      </c>
      <c r="T10" s="164">
        <f>(Q10/$M$4)*$T$9</f>
        <v>288735.64519323665</v>
      </c>
      <c r="U10" s="168">
        <v>10</v>
      </c>
      <c r="V10" s="164">
        <f t="shared" ref="V10:V22" si="1">(U10/$U$64)*$V$9</f>
        <v>303283.58208955219</v>
      </c>
      <c r="W10" s="164">
        <f>R10+S10+T10+V10</f>
        <v>2004627.9321345694</v>
      </c>
      <c r="X10" s="164">
        <f>ROUND(W10,-3)</f>
        <v>2005000</v>
      </c>
      <c r="Y10" s="196">
        <v>1</v>
      </c>
    </row>
    <row r="11" spans="1:25" ht="21.75" customHeight="1" x14ac:dyDescent="0.25">
      <c r="A11" s="139">
        <v>14</v>
      </c>
      <c r="B11" s="142" t="s">
        <v>15</v>
      </c>
      <c r="C11" s="142" t="s">
        <v>51</v>
      </c>
      <c r="D11" s="139">
        <v>1996</v>
      </c>
      <c r="E11" s="139">
        <v>2022</v>
      </c>
      <c r="F11" s="139">
        <f t="shared" si="0"/>
        <v>26</v>
      </c>
      <c r="G11" s="145">
        <v>1450000</v>
      </c>
      <c r="K11" s="161">
        <v>2</v>
      </c>
      <c r="L11" s="165" t="s">
        <v>5</v>
      </c>
      <c r="M11" s="165" t="s">
        <v>195</v>
      </c>
      <c r="N11" s="166">
        <v>1998</v>
      </c>
      <c r="O11" s="161">
        <v>2022</v>
      </c>
      <c r="P11" s="161">
        <f>O11-N11</f>
        <v>24</v>
      </c>
      <c r="Q11" s="163">
        <v>3654500</v>
      </c>
      <c r="R11" s="164">
        <v>950000</v>
      </c>
      <c r="S11" s="164">
        <f t="shared" ref="S11:S16" si="2">(Q11/$M$6)*$S$9</f>
        <v>377441.42975740472</v>
      </c>
      <c r="T11" s="164">
        <f t="shared" ref="T11:T15" si="3">(Q11/$M$4)*$T$9</f>
        <v>264126.2616667542</v>
      </c>
      <c r="U11" s="168">
        <v>8</v>
      </c>
      <c r="V11" s="164">
        <f t="shared" si="1"/>
        <v>242626.86567164178</v>
      </c>
      <c r="W11" s="164">
        <f t="shared" ref="W11:W63" si="4">R11+S11+T11+V11</f>
        <v>1834194.5570958005</v>
      </c>
      <c r="X11" s="164">
        <f>ROUND(W11,-3)-3500</f>
        <v>1830500</v>
      </c>
      <c r="Y11" s="197">
        <v>2</v>
      </c>
    </row>
    <row r="12" spans="1:25" ht="21.75" customHeight="1" x14ac:dyDescent="0.25">
      <c r="A12" s="139">
        <v>33</v>
      </c>
      <c r="B12" s="142" t="s">
        <v>29</v>
      </c>
      <c r="C12" s="142" t="s">
        <v>51</v>
      </c>
      <c r="D12" s="143">
        <v>1996</v>
      </c>
      <c r="E12" s="139">
        <v>2022</v>
      </c>
      <c r="F12" s="139">
        <f t="shared" si="0"/>
        <v>26</v>
      </c>
      <c r="G12" s="145">
        <v>1500000</v>
      </c>
      <c r="K12" s="161">
        <v>3</v>
      </c>
      <c r="L12" s="165" t="s">
        <v>6</v>
      </c>
      <c r="M12" s="165" t="s">
        <v>195</v>
      </c>
      <c r="N12" s="166">
        <v>1992</v>
      </c>
      <c r="O12" s="161">
        <v>2022</v>
      </c>
      <c r="P12" s="161">
        <f>O12-N12</f>
        <v>30</v>
      </c>
      <c r="Q12" s="163">
        <v>3929500</v>
      </c>
      <c r="R12" s="164">
        <v>850000</v>
      </c>
      <c r="S12" s="164">
        <f t="shared" si="2"/>
        <v>405843.78115521191</v>
      </c>
      <c r="T12" s="164">
        <f t="shared" si="3"/>
        <v>284001.68154864165</v>
      </c>
      <c r="U12" s="168">
        <v>8</v>
      </c>
      <c r="V12" s="164">
        <f t="shared" si="1"/>
        <v>242626.86567164178</v>
      </c>
      <c r="W12" s="164">
        <f t="shared" si="4"/>
        <v>1782472.328375495</v>
      </c>
      <c r="X12" s="164">
        <f t="shared" ref="X12:X63" si="5">ROUND(W12,-3)</f>
        <v>1782000</v>
      </c>
      <c r="Y12" s="196">
        <v>3</v>
      </c>
    </row>
    <row r="13" spans="1:25" ht="21.75" customHeight="1" x14ac:dyDescent="0.25">
      <c r="A13" s="139">
        <v>2</v>
      </c>
      <c r="B13" s="140" t="s">
        <v>5</v>
      </c>
      <c r="C13" s="140" t="s">
        <v>195</v>
      </c>
      <c r="D13" s="141">
        <v>1998</v>
      </c>
      <c r="E13" s="139">
        <v>2022</v>
      </c>
      <c r="F13" s="139">
        <f t="shared" si="0"/>
        <v>24</v>
      </c>
      <c r="G13" s="145">
        <v>3654500</v>
      </c>
      <c r="K13" s="161">
        <v>4</v>
      </c>
      <c r="L13" s="165" t="s">
        <v>166</v>
      </c>
      <c r="M13" s="165" t="s">
        <v>195</v>
      </c>
      <c r="N13" s="166">
        <v>2007</v>
      </c>
      <c r="O13" s="161">
        <v>2022</v>
      </c>
      <c r="P13" s="161">
        <f>O13-N13</f>
        <v>15</v>
      </c>
      <c r="Q13" s="163">
        <v>3472000</v>
      </c>
      <c r="R13" s="164">
        <v>900000</v>
      </c>
      <c r="S13" s="164">
        <f t="shared" si="2"/>
        <v>358592.59655704186</v>
      </c>
      <c r="T13" s="164">
        <f t="shared" si="3"/>
        <v>250936.2102905926</v>
      </c>
      <c r="U13" s="168">
        <v>8</v>
      </c>
      <c r="V13" s="164">
        <f t="shared" si="1"/>
        <v>242626.86567164178</v>
      </c>
      <c r="W13" s="164">
        <f t="shared" si="4"/>
        <v>1752155.6725192764</v>
      </c>
      <c r="X13" s="164">
        <f t="shared" si="5"/>
        <v>1752000</v>
      </c>
      <c r="Y13" s="197">
        <v>4</v>
      </c>
    </row>
    <row r="14" spans="1:25" ht="21.75" customHeight="1" x14ac:dyDescent="0.25">
      <c r="A14" s="139">
        <v>34</v>
      </c>
      <c r="B14" s="142" t="s">
        <v>30</v>
      </c>
      <c r="C14" s="142" t="s">
        <v>51</v>
      </c>
      <c r="D14" s="139">
        <v>1999</v>
      </c>
      <c r="E14" s="139">
        <v>2022</v>
      </c>
      <c r="F14" s="139">
        <f t="shared" si="0"/>
        <v>23</v>
      </c>
      <c r="G14" s="145">
        <v>1340000</v>
      </c>
      <c r="K14" s="161">
        <v>5</v>
      </c>
      <c r="L14" s="165" t="s">
        <v>8</v>
      </c>
      <c r="M14" s="165" t="s">
        <v>195</v>
      </c>
      <c r="N14" s="166">
        <v>2012</v>
      </c>
      <c r="O14" s="161">
        <v>2022</v>
      </c>
      <c r="P14" s="161">
        <v>11</v>
      </c>
      <c r="Q14" s="163">
        <v>3460000</v>
      </c>
      <c r="R14" s="164">
        <v>900000</v>
      </c>
      <c r="S14" s="164">
        <f t="shared" si="2"/>
        <v>357353.2212233193</v>
      </c>
      <c r="T14" s="164">
        <f t="shared" si="3"/>
        <v>250068.91924120116</v>
      </c>
      <c r="U14" s="168">
        <v>8</v>
      </c>
      <c r="V14" s="164">
        <f t="shared" si="1"/>
        <v>242626.86567164178</v>
      </c>
      <c r="W14" s="164">
        <f t="shared" si="4"/>
        <v>1750049.0061361622</v>
      </c>
      <c r="X14" s="164">
        <f t="shared" si="5"/>
        <v>1750000</v>
      </c>
      <c r="Y14" s="196">
        <v>5</v>
      </c>
    </row>
    <row r="15" spans="1:25" ht="21.75" customHeight="1" x14ac:dyDescent="0.25">
      <c r="A15" s="139">
        <v>35</v>
      </c>
      <c r="B15" s="142" t="s">
        <v>31</v>
      </c>
      <c r="C15" s="142" t="s">
        <v>51</v>
      </c>
      <c r="D15" s="139">
        <v>2000</v>
      </c>
      <c r="E15" s="139">
        <v>2022</v>
      </c>
      <c r="F15" s="139">
        <f t="shared" si="0"/>
        <v>22</v>
      </c>
      <c r="G15" s="145">
        <v>1497500</v>
      </c>
      <c r="K15" s="161">
        <v>6</v>
      </c>
      <c r="L15" s="162" t="s">
        <v>10</v>
      </c>
      <c r="M15" s="165" t="s">
        <v>195</v>
      </c>
      <c r="N15" s="166">
        <v>2007</v>
      </c>
      <c r="O15" s="161">
        <v>2022</v>
      </c>
      <c r="P15" s="161">
        <f t="shared" ref="P15:P57" si="6">O15-N15</f>
        <v>15</v>
      </c>
      <c r="Q15" s="163">
        <f>G28</f>
        <v>2265000</v>
      </c>
      <c r="R15" s="164"/>
      <c r="S15" s="164">
        <f t="shared" si="2"/>
        <v>233932.09424012087</v>
      </c>
      <c r="T15" s="164">
        <f t="shared" si="3"/>
        <v>163701.18557263602</v>
      </c>
      <c r="U15" s="168">
        <v>6</v>
      </c>
      <c r="V15" s="164">
        <f t="shared" si="1"/>
        <v>181970.14925373133</v>
      </c>
      <c r="W15" s="164">
        <f t="shared" si="4"/>
        <v>579603.42906648829</v>
      </c>
      <c r="X15" s="164">
        <f t="shared" si="5"/>
        <v>580000</v>
      </c>
      <c r="Y15" s="197">
        <v>6</v>
      </c>
    </row>
    <row r="16" spans="1:25" ht="21.75" customHeight="1" x14ac:dyDescent="0.25">
      <c r="A16" s="139">
        <v>36</v>
      </c>
      <c r="B16" s="142" t="s">
        <v>32</v>
      </c>
      <c r="C16" s="142" t="s">
        <v>51</v>
      </c>
      <c r="D16" s="139">
        <v>2000</v>
      </c>
      <c r="E16" s="139">
        <v>2022</v>
      </c>
      <c r="F16" s="139">
        <f t="shared" si="0"/>
        <v>22</v>
      </c>
      <c r="G16" s="145">
        <v>1371000</v>
      </c>
      <c r="K16" s="161">
        <v>7</v>
      </c>
      <c r="L16" s="162" t="s">
        <v>43</v>
      </c>
      <c r="M16" s="165" t="s">
        <v>195</v>
      </c>
      <c r="N16" s="166">
        <v>2021</v>
      </c>
      <c r="O16" s="161">
        <v>2022</v>
      </c>
      <c r="P16" s="161">
        <f t="shared" si="6"/>
        <v>1</v>
      </c>
      <c r="Q16" s="163">
        <v>1814000</v>
      </c>
      <c r="R16" s="164"/>
      <c r="S16" s="164">
        <f t="shared" si="2"/>
        <v>187352.23794771713</v>
      </c>
      <c r="T16" s="164">
        <v>0</v>
      </c>
      <c r="U16" s="168">
        <v>6</v>
      </c>
      <c r="V16" s="164">
        <f t="shared" si="1"/>
        <v>181970.14925373133</v>
      </c>
      <c r="W16" s="164">
        <f t="shared" si="4"/>
        <v>369322.38720144844</v>
      </c>
      <c r="X16" s="164">
        <f t="shared" si="5"/>
        <v>369000</v>
      </c>
      <c r="Y16" s="196">
        <v>7</v>
      </c>
    </row>
    <row r="17" spans="1:25" ht="21.75" customHeight="1" x14ac:dyDescent="0.25">
      <c r="A17" s="139">
        <v>15</v>
      </c>
      <c r="B17" s="142" t="s">
        <v>16</v>
      </c>
      <c r="C17" s="142" t="s">
        <v>51</v>
      </c>
      <c r="D17" s="139">
        <v>2001</v>
      </c>
      <c r="E17" s="139">
        <v>2022</v>
      </c>
      <c r="F17" s="139">
        <f t="shared" si="0"/>
        <v>21</v>
      </c>
      <c r="G17" s="145">
        <v>1287000</v>
      </c>
      <c r="K17" s="161">
        <v>8</v>
      </c>
      <c r="L17" s="162" t="s">
        <v>197</v>
      </c>
      <c r="M17" s="165" t="s">
        <v>195</v>
      </c>
      <c r="N17" s="166">
        <v>1997</v>
      </c>
      <c r="O17" s="161">
        <v>2022</v>
      </c>
      <c r="P17" s="161">
        <f t="shared" si="6"/>
        <v>25</v>
      </c>
      <c r="Q17" s="163">
        <v>2433500</v>
      </c>
      <c r="R17" s="164">
        <v>750000</v>
      </c>
      <c r="S17" s="169"/>
      <c r="T17" s="169"/>
      <c r="U17" s="171"/>
      <c r="V17" s="169">
        <f t="shared" si="1"/>
        <v>0</v>
      </c>
      <c r="W17" s="164">
        <f t="shared" si="4"/>
        <v>750000</v>
      </c>
      <c r="X17" s="164">
        <f t="shared" si="5"/>
        <v>750000</v>
      </c>
      <c r="Y17" s="197">
        <v>8</v>
      </c>
    </row>
    <row r="18" spans="1:25" ht="21.75" customHeight="1" x14ac:dyDescent="0.25">
      <c r="A18" s="139">
        <v>37</v>
      </c>
      <c r="B18" s="142" t="s">
        <v>33</v>
      </c>
      <c r="C18" s="142" t="s">
        <v>51</v>
      </c>
      <c r="D18" s="139">
        <v>2001</v>
      </c>
      <c r="E18" s="139">
        <v>2022</v>
      </c>
      <c r="F18" s="139">
        <f t="shared" si="0"/>
        <v>21</v>
      </c>
      <c r="G18" s="145">
        <v>1611750</v>
      </c>
      <c r="K18" s="161">
        <v>9</v>
      </c>
      <c r="L18" s="165" t="s">
        <v>12</v>
      </c>
      <c r="M18" s="165" t="s">
        <v>195</v>
      </c>
      <c r="N18" s="166">
        <v>1992</v>
      </c>
      <c r="O18" s="161">
        <v>2022</v>
      </c>
      <c r="P18" s="161">
        <f t="shared" si="6"/>
        <v>30</v>
      </c>
      <c r="Q18" s="163">
        <v>1742000</v>
      </c>
      <c r="R18" s="164">
        <v>585000</v>
      </c>
      <c r="S18" s="169"/>
      <c r="T18" s="169"/>
      <c r="U18" s="171"/>
      <c r="V18" s="169">
        <f t="shared" si="1"/>
        <v>0</v>
      </c>
      <c r="W18" s="164">
        <f t="shared" si="4"/>
        <v>585000</v>
      </c>
      <c r="X18" s="164">
        <f t="shared" si="5"/>
        <v>585000</v>
      </c>
      <c r="Y18" s="196">
        <v>9</v>
      </c>
    </row>
    <row r="19" spans="1:25" ht="21.75" customHeight="1" x14ac:dyDescent="0.25">
      <c r="A19" s="139">
        <v>16</v>
      </c>
      <c r="B19" s="142" t="s">
        <v>17</v>
      </c>
      <c r="C19" s="142" t="s">
        <v>51</v>
      </c>
      <c r="D19" s="139">
        <v>2004</v>
      </c>
      <c r="E19" s="139">
        <v>2022</v>
      </c>
      <c r="F19" s="139">
        <f t="shared" si="0"/>
        <v>18</v>
      </c>
      <c r="G19" s="189">
        <f>1000000+50000+25000+25000</f>
        <v>1100000</v>
      </c>
      <c r="H19" s="189">
        <v>1278000</v>
      </c>
      <c r="I19" s="192">
        <f>H19-G19</f>
        <v>178000</v>
      </c>
      <c r="J19" s="192"/>
      <c r="K19" s="161">
        <v>10</v>
      </c>
      <c r="L19" s="165" t="s">
        <v>49</v>
      </c>
      <c r="M19" s="165" t="s">
        <v>195</v>
      </c>
      <c r="N19" s="166">
        <v>1992</v>
      </c>
      <c r="O19" s="161">
        <v>2022</v>
      </c>
      <c r="P19" s="161">
        <f t="shared" si="6"/>
        <v>30</v>
      </c>
      <c r="Q19" s="163">
        <v>1742000</v>
      </c>
      <c r="R19" s="164">
        <v>585000</v>
      </c>
      <c r="S19" s="169"/>
      <c r="T19" s="169"/>
      <c r="U19" s="171"/>
      <c r="V19" s="169">
        <f t="shared" si="1"/>
        <v>0</v>
      </c>
      <c r="W19" s="164">
        <f t="shared" si="4"/>
        <v>585000</v>
      </c>
      <c r="X19" s="164">
        <f t="shared" si="5"/>
        <v>585000</v>
      </c>
      <c r="Y19" s="197">
        <v>10</v>
      </c>
    </row>
    <row r="20" spans="1:25" ht="21.75" customHeight="1" x14ac:dyDescent="0.25">
      <c r="A20" s="139">
        <v>38</v>
      </c>
      <c r="B20" s="142" t="s">
        <v>34</v>
      </c>
      <c r="C20" s="142" t="s">
        <v>51</v>
      </c>
      <c r="D20" s="139">
        <v>2004</v>
      </c>
      <c r="E20" s="139">
        <v>2022</v>
      </c>
      <c r="F20" s="139">
        <f t="shared" si="0"/>
        <v>18</v>
      </c>
      <c r="G20" s="189">
        <f>1800000+50000+25000+25000+10000</f>
        <v>1910000</v>
      </c>
      <c r="H20" s="189">
        <v>2054250</v>
      </c>
      <c r="I20" s="192">
        <f>H20-G20</f>
        <v>144250</v>
      </c>
      <c r="J20" s="192"/>
      <c r="K20" s="161">
        <v>11</v>
      </c>
      <c r="L20" s="165" t="s">
        <v>60</v>
      </c>
      <c r="M20" s="165" t="s">
        <v>195</v>
      </c>
      <c r="N20" s="166">
        <v>2017</v>
      </c>
      <c r="O20" s="161">
        <v>2022</v>
      </c>
      <c r="P20" s="161">
        <f t="shared" si="6"/>
        <v>5</v>
      </c>
      <c r="Q20" s="163">
        <v>1729500</v>
      </c>
      <c r="R20" s="164">
        <v>599000</v>
      </c>
      <c r="S20" s="169"/>
      <c r="T20" s="169"/>
      <c r="U20" s="171"/>
      <c r="V20" s="169">
        <f t="shared" si="1"/>
        <v>0</v>
      </c>
      <c r="W20" s="164">
        <f t="shared" si="4"/>
        <v>599000</v>
      </c>
      <c r="X20" s="164">
        <f t="shared" si="5"/>
        <v>599000</v>
      </c>
      <c r="Y20" s="196">
        <v>11</v>
      </c>
    </row>
    <row r="21" spans="1:25" ht="21.75" customHeight="1" x14ac:dyDescent="0.25">
      <c r="A21" s="139">
        <v>51</v>
      </c>
      <c r="B21" s="140" t="s">
        <v>175</v>
      </c>
      <c r="C21" s="140" t="s">
        <v>200</v>
      </c>
      <c r="D21" s="141">
        <v>2004</v>
      </c>
      <c r="E21" s="139">
        <v>2022</v>
      </c>
      <c r="F21" s="139">
        <f t="shared" si="0"/>
        <v>18</v>
      </c>
      <c r="G21" s="145">
        <f>913800-100000</f>
        <v>813800</v>
      </c>
      <c r="H21" s="145">
        <v>913800</v>
      </c>
      <c r="K21" s="161">
        <v>12</v>
      </c>
      <c r="L21" s="165" t="s">
        <v>13</v>
      </c>
      <c r="M21" s="165" t="s">
        <v>195</v>
      </c>
      <c r="N21" s="166">
        <v>2002</v>
      </c>
      <c r="O21" s="161">
        <v>2022</v>
      </c>
      <c r="P21" s="161">
        <f t="shared" si="6"/>
        <v>20</v>
      </c>
      <c r="Q21" s="163">
        <v>1891000</v>
      </c>
      <c r="R21" s="164">
        <v>120000</v>
      </c>
      <c r="S21" s="169"/>
      <c r="T21" s="169"/>
      <c r="U21" s="171"/>
      <c r="V21" s="169">
        <f t="shared" si="1"/>
        <v>0</v>
      </c>
      <c r="W21" s="164">
        <f t="shared" si="4"/>
        <v>120000</v>
      </c>
      <c r="X21" s="164">
        <f t="shared" si="5"/>
        <v>120000</v>
      </c>
      <c r="Y21" s="197">
        <v>12</v>
      </c>
    </row>
    <row r="22" spans="1:25" ht="21.75" customHeight="1" x14ac:dyDescent="0.25">
      <c r="A22" s="139">
        <v>39</v>
      </c>
      <c r="B22" s="142" t="s">
        <v>35</v>
      </c>
      <c r="C22" s="142" t="s">
        <v>51</v>
      </c>
      <c r="D22" s="139">
        <v>2005</v>
      </c>
      <c r="E22" s="139">
        <v>2022</v>
      </c>
      <c r="F22" s="139">
        <f t="shared" si="0"/>
        <v>17</v>
      </c>
      <c r="G22" s="145">
        <v>1218500</v>
      </c>
      <c r="K22" s="161">
        <v>13</v>
      </c>
      <c r="L22" s="165" t="s">
        <v>163</v>
      </c>
      <c r="M22" s="165" t="s">
        <v>208</v>
      </c>
      <c r="N22" s="166">
        <v>2022</v>
      </c>
      <c r="O22" s="161">
        <v>2022</v>
      </c>
      <c r="P22" s="161">
        <f t="shared" si="6"/>
        <v>0</v>
      </c>
      <c r="Q22" s="163">
        <v>1617000</v>
      </c>
      <c r="R22" s="164">
        <v>321500</v>
      </c>
      <c r="S22" s="169"/>
      <c r="T22" s="169"/>
      <c r="U22" s="171"/>
      <c r="V22" s="169">
        <f t="shared" si="1"/>
        <v>0</v>
      </c>
      <c r="W22" s="164">
        <f t="shared" si="4"/>
        <v>321500</v>
      </c>
      <c r="X22" s="164">
        <f t="shared" si="5"/>
        <v>322000</v>
      </c>
      <c r="Y22" s="196">
        <v>13</v>
      </c>
    </row>
    <row r="23" spans="1:25" ht="21.75" customHeight="1" x14ac:dyDescent="0.25">
      <c r="A23" s="139">
        <v>40</v>
      </c>
      <c r="B23" s="142" t="s">
        <v>36</v>
      </c>
      <c r="C23" s="142" t="s">
        <v>51</v>
      </c>
      <c r="D23" s="139">
        <v>2005</v>
      </c>
      <c r="E23" s="139">
        <v>2022</v>
      </c>
      <c r="F23" s="139">
        <f t="shared" si="0"/>
        <v>17</v>
      </c>
      <c r="G23" s="189">
        <f>1800000+I24+50000+25000</f>
        <v>2125000</v>
      </c>
      <c r="H23" s="189">
        <v>2386000</v>
      </c>
      <c r="I23" s="192">
        <f>H23-G23</f>
        <v>261000</v>
      </c>
      <c r="J23" s="192"/>
      <c r="K23" s="161">
        <v>14</v>
      </c>
      <c r="L23" s="140" t="s">
        <v>98</v>
      </c>
      <c r="M23" s="165" t="s">
        <v>97</v>
      </c>
      <c r="N23" s="161">
        <v>1996</v>
      </c>
      <c r="O23" s="161">
        <v>2022</v>
      </c>
      <c r="P23" s="161">
        <f t="shared" si="6"/>
        <v>26</v>
      </c>
      <c r="Q23" s="183">
        <v>1672000</v>
      </c>
      <c r="R23" s="164"/>
      <c r="S23" s="164">
        <f t="shared" ref="S23:S63" si="7">(Q23/$M$6)*$S$9</f>
        <v>172686.29649866762</v>
      </c>
      <c r="T23" s="169"/>
      <c r="U23" s="171"/>
      <c r="V23" s="169"/>
      <c r="W23" s="164">
        <f t="shared" si="4"/>
        <v>172686.29649866762</v>
      </c>
      <c r="X23" s="164">
        <f t="shared" si="5"/>
        <v>173000</v>
      </c>
      <c r="Y23" s="197">
        <v>14</v>
      </c>
    </row>
    <row r="24" spans="1:25" ht="21.75" customHeight="1" x14ac:dyDescent="0.25">
      <c r="A24" s="139">
        <v>1</v>
      </c>
      <c r="B24" s="140" t="s">
        <v>4</v>
      </c>
      <c r="C24" s="140" t="s">
        <v>195</v>
      </c>
      <c r="D24" s="141">
        <v>2006</v>
      </c>
      <c r="E24" s="139">
        <v>2022</v>
      </c>
      <c r="F24" s="139">
        <f t="shared" si="0"/>
        <v>16</v>
      </c>
      <c r="G24" s="145">
        <v>3995000</v>
      </c>
      <c r="I24" s="158">
        <v>250000</v>
      </c>
      <c r="K24" s="161">
        <v>15</v>
      </c>
      <c r="L24" s="162" t="s">
        <v>15</v>
      </c>
      <c r="M24" s="162" t="s">
        <v>51</v>
      </c>
      <c r="N24" s="161">
        <v>1996</v>
      </c>
      <c r="O24" s="161">
        <v>2022</v>
      </c>
      <c r="P24" s="161">
        <f t="shared" si="6"/>
        <v>26</v>
      </c>
      <c r="Q24" s="163">
        <v>1450000</v>
      </c>
      <c r="R24" s="164"/>
      <c r="S24" s="164">
        <f t="shared" si="7"/>
        <v>149757.85282480143</v>
      </c>
      <c r="T24" s="164">
        <f t="shared" ref="T24:T27" si="8">(Q24/$M$4)*$T$9</f>
        <v>104797.66846813344</v>
      </c>
      <c r="U24" s="168"/>
      <c r="V24" s="164">
        <f t="shared" ref="V24:V57" si="9">(U24/$U$64)*$V$9</f>
        <v>0</v>
      </c>
      <c r="W24" s="164">
        <f t="shared" si="4"/>
        <v>254555.52129293489</v>
      </c>
      <c r="X24" s="164">
        <f t="shared" si="5"/>
        <v>255000</v>
      </c>
      <c r="Y24" s="196">
        <v>15</v>
      </c>
    </row>
    <row r="25" spans="1:25" ht="21.75" customHeight="1" x14ac:dyDescent="0.25">
      <c r="A25" s="139">
        <v>41</v>
      </c>
      <c r="B25" s="142" t="s">
        <v>37</v>
      </c>
      <c r="C25" s="142" t="s">
        <v>51</v>
      </c>
      <c r="D25" s="139">
        <v>2006</v>
      </c>
      <c r="E25" s="139">
        <v>2022</v>
      </c>
      <c r="F25" s="139">
        <f t="shared" si="0"/>
        <v>16</v>
      </c>
      <c r="G25" s="145">
        <v>1552000</v>
      </c>
      <c r="K25" s="161">
        <v>16</v>
      </c>
      <c r="L25" s="162" t="s">
        <v>16</v>
      </c>
      <c r="M25" s="162" t="s">
        <v>51</v>
      </c>
      <c r="N25" s="161">
        <v>2001</v>
      </c>
      <c r="O25" s="161">
        <v>2022</v>
      </c>
      <c r="P25" s="161">
        <f t="shared" si="6"/>
        <v>21</v>
      </c>
      <c r="Q25" s="163">
        <v>1287000</v>
      </c>
      <c r="R25" s="164"/>
      <c r="S25" s="164">
        <f t="shared" si="7"/>
        <v>132923.00454173755</v>
      </c>
      <c r="T25" s="164">
        <f t="shared" si="8"/>
        <v>93016.965047232923</v>
      </c>
      <c r="U25" s="168"/>
      <c r="V25" s="164">
        <f t="shared" si="9"/>
        <v>0</v>
      </c>
      <c r="W25" s="164">
        <f t="shared" si="4"/>
        <v>225939.96958897047</v>
      </c>
      <c r="X25" s="164">
        <f t="shared" si="5"/>
        <v>226000</v>
      </c>
      <c r="Y25" s="197">
        <v>16</v>
      </c>
    </row>
    <row r="26" spans="1:25" ht="21.75" customHeight="1" x14ac:dyDescent="0.25">
      <c r="A26" s="139">
        <v>52</v>
      </c>
      <c r="B26" s="140" t="s">
        <v>176</v>
      </c>
      <c r="C26" s="140" t="s">
        <v>200</v>
      </c>
      <c r="D26" s="141">
        <v>2006</v>
      </c>
      <c r="E26" s="139">
        <v>2022</v>
      </c>
      <c r="F26" s="139">
        <f t="shared" si="0"/>
        <v>16</v>
      </c>
      <c r="G26" s="194">
        <f>H26-I30-46000-100000</f>
        <v>900250</v>
      </c>
      <c r="H26" s="194">
        <v>1293000</v>
      </c>
      <c r="K26" s="161">
        <v>17</v>
      </c>
      <c r="L26" s="162" t="s">
        <v>17</v>
      </c>
      <c r="M26" s="162" t="s">
        <v>51</v>
      </c>
      <c r="N26" s="161">
        <v>2004</v>
      </c>
      <c r="O26" s="161">
        <v>2022</v>
      </c>
      <c r="P26" s="161">
        <f t="shared" si="6"/>
        <v>18</v>
      </c>
      <c r="Q26" s="163">
        <f>G19</f>
        <v>1100000</v>
      </c>
      <c r="R26" s="164"/>
      <c r="S26" s="164">
        <f t="shared" si="7"/>
        <v>113609.40559122867</v>
      </c>
      <c r="T26" s="164">
        <f t="shared" si="8"/>
        <v>79501.67952754951</v>
      </c>
      <c r="U26" s="168"/>
      <c r="V26" s="164">
        <f t="shared" si="9"/>
        <v>0</v>
      </c>
      <c r="W26" s="190">
        <f t="shared" si="4"/>
        <v>193111.08511877817</v>
      </c>
      <c r="X26" s="164">
        <f t="shared" si="5"/>
        <v>193000</v>
      </c>
      <c r="Y26" s="196">
        <v>17</v>
      </c>
    </row>
    <row r="27" spans="1:25" ht="21.75" customHeight="1" x14ac:dyDescent="0.25">
      <c r="A27" s="139">
        <v>4</v>
      </c>
      <c r="B27" s="140" t="s">
        <v>166</v>
      </c>
      <c r="C27" s="140" t="s">
        <v>195</v>
      </c>
      <c r="D27" s="141">
        <v>2007</v>
      </c>
      <c r="E27" s="139">
        <v>2022</v>
      </c>
      <c r="F27" s="139">
        <f t="shared" si="0"/>
        <v>15</v>
      </c>
      <c r="G27" s="145">
        <v>3472000</v>
      </c>
      <c r="K27" s="161">
        <v>18</v>
      </c>
      <c r="L27" s="162" t="s">
        <v>19</v>
      </c>
      <c r="M27" s="162" t="s">
        <v>51</v>
      </c>
      <c r="N27" s="161">
        <v>2010</v>
      </c>
      <c r="O27" s="161">
        <v>2022</v>
      </c>
      <c r="P27" s="161">
        <f t="shared" si="6"/>
        <v>12</v>
      </c>
      <c r="Q27" s="191">
        <f>G34</f>
        <v>670000</v>
      </c>
      <c r="R27" s="164"/>
      <c r="S27" s="164">
        <f t="shared" si="7"/>
        <v>69198.456132839288</v>
      </c>
      <c r="T27" s="164">
        <f t="shared" si="8"/>
        <v>48423.750257689244</v>
      </c>
      <c r="U27" s="168"/>
      <c r="V27" s="164">
        <f t="shared" si="9"/>
        <v>0</v>
      </c>
      <c r="W27" s="184">
        <f t="shared" si="4"/>
        <v>117622.20639052853</v>
      </c>
      <c r="X27" s="164">
        <f t="shared" si="5"/>
        <v>118000</v>
      </c>
      <c r="Y27" s="197">
        <v>18</v>
      </c>
    </row>
    <row r="28" spans="1:25" ht="21.75" customHeight="1" x14ac:dyDescent="0.25">
      <c r="A28" s="139">
        <v>6</v>
      </c>
      <c r="B28" s="142" t="s">
        <v>10</v>
      </c>
      <c r="C28" s="140" t="s">
        <v>195</v>
      </c>
      <c r="D28" s="141">
        <v>2007</v>
      </c>
      <c r="E28" s="139">
        <v>2022</v>
      </c>
      <c r="F28" s="139">
        <f t="shared" si="0"/>
        <v>15</v>
      </c>
      <c r="G28" s="145">
        <v>2265000</v>
      </c>
      <c r="H28" s="145"/>
      <c r="I28" s="195"/>
      <c r="J28" s="195"/>
      <c r="K28" s="161">
        <v>19</v>
      </c>
      <c r="L28" s="162" t="s">
        <v>20</v>
      </c>
      <c r="M28" s="162" t="s">
        <v>51</v>
      </c>
      <c r="N28" s="161">
        <v>2014</v>
      </c>
      <c r="O28" s="161">
        <v>2022</v>
      </c>
      <c r="P28" s="161">
        <f t="shared" si="6"/>
        <v>8</v>
      </c>
      <c r="Q28" s="163">
        <v>2449000</v>
      </c>
      <c r="R28" s="163"/>
      <c r="S28" s="164">
        <f t="shared" si="7"/>
        <v>252935.84935719913</v>
      </c>
      <c r="T28" s="164">
        <v>0</v>
      </c>
      <c r="U28" s="168">
        <v>5</v>
      </c>
      <c r="V28" s="164">
        <f t="shared" si="9"/>
        <v>151641.7910447761</v>
      </c>
      <c r="W28" s="164">
        <f t="shared" si="4"/>
        <v>404577.64040197525</v>
      </c>
      <c r="X28" s="164">
        <f t="shared" si="5"/>
        <v>405000</v>
      </c>
      <c r="Y28" s="196">
        <v>19</v>
      </c>
    </row>
    <row r="29" spans="1:25" ht="21.75" customHeight="1" x14ac:dyDescent="0.25">
      <c r="A29" s="139">
        <v>44</v>
      </c>
      <c r="B29" s="142" t="s">
        <v>40</v>
      </c>
      <c r="C29" s="142" t="s">
        <v>51</v>
      </c>
      <c r="D29" s="139">
        <v>2007</v>
      </c>
      <c r="E29" s="139">
        <v>2022</v>
      </c>
      <c r="F29" s="139">
        <f t="shared" si="0"/>
        <v>15</v>
      </c>
      <c r="G29" s="145">
        <v>1028500</v>
      </c>
      <c r="H29" s="158">
        <v>100000</v>
      </c>
      <c r="I29" s="160">
        <f>H33-250000</f>
        <v>1102000</v>
      </c>
      <c r="K29" s="161">
        <v>20</v>
      </c>
      <c r="L29" s="162" t="s">
        <v>21</v>
      </c>
      <c r="M29" s="162" t="s">
        <v>51</v>
      </c>
      <c r="N29" s="161">
        <v>2015</v>
      </c>
      <c r="O29" s="161">
        <v>2022</v>
      </c>
      <c r="P29" s="161">
        <f t="shared" si="6"/>
        <v>7</v>
      </c>
      <c r="Q29" s="163">
        <v>2085000</v>
      </c>
      <c r="R29" s="163"/>
      <c r="S29" s="164">
        <f t="shared" si="7"/>
        <v>215341.46423428346</v>
      </c>
      <c r="T29" s="164">
        <v>0</v>
      </c>
      <c r="U29" s="168">
        <v>5</v>
      </c>
      <c r="V29" s="164">
        <f t="shared" si="9"/>
        <v>151641.7910447761</v>
      </c>
      <c r="W29" s="164">
        <f t="shared" si="4"/>
        <v>366983.25527905952</v>
      </c>
      <c r="X29" s="164">
        <f t="shared" si="5"/>
        <v>367000</v>
      </c>
      <c r="Y29" s="197">
        <v>20</v>
      </c>
    </row>
    <row r="30" spans="1:25" ht="21.75" customHeight="1" x14ac:dyDescent="0.25">
      <c r="A30" s="139">
        <v>42</v>
      </c>
      <c r="B30" s="142" t="s">
        <v>38</v>
      </c>
      <c r="C30" s="142" t="s">
        <v>51</v>
      </c>
      <c r="D30" s="139">
        <v>2008</v>
      </c>
      <c r="E30" s="139">
        <v>2022</v>
      </c>
      <c r="F30" s="139">
        <f t="shared" si="0"/>
        <v>14</v>
      </c>
      <c r="G30" s="145">
        <v>1226100</v>
      </c>
      <c r="H30" s="158">
        <v>100000</v>
      </c>
      <c r="I30" s="160">
        <v>246750</v>
      </c>
      <c r="K30" s="161">
        <v>21</v>
      </c>
      <c r="L30" s="162" t="s">
        <v>22</v>
      </c>
      <c r="M30" s="162" t="s">
        <v>51</v>
      </c>
      <c r="N30" s="161">
        <v>2016</v>
      </c>
      <c r="O30" s="161">
        <v>2022</v>
      </c>
      <c r="P30" s="161">
        <f t="shared" si="6"/>
        <v>6</v>
      </c>
      <c r="Q30" s="163">
        <v>1535000</v>
      </c>
      <c r="R30" s="163"/>
      <c r="S30" s="164">
        <f t="shared" si="7"/>
        <v>158536.76143866914</v>
      </c>
      <c r="T30" s="164">
        <v>0</v>
      </c>
      <c r="U30" s="168">
        <v>5</v>
      </c>
      <c r="V30" s="164">
        <f t="shared" si="9"/>
        <v>151641.7910447761</v>
      </c>
      <c r="W30" s="164">
        <f t="shared" si="4"/>
        <v>310178.55248344527</v>
      </c>
      <c r="X30" s="164">
        <f t="shared" si="5"/>
        <v>310000</v>
      </c>
      <c r="Y30" s="196">
        <v>21</v>
      </c>
    </row>
    <row r="31" spans="1:25" ht="21.75" customHeight="1" x14ac:dyDescent="0.25">
      <c r="A31" s="139">
        <v>43</v>
      </c>
      <c r="B31" s="142" t="s">
        <v>39</v>
      </c>
      <c r="C31" s="142" t="s">
        <v>51</v>
      </c>
      <c r="D31" s="139">
        <v>2008</v>
      </c>
      <c r="E31" s="139">
        <v>2022</v>
      </c>
      <c r="F31" s="139">
        <f t="shared" si="0"/>
        <v>14</v>
      </c>
      <c r="G31" s="145">
        <v>1427800</v>
      </c>
      <c r="H31" s="158">
        <v>100000</v>
      </c>
      <c r="K31" s="161">
        <v>22</v>
      </c>
      <c r="L31" s="162" t="s">
        <v>23</v>
      </c>
      <c r="M31" s="162" t="s">
        <v>51</v>
      </c>
      <c r="N31" s="161">
        <v>2016</v>
      </c>
      <c r="O31" s="161">
        <v>2022</v>
      </c>
      <c r="P31" s="161">
        <f t="shared" si="6"/>
        <v>6</v>
      </c>
      <c r="Q31" s="163">
        <v>1135000</v>
      </c>
      <c r="R31" s="163"/>
      <c r="S31" s="164">
        <f t="shared" si="7"/>
        <v>117224.25031458595</v>
      </c>
      <c r="T31" s="164">
        <v>0</v>
      </c>
      <c r="U31" s="168">
        <v>5</v>
      </c>
      <c r="V31" s="164">
        <f t="shared" si="9"/>
        <v>151641.7910447761</v>
      </c>
      <c r="W31" s="164">
        <f t="shared" si="4"/>
        <v>268866.04135936208</v>
      </c>
      <c r="X31" s="164">
        <f t="shared" si="5"/>
        <v>269000</v>
      </c>
      <c r="Y31" s="197">
        <v>22</v>
      </c>
    </row>
    <row r="32" spans="1:25" ht="21.75" customHeight="1" x14ac:dyDescent="0.25">
      <c r="A32" s="139">
        <v>45</v>
      </c>
      <c r="B32" s="142" t="s">
        <v>18</v>
      </c>
      <c r="C32" s="142" t="s">
        <v>51</v>
      </c>
      <c r="D32" s="139">
        <v>2008</v>
      </c>
      <c r="E32" s="139">
        <v>2022</v>
      </c>
      <c r="F32" s="139">
        <f t="shared" si="0"/>
        <v>14</v>
      </c>
      <c r="G32" s="189">
        <f>1710000+46000+50000+25000+25000+50000+25000+25000</f>
        <v>1956000</v>
      </c>
      <c r="H32" s="189">
        <v>2175000</v>
      </c>
      <c r="I32" s="192">
        <f>H32-G32</f>
        <v>219000</v>
      </c>
      <c r="J32" s="192"/>
      <c r="K32" s="161">
        <v>23</v>
      </c>
      <c r="L32" s="162" t="s">
        <v>14</v>
      </c>
      <c r="M32" s="162" t="s">
        <v>51</v>
      </c>
      <c r="N32" s="161">
        <v>2015</v>
      </c>
      <c r="O32" s="161">
        <v>2022</v>
      </c>
      <c r="P32" s="161">
        <f t="shared" si="6"/>
        <v>7</v>
      </c>
      <c r="Q32" s="191">
        <f>G39</f>
        <v>1052000</v>
      </c>
      <c r="R32" s="163"/>
      <c r="S32" s="164">
        <f>(Q32/$M$6)*$S$9</f>
        <v>108651.9042563387</v>
      </c>
      <c r="T32" s="164">
        <v>0</v>
      </c>
      <c r="U32" s="168"/>
      <c r="V32" s="164">
        <f t="shared" si="9"/>
        <v>0</v>
      </c>
      <c r="W32" s="184">
        <f t="shared" si="4"/>
        <v>108651.9042563387</v>
      </c>
      <c r="X32" s="164">
        <f t="shared" si="5"/>
        <v>109000</v>
      </c>
      <c r="Y32" s="196">
        <v>23</v>
      </c>
    </row>
    <row r="33" spans="1:25" ht="21.75" customHeight="1" x14ac:dyDescent="0.25">
      <c r="A33" s="139">
        <v>53</v>
      </c>
      <c r="B33" s="140" t="s">
        <v>177</v>
      </c>
      <c r="C33" s="140" t="s">
        <v>200</v>
      </c>
      <c r="D33" s="141">
        <v>2008</v>
      </c>
      <c r="E33" s="139">
        <v>2022</v>
      </c>
      <c r="F33" s="139">
        <f t="shared" si="0"/>
        <v>14</v>
      </c>
      <c r="G33" s="194">
        <f>H33-350000-100000</f>
        <v>902000</v>
      </c>
      <c r="H33" s="194">
        <v>1352000</v>
      </c>
      <c r="J33" s="160"/>
      <c r="K33" s="161">
        <v>24</v>
      </c>
      <c r="L33" s="162" t="s">
        <v>24</v>
      </c>
      <c r="M33" s="162" t="s">
        <v>51</v>
      </c>
      <c r="N33" s="161">
        <v>2019</v>
      </c>
      <c r="O33" s="161">
        <v>2022</v>
      </c>
      <c r="P33" s="161">
        <f t="shared" si="6"/>
        <v>3</v>
      </c>
      <c r="Q33" s="163">
        <v>1037500</v>
      </c>
      <c r="R33" s="163"/>
      <c r="S33" s="164">
        <f t="shared" si="7"/>
        <v>107154.3257280907</v>
      </c>
      <c r="T33" s="164">
        <v>0</v>
      </c>
      <c r="U33" s="168"/>
      <c r="V33" s="164">
        <f t="shared" si="9"/>
        <v>0</v>
      </c>
      <c r="W33" s="164">
        <f t="shared" si="4"/>
        <v>107154.3257280907</v>
      </c>
      <c r="X33" s="164">
        <f t="shared" si="5"/>
        <v>107000</v>
      </c>
      <c r="Y33" s="197">
        <v>24</v>
      </c>
    </row>
    <row r="34" spans="1:25" ht="21.75" customHeight="1" x14ac:dyDescent="0.25">
      <c r="A34" s="139">
        <v>17</v>
      </c>
      <c r="B34" s="142" t="s">
        <v>19</v>
      </c>
      <c r="C34" s="142" t="s">
        <v>51</v>
      </c>
      <c r="D34" s="139">
        <v>2010</v>
      </c>
      <c r="E34" s="139">
        <v>2022</v>
      </c>
      <c r="F34" s="139">
        <f t="shared" si="0"/>
        <v>12</v>
      </c>
      <c r="G34" s="155">
        <f>J34</f>
        <v>670000</v>
      </c>
      <c r="H34" s="155">
        <v>420000</v>
      </c>
      <c r="I34" s="193">
        <v>250000</v>
      </c>
      <c r="J34" s="193">
        <f>H34+I34</f>
        <v>670000</v>
      </c>
      <c r="K34" s="161">
        <v>25</v>
      </c>
      <c r="L34" s="162" t="s">
        <v>25</v>
      </c>
      <c r="M34" s="162" t="s">
        <v>51</v>
      </c>
      <c r="N34" s="161">
        <v>2019</v>
      </c>
      <c r="O34" s="161">
        <v>2022</v>
      </c>
      <c r="P34" s="161">
        <f t="shared" si="6"/>
        <v>3</v>
      </c>
      <c r="Q34" s="191">
        <f>G43</f>
        <v>1053500</v>
      </c>
      <c r="R34" s="163"/>
      <c r="S34" s="164">
        <f t="shared" si="7"/>
        <v>108806.82617305401</v>
      </c>
      <c r="T34" s="164">
        <v>0</v>
      </c>
      <c r="U34" s="168"/>
      <c r="V34" s="164">
        <f t="shared" si="9"/>
        <v>0</v>
      </c>
      <c r="W34" s="184">
        <f t="shared" si="4"/>
        <v>108806.82617305401</v>
      </c>
      <c r="X34" s="164">
        <f t="shared" si="5"/>
        <v>109000</v>
      </c>
      <c r="Y34" s="196">
        <v>25</v>
      </c>
    </row>
    <row r="35" spans="1:25" ht="21.75" customHeight="1" x14ac:dyDescent="0.25">
      <c r="A35" s="139">
        <v>5</v>
      </c>
      <c r="B35" s="140" t="s">
        <v>8</v>
      </c>
      <c r="C35" s="140" t="s">
        <v>195</v>
      </c>
      <c r="D35" s="141">
        <v>2012</v>
      </c>
      <c r="E35" s="139">
        <v>2022</v>
      </c>
      <c r="F35" s="139">
        <v>11</v>
      </c>
      <c r="G35" s="145">
        <v>3460000</v>
      </c>
      <c r="H35" s="160">
        <f>SUM(H10:H33)-G10-G19-G20-G23-G26-G32-G33-G21</f>
        <v>2255000</v>
      </c>
      <c r="K35" s="161">
        <v>26</v>
      </c>
      <c r="L35" s="162" t="s">
        <v>68</v>
      </c>
      <c r="M35" s="162" t="s">
        <v>51</v>
      </c>
      <c r="N35" s="161">
        <v>2019</v>
      </c>
      <c r="O35" s="161">
        <v>2022</v>
      </c>
      <c r="P35" s="161">
        <f t="shared" si="6"/>
        <v>3</v>
      </c>
      <c r="Q35" s="191">
        <f>G44</f>
        <v>991000</v>
      </c>
      <c r="R35" s="163"/>
      <c r="S35" s="164">
        <f t="shared" si="7"/>
        <v>102351.74630991602</v>
      </c>
      <c r="T35" s="164">
        <v>0</v>
      </c>
      <c r="U35" s="168"/>
      <c r="V35" s="164">
        <f t="shared" si="9"/>
        <v>0</v>
      </c>
      <c r="W35" s="184">
        <f t="shared" si="4"/>
        <v>102351.74630991602</v>
      </c>
      <c r="X35" s="164">
        <f t="shared" si="5"/>
        <v>102000</v>
      </c>
      <c r="Y35" s="197">
        <v>26</v>
      </c>
    </row>
    <row r="36" spans="1:25" ht="21.75" customHeight="1" x14ac:dyDescent="0.25">
      <c r="A36" s="149"/>
      <c r="B36" s="154"/>
      <c r="C36" s="154"/>
      <c r="D36" s="148"/>
      <c r="E36" s="149"/>
      <c r="F36" s="149"/>
      <c r="G36" s="155">
        <f>SUM(G9:G35)</f>
        <v>49478200</v>
      </c>
      <c r="K36" s="161">
        <v>27</v>
      </c>
      <c r="L36" s="162" t="s">
        <v>26</v>
      </c>
      <c r="M36" s="162" t="s">
        <v>51</v>
      </c>
      <c r="N36" s="161">
        <v>2019</v>
      </c>
      <c r="O36" s="161">
        <v>2022</v>
      </c>
      <c r="P36" s="161">
        <f t="shared" si="6"/>
        <v>3</v>
      </c>
      <c r="Q36" s="191">
        <f>G45</f>
        <v>1085000</v>
      </c>
      <c r="R36" s="163"/>
      <c r="S36" s="164">
        <f t="shared" si="7"/>
        <v>112060.18642407557</v>
      </c>
      <c r="T36" s="164">
        <v>0</v>
      </c>
      <c r="U36" s="168"/>
      <c r="V36" s="164">
        <f t="shared" si="9"/>
        <v>0</v>
      </c>
      <c r="W36" s="184">
        <f t="shared" si="4"/>
        <v>112060.18642407557</v>
      </c>
      <c r="X36" s="164">
        <f t="shared" si="5"/>
        <v>112000</v>
      </c>
      <c r="Y36" s="196">
        <v>27</v>
      </c>
    </row>
    <row r="37" spans="1:25" ht="21.75" customHeight="1" x14ac:dyDescent="0.25">
      <c r="A37" s="139">
        <v>18</v>
      </c>
      <c r="B37" s="142" t="s">
        <v>20</v>
      </c>
      <c r="C37" s="142" t="s">
        <v>51</v>
      </c>
      <c r="D37" s="139">
        <v>2014</v>
      </c>
      <c r="E37" s="139">
        <v>2022</v>
      </c>
      <c r="F37" s="139">
        <f t="shared" ref="F37:F53" si="10">E37-D37</f>
        <v>8</v>
      </c>
      <c r="G37" s="145">
        <v>2449000</v>
      </c>
      <c r="K37" s="161">
        <v>28</v>
      </c>
      <c r="L37" s="162" t="s">
        <v>27</v>
      </c>
      <c r="M37" s="162" t="s">
        <v>51</v>
      </c>
      <c r="N37" s="161">
        <v>2019</v>
      </c>
      <c r="O37" s="161">
        <v>2022</v>
      </c>
      <c r="P37" s="161">
        <f t="shared" si="6"/>
        <v>3</v>
      </c>
      <c r="Q37" s="163">
        <v>1353500</v>
      </c>
      <c r="R37" s="163"/>
      <c r="S37" s="164">
        <f t="shared" si="7"/>
        <v>139791.20951611639</v>
      </c>
      <c r="T37" s="164">
        <v>0</v>
      </c>
      <c r="U37" s="168"/>
      <c r="V37" s="164">
        <f t="shared" si="9"/>
        <v>0</v>
      </c>
      <c r="W37" s="164">
        <f t="shared" si="4"/>
        <v>139791.20951611639</v>
      </c>
      <c r="X37" s="164">
        <f t="shared" si="5"/>
        <v>140000</v>
      </c>
      <c r="Y37" s="197">
        <v>28</v>
      </c>
    </row>
    <row r="38" spans="1:25" ht="21.75" customHeight="1" x14ac:dyDescent="0.25">
      <c r="A38" s="139">
        <v>19</v>
      </c>
      <c r="B38" s="142" t="s">
        <v>21</v>
      </c>
      <c r="C38" s="142" t="s">
        <v>51</v>
      </c>
      <c r="D38" s="139">
        <v>2015</v>
      </c>
      <c r="E38" s="139">
        <v>2022</v>
      </c>
      <c r="F38" s="139">
        <f t="shared" si="10"/>
        <v>7</v>
      </c>
      <c r="G38" s="145">
        <v>2085000</v>
      </c>
      <c r="K38" s="161">
        <v>29</v>
      </c>
      <c r="L38" s="162" t="s">
        <v>41</v>
      </c>
      <c r="M38" s="162" t="s">
        <v>51</v>
      </c>
      <c r="N38" s="161">
        <v>2021</v>
      </c>
      <c r="O38" s="161">
        <v>2022</v>
      </c>
      <c r="P38" s="161">
        <f t="shared" si="6"/>
        <v>1</v>
      </c>
      <c r="Q38" s="163">
        <v>1125000</v>
      </c>
      <c r="R38" s="163"/>
      <c r="S38" s="164">
        <f t="shared" si="7"/>
        <v>116191.43753648388</v>
      </c>
      <c r="T38" s="164">
        <v>0</v>
      </c>
      <c r="U38" s="168"/>
      <c r="V38" s="164">
        <f t="shared" si="9"/>
        <v>0</v>
      </c>
      <c r="W38" s="164">
        <f t="shared" si="4"/>
        <v>116191.43753648388</v>
      </c>
      <c r="X38" s="164">
        <f t="shared" si="5"/>
        <v>116000</v>
      </c>
      <c r="Y38" s="196">
        <v>29</v>
      </c>
    </row>
    <row r="39" spans="1:25" ht="21.75" customHeight="1" x14ac:dyDescent="0.25">
      <c r="A39" s="139">
        <v>22</v>
      </c>
      <c r="B39" s="142" t="s">
        <v>14</v>
      </c>
      <c r="C39" s="142" t="s">
        <v>51</v>
      </c>
      <c r="D39" s="139">
        <v>2015</v>
      </c>
      <c r="E39" s="139">
        <v>2022</v>
      </c>
      <c r="F39" s="139">
        <f t="shared" si="10"/>
        <v>7</v>
      </c>
      <c r="G39" s="155">
        <f>J39</f>
        <v>1052000</v>
      </c>
      <c r="H39" s="155">
        <v>552000</v>
      </c>
      <c r="I39" s="193">
        <v>500000</v>
      </c>
      <c r="J39" s="193">
        <f>H39+I39</f>
        <v>1052000</v>
      </c>
      <c r="K39" s="161">
        <v>30</v>
      </c>
      <c r="L39" s="162" t="s">
        <v>69</v>
      </c>
      <c r="M39" s="162" t="s">
        <v>51</v>
      </c>
      <c r="N39" s="161">
        <v>2020</v>
      </c>
      <c r="O39" s="161">
        <v>2022</v>
      </c>
      <c r="P39" s="161">
        <f t="shared" si="6"/>
        <v>2</v>
      </c>
      <c r="Q39" s="163">
        <v>1503000</v>
      </c>
      <c r="R39" s="163"/>
      <c r="S39" s="164">
        <f t="shared" si="7"/>
        <v>155231.76054874246</v>
      </c>
      <c r="T39" s="164">
        <v>0</v>
      </c>
      <c r="U39" s="168"/>
      <c r="V39" s="164">
        <f t="shared" si="9"/>
        <v>0</v>
      </c>
      <c r="W39" s="164">
        <f t="shared" si="4"/>
        <v>155231.76054874246</v>
      </c>
      <c r="X39" s="164">
        <f t="shared" si="5"/>
        <v>155000</v>
      </c>
      <c r="Y39" s="197">
        <v>30</v>
      </c>
    </row>
    <row r="40" spans="1:25" ht="21.75" customHeight="1" x14ac:dyDescent="0.25">
      <c r="A40" s="139">
        <v>20</v>
      </c>
      <c r="B40" s="142" t="s">
        <v>22</v>
      </c>
      <c r="C40" s="142" t="s">
        <v>51</v>
      </c>
      <c r="D40" s="139">
        <v>2016</v>
      </c>
      <c r="E40" s="139">
        <v>2022</v>
      </c>
      <c r="F40" s="139">
        <f t="shared" si="10"/>
        <v>6</v>
      </c>
      <c r="G40" s="145">
        <v>1535000</v>
      </c>
      <c r="K40" s="161">
        <v>31</v>
      </c>
      <c r="L40" s="162" t="s">
        <v>42</v>
      </c>
      <c r="M40" s="162" t="s">
        <v>51</v>
      </c>
      <c r="N40" s="161">
        <v>2021</v>
      </c>
      <c r="O40" s="161">
        <v>2022</v>
      </c>
      <c r="P40" s="161">
        <f t="shared" si="6"/>
        <v>1</v>
      </c>
      <c r="Q40" s="191">
        <f>G50</f>
        <v>975000</v>
      </c>
      <c r="R40" s="163"/>
      <c r="S40" s="164">
        <f t="shared" si="7"/>
        <v>100699.2458649527</v>
      </c>
      <c r="T40" s="164">
        <v>0</v>
      </c>
      <c r="U40" s="168"/>
      <c r="V40" s="164">
        <f t="shared" si="9"/>
        <v>0</v>
      </c>
      <c r="W40" s="184">
        <f t="shared" si="4"/>
        <v>100699.2458649527</v>
      </c>
      <c r="X40" s="164">
        <f t="shared" si="5"/>
        <v>101000</v>
      </c>
      <c r="Y40" s="196">
        <v>31</v>
      </c>
    </row>
    <row r="41" spans="1:25" ht="21.75" customHeight="1" x14ac:dyDescent="0.25">
      <c r="A41" s="139">
        <v>21</v>
      </c>
      <c r="B41" s="142" t="s">
        <v>23</v>
      </c>
      <c r="C41" s="142" t="s">
        <v>51</v>
      </c>
      <c r="D41" s="139">
        <v>2016</v>
      </c>
      <c r="E41" s="139">
        <v>2022</v>
      </c>
      <c r="F41" s="139">
        <f t="shared" si="10"/>
        <v>6</v>
      </c>
      <c r="G41" s="145">
        <v>1135000</v>
      </c>
      <c r="K41" s="161">
        <v>32</v>
      </c>
      <c r="L41" s="162" t="s">
        <v>50</v>
      </c>
      <c r="M41" s="162" t="s">
        <v>51</v>
      </c>
      <c r="N41" s="161">
        <v>2021</v>
      </c>
      <c r="O41" s="161">
        <v>2022</v>
      </c>
      <c r="P41" s="161">
        <f t="shared" si="6"/>
        <v>1</v>
      </c>
      <c r="Q41" s="163">
        <v>1000000</v>
      </c>
      <c r="R41" s="163"/>
      <c r="S41" s="164">
        <f t="shared" si="7"/>
        <v>103281.27781020789</v>
      </c>
      <c r="T41" s="164">
        <v>0</v>
      </c>
      <c r="U41" s="168"/>
      <c r="V41" s="164">
        <f t="shared" si="9"/>
        <v>0</v>
      </c>
      <c r="W41" s="164">
        <f t="shared" si="4"/>
        <v>103281.27781020789</v>
      </c>
      <c r="X41" s="164">
        <f t="shared" si="5"/>
        <v>103000</v>
      </c>
      <c r="Y41" s="197">
        <v>32</v>
      </c>
    </row>
    <row r="42" spans="1:25" ht="21.75" customHeight="1" x14ac:dyDescent="0.25">
      <c r="A42" s="139">
        <v>23</v>
      </c>
      <c r="B42" s="142" t="s">
        <v>24</v>
      </c>
      <c r="C42" s="142" t="s">
        <v>51</v>
      </c>
      <c r="D42" s="139">
        <v>2019</v>
      </c>
      <c r="E42" s="139">
        <v>2022</v>
      </c>
      <c r="F42" s="139">
        <f t="shared" si="10"/>
        <v>3</v>
      </c>
      <c r="G42" s="145">
        <v>1037500</v>
      </c>
      <c r="K42" s="161">
        <v>33</v>
      </c>
      <c r="L42" s="162" t="s">
        <v>28</v>
      </c>
      <c r="M42" s="162" t="s">
        <v>51</v>
      </c>
      <c r="N42" s="161">
        <v>1993</v>
      </c>
      <c r="O42" s="161">
        <v>2022</v>
      </c>
      <c r="P42" s="161">
        <f t="shared" si="6"/>
        <v>29</v>
      </c>
      <c r="Q42" s="180">
        <f>G10</f>
        <v>1815000</v>
      </c>
      <c r="R42" s="163"/>
      <c r="S42" s="164">
        <f t="shared" si="7"/>
        <v>187455.51922552733</v>
      </c>
      <c r="T42" s="164">
        <f t="shared" ref="T42:T55" si="11">(Q42/$M$4)*$T$9</f>
        <v>131177.77122045669</v>
      </c>
      <c r="U42" s="168">
        <v>5</v>
      </c>
      <c r="V42" s="164">
        <f t="shared" si="9"/>
        <v>151641.7910447761</v>
      </c>
      <c r="W42" s="190">
        <f t="shared" si="4"/>
        <v>470275.08149076009</v>
      </c>
      <c r="X42" s="164">
        <f t="shared" si="5"/>
        <v>470000</v>
      </c>
      <c r="Y42" s="196">
        <v>33</v>
      </c>
    </row>
    <row r="43" spans="1:25" ht="21.75" customHeight="1" x14ac:dyDescent="0.25">
      <c r="A43" s="139">
        <v>24</v>
      </c>
      <c r="B43" s="142" t="s">
        <v>25</v>
      </c>
      <c r="C43" s="142" t="s">
        <v>51</v>
      </c>
      <c r="D43" s="139">
        <v>2019</v>
      </c>
      <c r="E43" s="139">
        <v>2022</v>
      </c>
      <c r="F43" s="139">
        <f t="shared" si="10"/>
        <v>3</v>
      </c>
      <c r="G43" s="155">
        <f>J43</f>
        <v>1053500</v>
      </c>
      <c r="H43" s="155">
        <v>753500</v>
      </c>
      <c r="I43" s="193">
        <v>300000</v>
      </c>
      <c r="J43" s="193">
        <f t="shared" ref="J43:J45" si="12">H43+I43</f>
        <v>1053500</v>
      </c>
      <c r="K43" s="161">
        <v>34</v>
      </c>
      <c r="L43" s="162" t="s">
        <v>29</v>
      </c>
      <c r="M43" s="162" t="s">
        <v>51</v>
      </c>
      <c r="N43" s="167">
        <v>1996</v>
      </c>
      <c r="O43" s="161">
        <v>2022</v>
      </c>
      <c r="P43" s="161">
        <f t="shared" si="6"/>
        <v>26</v>
      </c>
      <c r="Q43" s="163">
        <v>1500000</v>
      </c>
      <c r="R43" s="163"/>
      <c r="S43" s="164">
        <f t="shared" si="7"/>
        <v>154921.91671531185</v>
      </c>
      <c r="T43" s="164">
        <f t="shared" si="11"/>
        <v>108411.38117393113</v>
      </c>
      <c r="U43" s="168"/>
      <c r="V43" s="164">
        <f t="shared" si="9"/>
        <v>0</v>
      </c>
      <c r="W43" s="164">
        <f t="shared" si="4"/>
        <v>263333.297889243</v>
      </c>
      <c r="X43" s="164">
        <f t="shared" si="5"/>
        <v>263000</v>
      </c>
      <c r="Y43" s="197">
        <v>34</v>
      </c>
    </row>
    <row r="44" spans="1:25" ht="21.75" customHeight="1" x14ac:dyDescent="0.25">
      <c r="A44" s="139">
        <v>25</v>
      </c>
      <c r="B44" s="142" t="s">
        <v>68</v>
      </c>
      <c r="C44" s="142" t="s">
        <v>51</v>
      </c>
      <c r="D44" s="139">
        <v>2019</v>
      </c>
      <c r="E44" s="139">
        <v>2022</v>
      </c>
      <c r="F44" s="139">
        <f t="shared" si="10"/>
        <v>3</v>
      </c>
      <c r="G44" s="155">
        <f>J44</f>
        <v>991000</v>
      </c>
      <c r="H44" s="155">
        <v>411000</v>
      </c>
      <c r="I44" s="193">
        <v>580000</v>
      </c>
      <c r="J44" s="193">
        <f t="shared" si="12"/>
        <v>991000</v>
      </c>
      <c r="K44" s="161">
        <v>35</v>
      </c>
      <c r="L44" s="162" t="s">
        <v>30</v>
      </c>
      <c r="M44" s="162" t="s">
        <v>51</v>
      </c>
      <c r="N44" s="161">
        <v>1999</v>
      </c>
      <c r="O44" s="161">
        <v>2022</v>
      </c>
      <c r="P44" s="161">
        <f t="shared" si="6"/>
        <v>23</v>
      </c>
      <c r="Q44" s="163">
        <v>1340000</v>
      </c>
      <c r="R44" s="163"/>
      <c r="S44" s="164">
        <f t="shared" si="7"/>
        <v>138396.91226567858</v>
      </c>
      <c r="T44" s="164">
        <f t="shared" si="11"/>
        <v>96847.500515378488</v>
      </c>
      <c r="U44" s="168">
        <v>5</v>
      </c>
      <c r="V44" s="164">
        <f t="shared" si="9"/>
        <v>151641.7910447761</v>
      </c>
      <c r="W44" s="164">
        <f t="shared" si="4"/>
        <v>386886.20382583316</v>
      </c>
      <c r="X44" s="164">
        <f t="shared" si="5"/>
        <v>387000</v>
      </c>
      <c r="Y44" s="196">
        <v>35</v>
      </c>
    </row>
    <row r="45" spans="1:25" ht="21.75" customHeight="1" x14ac:dyDescent="0.25">
      <c r="A45" s="139">
        <v>26</v>
      </c>
      <c r="B45" s="142" t="s">
        <v>26</v>
      </c>
      <c r="C45" s="142" t="s">
        <v>51</v>
      </c>
      <c r="D45" s="139">
        <v>2019</v>
      </c>
      <c r="E45" s="139">
        <v>2022</v>
      </c>
      <c r="F45" s="139">
        <f t="shared" si="10"/>
        <v>3</v>
      </c>
      <c r="G45" s="155">
        <f>J45</f>
        <v>1085000</v>
      </c>
      <c r="H45" s="155">
        <v>685000</v>
      </c>
      <c r="I45" s="193">
        <v>400000</v>
      </c>
      <c r="J45" s="193">
        <f t="shared" si="12"/>
        <v>1085000</v>
      </c>
      <c r="K45" s="161">
        <v>36</v>
      </c>
      <c r="L45" s="162" t="s">
        <v>31</v>
      </c>
      <c r="M45" s="162" t="s">
        <v>51</v>
      </c>
      <c r="N45" s="161">
        <v>2000</v>
      </c>
      <c r="O45" s="161">
        <v>2022</v>
      </c>
      <c r="P45" s="161">
        <f t="shared" si="6"/>
        <v>22</v>
      </c>
      <c r="Q45" s="163">
        <v>1497500</v>
      </c>
      <c r="R45" s="163"/>
      <c r="S45" s="164">
        <f t="shared" si="7"/>
        <v>154663.71352078632</v>
      </c>
      <c r="T45" s="164">
        <f t="shared" si="11"/>
        <v>108230.69553864126</v>
      </c>
      <c r="U45" s="168">
        <v>5</v>
      </c>
      <c r="V45" s="164">
        <f t="shared" si="9"/>
        <v>151641.7910447761</v>
      </c>
      <c r="W45" s="164">
        <f t="shared" si="4"/>
        <v>414536.20010420366</v>
      </c>
      <c r="X45" s="164">
        <f t="shared" si="5"/>
        <v>415000</v>
      </c>
      <c r="Y45" s="197">
        <v>36</v>
      </c>
    </row>
    <row r="46" spans="1:25" ht="21.75" customHeight="1" x14ac:dyDescent="0.25">
      <c r="A46" s="139">
        <v>27</v>
      </c>
      <c r="B46" s="142" t="s">
        <v>27</v>
      </c>
      <c r="C46" s="142" t="s">
        <v>51</v>
      </c>
      <c r="D46" s="139">
        <v>2019</v>
      </c>
      <c r="E46" s="139">
        <v>2022</v>
      </c>
      <c r="F46" s="139">
        <f t="shared" si="10"/>
        <v>3</v>
      </c>
      <c r="G46" s="145">
        <v>1353500</v>
      </c>
      <c r="K46" s="161">
        <v>37</v>
      </c>
      <c r="L46" s="162" t="s">
        <v>32</v>
      </c>
      <c r="M46" s="162" t="s">
        <v>51</v>
      </c>
      <c r="N46" s="161">
        <v>2000</v>
      </c>
      <c r="O46" s="161">
        <v>2022</v>
      </c>
      <c r="P46" s="161">
        <f t="shared" si="6"/>
        <v>22</v>
      </c>
      <c r="Q46" s="163">
        <v>1371000</v>
      </c>
      <c r="R46" s="163"/>
      <c r="S46" s="164">
        <f t="shared" si="7"/>
        <v>141598.63187779501</v>
      </c>
      <c r="T46" s="164">
        <f t="shared" si="11"/>
        <v>99088.002392973067</v>
      </c>
      <c r="U46" s="168">
        <v>5</v>
      </c>
      <c r="V46" s="164">
        <f t="shared" si="9"/>
        <v>151641.7910447761</v>
      </c>
      <c r="W46" s="164">
        <f t="shared" si="4"/>
        <v>392328.42531554418</v>
      </c>
      <c r="X46" s="164">
        <f t="shared" si="5"/>
        <v>392000</v>
      </c>
      <c r="Y46" s="196">
        <v>37</v>
      </c>
    </row>
    <row r="47" spans="1:25" ht="21.75" customHeight="1" x14ac:dyDescent="0.25">
      <c r="A47" s="139">
        <v>29</v>
      </c>
      <c r="B47" s="142" t="s">
        <v>69</v>
      </c>
      <c r="C47" s="142" t="s">
        <v>51</v>
      </c>
      <c r="D47" s="139">
        <v>2020</v>
      </c>
      <c r="E47" s="139">
        <v>2022</v>
      </c>
      <c r="F47" s="139">
        <f t="shared" si="10"/>
        <v>2</v>
      </c>
      <c r="G47" s="145">
        <v>1503000</v>
      </c>
      <c r="K47" s="161">
        <v>38</v>
      </c>
      <c r="L47" s="162" t="s">
        <v>33</v>
      </c>
      <c r="M47" s="162" t="s">
        <v>51</v>
      </c>
      <c r="N47" s="161">
        <v>2001</v>
      </c>
      <c r="O47" s="161">
        <v>2022</v>
      </c>
      <c r="P47" s="161">
        <f t="shared" si="6"/>
        <v>21</v>
      </c>
      <c r="Q47" s="163">
        <v>1611750</v>
      </c>
      <c r="R47" s="163"/>
      <c r="S47" s="164">
        <f t="shared" si="7"/>
        <v>166463.59951060257</v>
      </c>
      <c r="T47" s="164">
        <f t="shared" si="11"/>
        <v>116488.02907138901</v>
      </c>
      <c r="U47" s="168">
        <v>5</v>
      </c>
      <c r="V47" s="164">
        <f t="shared" si="9"/>
        <v>151641.7910447761</v>
      </c>
      <c r="W47" s="164">
        <f t="shared" si="4"/>
        <v>434593.41962676769</v>
      </c>
      <c r="X47" s="164">
        <f t="shared" si="5"/>
        <v>435000</v>
      </c>
      <c r="Y47" s="197">
        <v>38</v>
      </c>
    </row>
    <row r="48" spans="1:25" ht="21.75" customHeight="1" x14ac:dyDescent="0.25">
      <c r="A48" s="139">
        <v>7</v>
      </c>
      <c r="B48" s="142" t="s">
        <v>43</v>
      </c>
      <c r="C48" s="140" t="s">
        <v>195</v>
      </c>
      <c r="D48" s="141">
        <v>2021</v>
      </c>
      <c r="E48" s="139">
        <v>2022</v>
      </c>
      <c r="F48" s="139">
        <f t="shared" si="10"/>
        <v>1</v>
      </c>
      <c r="G48" s="145">
        <v>1814000</v>
      </c>
      <c r="K48" s="161">
        <v>39</v>
      </c>
      <c r="L48" s="162" t="s">
        <v>34</v>
      </c>
      <c r="M48" s="162" t="s">
        <v>51</v>
      </c>
      <c r="N48" s="161">
        <v>2004</v>
      </c>
      <c r="O48" s="161">
        <v>2022</v>
      </c>
      <c r="P48" s="161">
        <f t="shared" si="6"/>
        <v>18</v>
      </c>
      <c r="Q48" s="180">
        <f>G20</f>
        <v>1910000</v>
      </c>
      <c r="R48" s="163"/>
      <c r="S48" s="164">
        <f t="shared" si="7"/>
        <v>197267.24061749707</v>
      </c>
      <c r="T48" s="164">
        <f t="shared" si="11"/>
        <v>138043.82536147232</v>
      </c>
      <c r="U48" s="168">
        <v>5</v>
      </c>
      <c r="V48" s="164">
        <f t="shared" si="9"/>
        <v>151641.7910447761</v>
      </c>
      <c r="W48" s="190">
        <f t="shared" si="4"/>
        <v>486952.85702374548</v>
      </c>
      <c r="X48" s="164">
        <f t="shared" si="5"/>
        <v>487000</v>
      </c>
      <c r="Y48" s="196">
        <v>39</v>
      </c>
    </row>
    <row r="49" spans="1:25" ht="21.75" customHeight="1" x14ac:dyDescent="0.25">
      <c r="A49" s="139">
        <v>28</v>
      </c>
      <c r="B49" s="142" t="s">
        <v>41</v>
      </c>
      <c r="C49" s="142" t="s">
        <v>51</v>
      </c>
      <c r="D49" s="139">
        <v>2021</v>
      </c>
      <c r="E49" s="139">
        <v>2022</v>
      </c>
      <c r="F49" s="139">
        <f t="shared" si="10"/>
        <v>1</v>
      </c>
      <c r="G49" s="145">
        <v>1125000</v>
      </c>
      <c r="K49" s="161">
        <v>40</v>
      </c>
      <c r="L49" s="162" t="s">
        <v>35</v>
      </c>
      <c r="M49" s="162" t="s">
        <v>51</v>
      </c>
      <c r="N49" s="161">
        <v>2005</v>
      </c>
      <c r="O49" s="161">
        <v>2022</v>
      </c>
      <c r="P49" s="161">
        <f t="shared" si="6"/>
        <v>17</v>
      </c>
      <c r="Q49" s="163">
        <v>1218500</v>
      </c>
      <c r="R49" s="163"/>
      <c r="S49" s="164">
        <f t="shared" si="7"/>
        <v>125848.23701173833</v>
      </c>
      <c r="T49" s="164">
        <f t="shared" si="11"/>
        <v>88066.178640290076</v>
      </c>
      <c r="U49" s="168">
        <v>5</v>
      </c>
      <c r="V49" s="164">
        <f t="shared" si="9"/>
        <v>151641.7910447761</v>
      </c>
      <c r="W49" s="164">
        <f t="shared" si="4"/>
        <v>365556.2066968045</v>
      </c>
      <c r="X49" s="164">
        <f t="shared" si="5"/>
        <v>366000</v>
      </c>
      <c r="Y49" s="197">
        <v>40</v>
      </c>
    </row>
    <row r="50" spans="1:25" ht="21.75" customHeight="1" x14ac:dyDescent="0.25">
      <c r="A50" s="139">
        <v>30</v>
      </c>
      <c r="B50" s="142" t="s">
        <v>42</v>
      </c>
      <c r="C50" s="142" t="s">
        <v>51</v>
      </c>
      <c r="D50" s="139">
        <v>2021</v>
      </c>
      <c r="E50" s="139">
        <v>2022</v>
      </c>
      <c r="F50" s="139">
        <f t="shared" si="10"/>
        <v>1</v>
      </c>
      <c r="G50" s="155">
        <f>J50</f>
        <v>975000</v>
      </c>
      <c r="H50" s="155">
        <v>750000</v>
      </c>
      <c r="I50" s="193">
        <v>225000</v>
      </c>
      <c r="J50" s="193">
        <f>H50+I50</f>
        <v>975000</v>
      </c>
      <c r="K50" s="161">
        <v>41</v>
      </c>
      <c r="L50" s="162" t="s">
        <v>36</v>
      </c>
      <c r="M50" s="162" t="s">
        <v>51</v>
      </c>
      <c r="N50" s="161">
        <v>2005</v>
      </c>
      <c r="O50" s="161">
        <v>2022</v>
      </c>
      <c r="P50" s="161">
        <f t="shared" si="6"/>
        <v>17</v>
      </c>
      <c r="Q50" s="180">
        <f>G23</f>
        <v>2125000</v>
      </c>
      <c r="R50" s="163"/>
      <c r="S50" s="164">
        <f t="shared" si="7"/>
        <v>219472.71534669178</v>
      </c>
      <c r="T50" s="164">
        <f t="shared" si="11"/>
        <v>153582.78999640245</v>
      </c>
      <c r="U50" s="168">
        <v>5</v>
      </c>
      <c r="V50" s="164">
        <f t="shared" si="9"/>
        <v>151641.7910447761</v>
      </c>
      <c r="W50" s="190">
        <f t="shared" si="4"/>
        <v>524697.29638787033</v>
      </c>
      <c r="X50" s="164">
        <f t="shared" si="5"/>
        <v>525000</v>
      </c>
      <c r="Y50" s="196">
        <v>41</v>
      </c>
    </row>
    <row r="51" spans="1:25" ht="21.75" customHeight="1" x14ac:dyDescent="0.25">
      <c r="A51" s="139">
        <v>31</v>
      </c>
      <c r="B51" s="142" t="s">
        <v>50</v>
      </c>
      <c r="C51" s="142" t="s">
        <v>51</v>
      </c>
      <c r="D51" s="139">
        <v>2021</v>
      </c>
      <c r="E51" s="139">
        <v>2022</v>
      </c>
      <c r="F51" s="139">
        <f t="shared" si="10"/>
        <v>1</v>
      </c>
      <c r="G51" s="145">
        <v>1000000</v>
      </c>
      <c r="I51" s="160">
        <f>SUM(I34:I50)</f>
        <v>2255000</v>
      </c>
      <c r="J51" s="160"/>
      <c r="K51" s="161">
        <v>42</v>
      </c>
      <c r="L51" s="162" t="s">
        <v>37</v>
      </c>
      <c r="M51" s="162" t="s">
        <v>51</v>
      </c>
      <c r="N51" s="161">
        <v>2006</v>
      </c>
      <c r="O51" s="161">
        <v>2022</v>
      </c>
      <c r="P51" s="161">
        <f t="shared" si="6"/>
        <v>16</v>
      </c>
      <c r="Q51" s="163">
        <v>1552000</v>
      </c>
      <c r="R51" s="163"/>
      <c r="S51" s="164">
        <f t="shared" si="7"/>
        <v>160292.54316144265</v>
      </c>
      <c r="T51" s="164">
        <f t="shared" si="11"/>
        <v>112169.64238796076</v>
      </c>
      <c r="U51" s="168">
        <v>5</v>
      </c>
      <c r="V51" s="164">
        <f t="shared" si="9"/>
        <v>151641.7910447761</v>
      </c>
      <c r="W51" s="164">
        <f t="shared" si="4"/>
        <v>424103.97659417952</v>
      </c>
      <c r="X51" s="164">
        <f t="shared" si="5"/>
        <v>424000</v>
      </c>
      <c r="Y51" s="197">
        <v>42</v>
      </c>
    </row>
    <row r="52" spans="1:25" ht="21.75" customHeight="1" x14ac:dyDescent="0.25">
      <c r="A52" s="139">
        <v>46</v>
      </c>
      <c r="B52" s="142" t="s">
        <v>133</v>
      </c>
      <c r="C52" s="140" t="s">
        <v>199</v>
      </c>
      <c r="D52" s="139">
        <v>2022</v>
      </c>
      <c r="E52" s="139">
        <v>2022</v>
      </c>
      <c r="F52" s="139">
        <f t="shared" si="10"/>
        <v>0</v>
      </c>
      <c r="G52" s="145">
        <v>1500000</v>
      </c>
      <c r="I52" s="160">
        <f>H35-I51</f>
        <v>0</v>
      </c>
      <c r="K52" s="161">
        <v>43</v>
      </c>
      <c r="L52" s="162" t="s">
        <v>38</v>
      </c>
      <c r="M52" s="162" t="s">
        <v>51</v>
      </c>
      <c r="N52" s="161">
        <v>2008</v>
      </c>
      <c r="O52" s="161">
        <v>2022</v>
      </c>
      <c r="P52" s="161">
        <f t="shared" si="6"/>
        <v>14</v>
      </c>
      <c r="Q52" s="163">
        <v>1226100</v>
      </c>
      <c r="R52" s="163"/>
      <c r="S52" s="164">
        <f t="shared" si="7"/>
        <v>126633.1747230959</v>
      </c>
      <c r="T52" s="164">
        <f t="shared" si="11"/>
        <v>88615.462971571309</v>
      </c>
      <c r="U52" s="168">
        <v>5</v>
      </c>
      <c r="V52" s="164">
        <f t="shared" si="9"/>
        <v>151641.7910447761</v>
      </c>
      <c r="W52" s="164">
        <f t="shared" si="4"/>
        <v>366890.4287394433</v>
      </c>
      <c r="X52" s="164">
        <f t="shared" si="5"/>
        <v>367000</v>
      </c>
      <c r="Y52" s="196">
        <v>43</v>
      </c>
    </row>
    <row r="53" spans="1:25" ht="21.75" customHeight="1" x14ac:dyDescent="0.25">
      <c r="A53" s="161">
        <v>47</v>
      </c>
      <c r="B53" s="162" t="s">
        <v>165</v>
      </c>
      <c r="C53" s="165" t="s">
        <v>199</v>
      </c>
      <c r="D53" s="161">
        <v>2022</v>
      </c>
      <c r="E53" s="161">
        <v>2022</v>
      </c>
      <c r="F53" s="161">
        <f t="shared" si="10"/>
        <v>0</v>
      </c>
      <c r="G53" s="163">
        <v>1500000</v>
      </c>
      <c r="K53" s="161">
        <v>44</v>
      </c>
      <c r="L53" s="162" t="s">
        <v>39</v>
      </c>
      <c r="M53" s="162" t="s">
        <v>51</v>
      </c>
      <c r="N53" s="161">
        <v>2008</v>
      </c>
      <c r="O53" s="161">
        <v>2022</v>
      </c>
      <c r="P53" s="161">
        <f t="shared" si="6"/>
        <v>14</v>
      </c>
      <c r="Q53" s="163">
        <v>1427800</v>
      </c>
      <c r="R53" s="163"/>
      <c r="S53" s="164">
        <f t="shared" si="7"/>
        <v>147465.00845741483</v>
      </c>
      <c r="T53" s="164">
        <f t="shared" si="11"/>
        <v>103193.18002675926</v>
      </c>
      <c r="U53" s="168">
        <v>5</v>
      </c>
      <c r="V53" s="164">
        <f t="shared" si="9"/>
        <v>151641.7910447761</v>
      </c>
      <c r="W53" s="164">
        <f t="shared" si="4"/>
        <v>402299.97952895018</v>
      </c>
      <c r="X53" s="164">
        <f t="shared" si="5"/>
        <v>402000</v>
      </c>
      <c r="Y53" s="197">
        <v>44</v>
      </c>
    </row>
    <row r="54" spans="1:25" ht="21.75" customHeight="1" x14ac:dyDescent="0.25">
      <c r="A54" s="182"/>
      <c r="B54" s="140" t="s">
        <v>98</v>
      </c>
      <c r="C54" s="182"/>
      <c r="D54" s="182"/>
      <c r="E54" s="182"/>
      <c r="F54" s="182"/>
      <c r="G54" s="183">
        <v>1672000</v>
      </c>
      <c r="K54" s="161">
        <v>45</v>
      </c>
      <c r="L54" s="162" t="s">
        <v>40</v>
      </c>
      <c r="M54" s="162" t="s">
        <v>51</v>
      </c>
      <c r="N54" s="161">
        <v>2007</v>
      </c>
      <c r="O54" s="161">
        <v>2022</v>
      </c>
      <c r="P54" s="161">
        <f t="shared" si="6"/>
        <v>15</v>
      </c>
      <c r="Q54" s="163">
        <v>1028500</v>
      </c>
      <c r="R54" s="163"/>
      <c r="S54" s="164">
        <f t="shared" si="7"/>
        <v>106224.79422779882</v>
      </c>
      <c r="T54" s="164">
        <f t="shared" si="11"/>
        <v>74334.070358258788</v>
      </c>
      <c r="U54" s="168"/>
      <c r="V54" s="164">
        <f t="shared" si="9"/>
        <v>0</v>
      </c>
      <c r="W54" s="164">
        <f t="shared" si="4"/>
        <v>180558.86458605761</v>
      </c>
      <c r="X54" s="164">
        <f t="shared" si="5"/>
        <v>181000</v>
      </c>
      <c r="Y54" s="196">
        <v>45</v>
      </c>
    </row>
    <row r="55" spans="1:25" ht="21.75" customHeight="1" x14ac:dyDescent="0.25">
      <c r="A55" s="182"/>
      <c r="B55" s="140" t="s">
        <v>45</v>
      </c>
      <c r="C55" s="182"/>
      <c r="D55" s="182"/>
      <c r="E55" s="182"/>
      <c r="F55" s="182"/>
      <c r="G55" s="183">
        <v>2000000</v>
      </c>
      <c r="K55" s="161">
        <v>46</v>
      </c>
      <c r="L55" s="162" t="s">
        <v>18</v>
      </c>
      <c r="M55" s="162" t="s">
        <v>51</v>
      </c>
      <c r="N55" s="161">
        <v>2008</v>
      </c>
      <c r="O55" s="161">
        <v>2022</v>
      </c>
      <c r="P55" s="161">
        <f t="shared" si="6"/>
        <v>14</v>
      </c>
      <c r="Q55" s="180">
        <f>G32</f>
        <v>1956000</v>
      </c>
      <c r="R55" s="163"/>
      <c r="S55" s="164">
        <f t="shared" si="7"/>
        <v>202018.17939676665</v>
      </c>
      <c r="T55" s="164">
        <f t="shared" si="11"/>
        <v>141368.44105080623</v>
      </c>
      <c r="U55" s="168">
        <v>5</v>
      </c>
      <c r="V55" s="164">
        <f t="shared" si="9"/>
        <v>151641.7910447761</v>
      </c>
      <c r="W55" s="190">
        <f t="shared" si="4"/>
        <v>495028.411492349</v>
      </c>
      <c r="X55" s="164">
        <f t="shared" si="5"/>
        <v>495000</v>
      </c>
      <c r="Y55" s="197">
        <v>46</v>
      </c>
    </row>
    <row r="56" spans="1:25" ht="21.75" customHeight="1" x14ac:dyDescent="0.25">
      <c r="A56" s="182"/>
      <c r="B56" s="140" t="s">
        <v>46</v>
      </c>
      <c r="C56" s="182"/>
      <c r="D56" s="182"/>
      <c r="E56" s="182"/>
      <c r="F56" s="182"/>
      <c r="G56" s="183">
        <v>2000000</v>
      </c>
      <c r="K56" s="161">
        <v>47</v>
      </c>
      <c r="L56" s="162" t="s">
        <v>133</v>
      </c>
      <c r="M56" s="165" t="s">
        <v>199</v>
      </c>
      <c r="N56" s="161">
        <v>2022</v>
      </c>
      <c r="O56" s="161">
        <v>2022</v>
      </c>
      <c r="P56" s="161">
        <f t="shared" si="6"/>
        <v>0</v>
      </c>
      <c r="Q56" s="163">
        <v>1500000</v>
      </c>
      <c r="R56" s="163"/>
      <c r="S56" s="164">
        <f t="shared" si="7"/>
        <v>154921.91671531185</v>
      </c>
      <c r="T56" s="164">
        <v>0</v>
      </c>
      <c r="U56" s="168"/>
      <c r="V56" s="164">
        <f t="shared" si="9"/>
        <v>0</v>
      </c>
      <c r="W56" s="164">
        <f t="shared" si="4"/>
        <v>154921.91671531185</v>
      </c>
      <c r="X56" s="164">
        <f t="shared" si="5"/>
        <v>155000</v>
      </c>
      <c r="Y56" s="196">
        <v>47</v>
      </c>
    </row>
    <row r="57" spans="1:25" ht="21.75" customHeight="1" x14ac:dyDescent="0.25">
      <c r="A57" s="182"/>
      <c r="B57" s="140" t="s">
        <v>47</v>
      </c>
      <c r="C57" s="182"/>
      <c r="D57" s="182"/>
      <c r="E57" s="182"/>
      <c r="F57" s="182"/>
      <c r="G57" s="183">
        <v>2000000</v>
      </c>
      <c r="K57" s="161">
        <v>48</v>
      </c>
      <c r="L57" s="162" t="s">
        <v>165</v>
      </c>
      <c r="M57" s="165" t="s">
        <v>199</v>
      </c>
      <c r="N57" s="161">
        <v>2022</v>
      </c>
      <c r="O57" s="161">
        <v>2022</v>
      </c>
      <c r="P57" s="161">
        <f t="shared" si="6"/>
        <v>0</v>
      </c>
      <c r="Q57" s="163">
        <v>1500000</v>
      </c>
      <c r="R57" s="163"/>
      <c r="S57" s="164">
        <f t="shared" si="7"/>
        <v>154921.91671531185</v>
      </c>
      <c r="T57" s="164">
        <v>0</v>
      </c>
      <c r="U57" s="168"/>
      <c r="V57" s="164">
        <f t="shared" si="9"/>
        <v>0</v>
      </c>
      <c r="W57" s="164">
        <f t="shared" si="4"/>
        <v>154921.91671531185</v>
      </c>
      <c r="X57" s="164">
        <f t="shared" si="5"/>
        <v>155000</v>
      </c>
      <c r="Y57" s="197">
        <v>48</v>
      </c>
    </row>
    <row r="58" spans="1:25" ht="21.75" customHeight="1" x14ac:dyDescent="0.25">
      <c r="A58" s="149"/>
      <c r="B58" s="154"/>
      <c r="C58" s="154"/>
      <c r="D58" s="148"/>
      <c r="E58" s="149"/>
      <c r="F58" s="149"/>
      <c r="G58" s="155">
        <f>SUM(G37:G57)</f>
        <v>30865500</v>
      </c>
      <c r="H58" s="160">
        <f>G36+G58</f>
        <v>80343700</v>
      </c>
      <c r="I58" s="160"/>
      <c r="J58" s="160"/>
      <c r="K58" s="161">
        <v>49</v>
      </c>
      <c r="L58" s="140" t="s">
        <v>45</v>
      </c>
      <c r="M58" s="162" t="s">
        <v>130</v>
      </c>
      <c r="N58" s="161"/>
      <c r="O58" s="161"/>
      <c r="P58" s="161"/>
      <c r="Q58" s="186">
        <f>G55</f>
        <v>2000000</v>
      </c>
      <c r="R58" s="186"/>
      <c r="S58" s="187">
        <f t="shared" si="7"/>
        <v>206562.55562041578</v>
      </c>
      <c r="T58" s="187"/>
      <c r="U58" s="188"/>
      <c r="V58" s="187"/>
      <c r="W58" s="187">
        <f t="shared" si="4"/>
        <v>206562.55562041578</v>
      </c>
      <c r="X58" s="164">
        <f t="shared" si="5"/>
        <v>207000</v>
      </c>
      <c r="Y58" s="196">
        <v>49</v>
      </c>
    </row>
    <row r="59" spans="1:25" ht="21.75" customHeight="1" x14ac:dyDescent="0.25">
      <c r="A59" s="139">
        <v>13</v>
      </c>
      <c r="B59" s="140" t="s">
        <v>181</v>
      </c>
      <c r="C59" s="140" t="s">
        <v>199</v>
      </c>
      <c r="D59" s="141">
        <v>2022</v>
      </c>
      <c r="E59" s="139">
        <v>2022</v>
      </c>
      <c r="F59" s="139">
        <f t="shared" ref="F59:F64" si="13">E59-D59</f>
        <v>0</v>
      </c>
      <c r="G59" s="145">
        <v>1617000</v>
      </c>
      <c r="K59" s="161">
        <v>50</v>
      </c>
      <c r="L59" s="140" t="s">
        <v>46</v>
      </c>
      <c r="M59" s="162" t="s">
        <v>130</v>
      </c>
      <c r="N59" s="161"/>
      <c r="O59" s="161"/>
      <c r="P59" s="161"/>
      <c r="Q59" s="186">
        <f t="shared" ref="Q59:Q60" si="14">G56</f>
        <v>2000000</v>
      </c>
      <c r="R59" s="186"/>
      <c r="S59" s="187">
        <f t="shared" si="7"/>
        <v>206562.55562041578</v>
      </c>
      <c r="T59" s="187"/>
      <c r="U59" s="188"/>
      <c r="V59" s="187"/>
      <c r="W59" s="187">
        <f t="shared" si="4"/>
        <v>206562.55562041578</v>
      </c>
      <c r="X59" s="164">
        <f t="shared" si="5"/>
        <v>207000</v>
      </c>
      <c r="Y59" s="197">
        <v>50</v>
      </c>
    </row>
    <row r="60" spans="1:25" ht="21.75" customHeight="1" x14ac:dyDescent="0.25">
      <c r="A60" s="139">
        <v>8</v>
      </c>
      <c r="B60" s="142" t="s">
        <v>197</v>
      </c>
      <c r="C60" s="140" t="s">
        <v>195</v>
      </c>
      <c r="D60" s="141">
        <v>1997</v>
      </c>
      <c r="E60" s="139">
        <v>2022</v>
      </c>
      <c r="F60" s="139">
        <f t="shared" si="13"/>
        <v>25</v>
      </c>
      <c r="G60" s="145">
        <v>2433500</v>
      </c>
      <c r="K60" s="161">
        <v>51</v>
      </c>
      <c r="L60" s="140" t="s">
        <v>47</v>
      </c>
      <c r="M60" s="162" t="s">
        <v>130</v>
      </c>
      <c r="N60" s="161"/>
      <c r="O60" s="161"/>
      <c r="P60" s="161"/>
      <c r="Q60" s="186">
        <f t="shared" si="14"/>
        <v>2000000</v>
      </c>
      <c r="R60" s="186"/>
      <c r="S60" s="187">
        <f t="shared" si="7"/>
        <v>206562.55562041578</v>
      </c>
      <c r="T60" s="187"/>
      <c r="U60" s="188"/>
      <c r="V60" s="187"/>
      <c r="W60" s="187">
        <f t="shared" si="4"/>
        <v>206562.55562041578</v>
      </c>
      <c r="X60" s="164">
        <f t="shared" si="5"/>
        <v>207000</v>
      </c>
      <c r="Y60" s="196">
        <v>51</v>
      </c>
    </row>
    <row r="61" spans="1:25" ht="21.75" customHeight="1" x14ac:dyDescent="0.25">
      <c r="A61" s="139">
        <v>9</v>
      </c>
      <c r="B61" s="140" t="s">
        <v>12</v>
      </c>
      <c r="C61" s="140" t="s">
        <v>195</v>
      </c>
      <c r="D61" s="141">
        <v>1992</v>
      </c>
      <c r="E61" s="139">
        <v>2022</v>
      </c>
      <c r="F61" s="139">
        <f t="shared" si="13"/>
        <v>30</v>
      </c>
      <c r="G61" s="145">
        <v>1742000</v>
      </c>
      <c r="K61" s="161">
        <v>52</v>
      </c>
      <c r="L61" s="165" t="s">
        <v>175</v>
      </c>
      <c r="M61" s="165" t="s">
        <v>200</v>
      </c>
      <c r="N61" s="166">
        <v>2004</v>
      </c>
      <c r="O61" s="161">
        <v>2022</v>
      </c>
      <c r="P61" s="161">
        <f>O61-N61</f>
        <v>18</v>
      </c>
      <c r="Q61" s="163">
        <f>G21</f>
        <v>813800</v>
      </c>
      <c r="R61" s="163"/>
      <c r="S61" s="164">
        <f t="shared" si="7"/>
        <v>84050.303881947184</v>
      </c>
      <c r="T61" s="164">
        <f t="shared" ref="T61:T63" si="15">(Q61/$M$4)*$T$9</f>
        <v>58816.78799956345</v>
      </c>
      <c r="U61" s="168"/>
      <c r="V61" s="164">
        <f>(U61/$U$64)*$V$9</f>
        <v>0</v>
      </c>
      <c r="W61" s="164">
        <f t="shared" si="4"/>
        <v>142867.09188151063</v>
      </c>
      <c r="X61" s="164">
        <f t="shared" si="5"/>
        <v>143000</v>
      </c>
      <c r="Y61" s="197">
        <v>52</v>
      </c>
    </row>
    <row r="62" spans="1:25" ht="21.75" customHeight="1" x14ac:dyDescent="0.25">
      <c r="A62" s="139">
        <v>10</v>
      </c>
      <c r="B62" s="140" t="s">
        <v>49</v>
      </c>
      <c r="C62" s="140" t="s">
        <v>195</v>
      </c>
      <c r="D62" s="141">
        <v>1992</v>
      </c>
      <c r="E62" s="139">
        <v>2022</v>
      </c>
      <c r="F62" s="139">
        <f t="shared" si="13"/>
        <v>30</v>
      </c>
      <c r="G62" s="145">
        <v>1742000</v>
      </c>
      <c r="K62" s="161">
        <v>53</v>
      </c>
      <c r="L62" s="165" t="s">
        <v>176</v>
      </c>
      <c r="M62" s="165" t="s">
        <v>200</v>
      </c>
      <c r="N62" s="166">
        <v>2006</v>
      </c>
      <c r="O62" s="161">
        <v>2022</v>
      </c>
      <c r="P62" s="161">
        <f>O62-N62</f>
        <v>16</v>
      </c>
      <c r="Q62" s="163">
        <f>G26</f>
        <v>900250</v>
      </c>
      <c r="R62" s="163"/>
      <c r="S62" s="164">
        <f t="shared" si="7"/>
        <v>92978.970348639647</v>
      </c>
      <c r="T62" s="164">
        <f t="shared" si="15"/>
        <v>65064.897267887674</v>
      </c>
      <c r="U62" s="168"/>
      <c r="V62" s="164">
        <f>(U62/$U$64)*$V$9</f>
        <v>0</v>
      </c>
      <c r="W62" s="164">
        <f t="shared" si="4"/>
        <v>158043.86761652731</v>
      </c>
      <c r="X62" s="164">
        <f t="shared" si="5"/>
        <v>158000</v>
      </c>
      <c r="Y62" s="196">
        <v>53</v>
      </c>
    </row>
    <row r="63" spans="1:25" ht="21.75" customHeight="1" x14ac:dyDescent="0.25">
      <c r="A63" s="139">
        <v>12</v>
      </c>
      <c r="B63" s="140" t="s">
        <v>13</v>
      </c>
      <c r="C63" s="140" t="s">
        <v>195</v>
      </c>
      <c r="D63" s="141">
        <v>2002</v>
      </c>
      <c r="E63" s="139">
        <v>2022</v>
      </c>
      <c r="F63" s="139">
        <f t="shared" si="13"/>
        <v>20</v>
      </c>
      <c r="G63" s="145">
        <v>1891000</v>
      </c>
      <c r="K63" s="161">
        <v>54</v>
      </c>
      <c r="L63" s="165" t="s">
        <v>177</v>
      </c>
      <c r="M63" s="165" t="s">
        <v>200</v>
      </c>
      <c r="N63" s="166">
        <v>2008</v>
      </c>
      <c r="O63" s="161">
        <v>2022</v>
      </c>
      <c r="P63" s="161">
        <f>O63-N63</f>
        <v>14</v>
      </c>
      <c r="Q63" s="163">
        <f>G33</f>
        <v>902000</v>
      </c>
      <c r="R63" s="163"/>
      <c r="S63" s="164">
        <f t="shared" si="7"/>
        <v>93159.712584807523</v>
      </c>
      <c r="T63" s="164">
        <f t="shared" si="15"/>
        <v>65191.377212590596</v>
      </c>
      <c r="U63" s="168"/>
      <c r="V63" s="164">
        <f>(U63/$U$64)*$V$9</f>
        <v>0</v>
      </c>
      <c r="W63" s="164">
        <f t="shared" si="4"/>
        <v>158351.08979739813</v>
      </c>
      <c r="X63" s="164">
        <f t="shared" si="5"/>
        <v>158000</v>
      </c>
      <c r="Y63" s="197">
        <v>54</v>
      </c>
    </row>
    <row r="64" spans="1:25" ht="21.75" customHeight="1" x14ac:dyDescent="0.25">
      <c r="A64" s="139">
        <v>11</v>
      </c>
      <c r="B64" s="140" t="s">
        <v>60</v>
      </c>
      <c r="C64" s="140" t="s">
        <v>195</v>
      </c>
      <c r="D64" s="141">
        <v>2017</v>
      </c>
      <c r="E64" s="139">
        <v>2022</v>
      </c>
      <c r="F64" s="139">
        <f t="shared" si="13"/>
        <v>5</v>
      </c>
      <c r="G64" s="145">
        <v>1729500</v>
      </c>
      <c r="K64" s="175"/>
      <c r="L64" s="175"/>
      <c r="M64" s="175"/>
      <c r="N64" s="175"/>
      <c r="O64" s="175"/>
      <c r="P64" s="175"/>
      <c r="Q64" s="176"/>
      <c r="R64" s="176">
        <f t="shared" ref="R64:X64" si="16">SUM(R10:R63)</f>
        <v>7560500</v>
      </c>
      <c r="S64" s="176">
        <f t="shared" si="16"/>
        <v>8298000</v>
      </c>
      <c r="T64" s="176">
        <f t="shared" si="16"/>
        <v>3576000</v>
      </c>
      <c r="U64" s="177">
        <f t="shared" si="16"/>
        <v>134</v>
      </c>
      <c r="V64" s="176">
        <f t="shared" si="16"/>
        <v>4064000.0000000019</v>
      </c>
      <c r="W64" s="176">
        <f t="shared" si="16"/>
        <v>23498500</v>
      </c>
      <c r="X64" s="176">
        <f t="shared" si="16"/>
        <v>23498500</v>
      </c>
      <c r="Y64" s="176"/>
    </row>
    <row r="65" spans="1:25" x14ac:dyDescent="0.25">
      <c r="R65" s="160">
        <f>R9-R64</f>
        <v>0</v>
      </c>
      <c r="S65" s="160">
        <f>S9-S64</f>
        <v>0</v>
      </c>
      <c r="T65" s="160">
        <f>T9-T64</f>
        <v>0</v>
      </c>
      <c r="V65" s="160">
        <f>V9-V64</f>
        <v>0</v>
      </c>
      <c r="W65" s="160">
        <f>W9-W64</f>
        <v>0</v>
      </c>
      <c r="X65" s="160"/>
    </row>
    <row r="66" spans="1:25" hidden="1" x14ac:dyDescent="0.25">
      <c r="A66" s="139">
        <v>49</v>
      </c>
      <c r="B66" s="142" t="s">
        <v>44</v>
      </c>
      <c r="C66" s="142" t="s">
        <v>51</v>
      </c>
      <c r="D66" s="139">
        <v>1985</v>
      </c>
      <c r="E66" s="139">
        <v>2022</v>
      </c>
      <c r="F66" s="139">
        <f>E66-D66</f>
        <v>37</v>
      </c>
      <c r="G66" s="145">
        <v>2187300</v>
      </c>
      <c r="K66" s="174" t="s">
        <v>201</v>
      </c>
      <c r="L66" s="174" t="s">
        <v>204</v>
      </c>
      <c r="M66" s="174" t="s">
        <v>206</v>
      </c>
    </row>
    <row r="67" spans="1:25" hidden="1" x14ac:dyDescent="0.25">
      <c r="A67" s="139">
        <v>50</v>
      </c>
      <c r="B67" s="142" t="s">
        <v>53</v>
      </c>
      <c r="C67" s="142" t="s">
        <v>51</v>
      </c>
      <c r="D67" s="139">
        <v>1985</v>
      </c>
      <c r="E67" s="139">
        <v>2022</v>
      </c>
      <c r="F67" s="139">
        <f>E67-D67</f>
        <v>37</v>
      </c>
      <c r="G67" s="145">
        <v>2104800</v>
      </c>
      <c r="K67" s="172">
        <v>10</v>
      </c>
      <c r="L67" s="173" t="s">
        <v>63</v>
      </c>
      <c r="M67" s="172">
        <f>COUNTIF($U$10:$U$63,K67)</f>
        <v>1</v>
      </c>
      <c r="T67" s="160"/>
    </row>
    <row r="68" spans="1:25" hidden="1" x14ac:dyDescent="0.25">
      <c r="A68" s="139">
        <v>48</v>
      </c>
      <c r="B68" s="142" t="s">
        <v>48</v>
      </c>
      <c r="C68" s="142" t="s">
        <v>51</v>
      </c>
      <c r="D68" s="139">
        <v>1993</v>
      </c>
      <c r="E68" s="139">
        <v>2022</v>
      </c>
      <c r="F68" s="139">
        <f>E68-D68</f>
        <v>29</v>
      </c>
      <c r="G68" s="145">
        <v>2458000</v>
      </c>
      <c r="K68" s="172">
        <v>8</v>
      </c>
      <c r="L68" s="173" t="s">
        <v>83</v>
      </c>
      <c r="M68" s="172">
        <f>COUNTIF($U$11:$U$63,K68)</f>
        <v>4</v>
      </c>
    </row>
    <row r="69" spans="1:25" hidden="1" x14ac:dyDescent="0.25">
      <c r="B69" s="144"/>
      <c r="K69" s="172">
        <v>6</v>
      </c>
      <c r="L69" s="173" t="s">
        <v>202</v>
      </c>
      <c r="M69" s="172">
        <f>COUNTIF($U$11:$U$63,K69)</f>
        <v>2</v>
      </c>
    </row>
    <row r="70" spans="1:25" hidden="1" x14ac:dyDescent="0.25">
      <c r="K70" s="172">
        <v>5</v>
      </c>
      <c r="L70" s="173" t="s">
        <v>203</v>
      </c>
      <c r="M70" s="172">
        <f>COUNTIF($U$11:$U$63,K70)</f>
        <v>16</v>
      </c>
    </row>
    <row r="71" spans="1:25" hidden="1" x14ac:dyDescent="0.25"/>
    <row r="72" spans="1:25" hidden="1" x14ac:dyDescent="0.25"/>
    <row r="73" spans="1:25" hidden="1" x14ac:dyDescent="0.25"/>
    <row r="75" spans="1:25" x14ac:dyDescent="0.25">
      <c r="L75" s="185" t="s">
        <v>100</v>
      </c>
      <c r="X75" s="291" t="s">
        <v>212</v>
      </c>
      <c r="Y75" s="291"/>
    </row>
    <row r="76" spans="1:25" x14ac:dyDescent="0.25">
      <c r="G76" s="185"/>
      <c r="L76" s="185"/>
      <c r="Q76" s="185"/>
      <c r="U76" s="185"/>
      <c r="X76" s="185"/>
      <c r="Y76" s="185"/>
    </row>
    <row r="77" spans="1:25" x14ac:dyDescent="0.25">
      <c r="G77" s="185"/>
      <c r="L77" s="185"/>
      <c r="Q77" s="185"/>
      <c r="U77" s="185"/>
      <c r="X77" s="185"/>
      <c r="Y77" s="185"/>
    </row>
    <row r="78" spans="1:25" x14ac:dyDescent="0.25">
      <c r="L78" s="185"/>
    </row>
    <row r="79" spans="1:25" x14ac:dyDescent="0.25">
      <c r="L79" s="185"/>
    </row>
    <row r="80" spans="1:25" x14ac:dyDescent="0.25">
      <c r="L80" s="198" t="s">
        <v>214</v>
      </c>
      <c r="X80" s="298" t="s">
        <v>213</v>
      </c>
      <c r="Y80" s="298"/>
    </row>
  </sheetData>
  <sortState ref="K9:W52">
    <sortCondition ref="K10:K52"/>
  </sortState>
  <mergeCells count="19">
    <mergeCell ref="X75:Y75"/>
    <mergeCell ref="X80:Y80"/>
    <mergeCell ref="X8:X9"/>
    <mergeCell ref="Y8:Y9"/>
    <mergeCell ref="K1:Y1"/>
    <mergeCell ref="K2:Y2"/>
    <mergeCell ref="K3:Y3"/>
    <mergeCell ref="Q8:Q9"/>
    <mergeCell ref="U8:V8"/>
    <mergeCell ref="M4:P4"/>
    <mergeCell ref="M5:P5"/>
    <mergeCell ref="M6:P6"/>
    <mergeCell ref="K6:L6"/>
    <mergeCell ref="K8:K9"/>
    <mergeCell ref="L8:L9"/>
    <mergeCell ref="M8:M9"/>
    <mergeCell ref="N8:N9"/>
    <mergeCell ref="O8:O9"/>
    <mergeCell ref="P8:P9"/>
  </mergeCells>
  <pageMargins left="0.70866141732283472" right="0.70866141732283472" top="0.74803149606299213" bottom="0.74803149606299213" header="0.31496062992125984" footer="0.31496062992125984"/>
  <pageSetup paperSize="5" scale="80" orientation="portrait" horizontalDpi="4294967293" verticalDpi="0" r:id="rId1"/>
  <rowBreaks count="1" manualBreakCount="1">
    <brk id="55" max="3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view="pageBreakPreview" topLeftCell="G1" zoomScaleNormal="115" zoomScaleSheetLayoutView="100" workbookViewId="0">
      <selection activeCell="L1" sqref="L1:Y3"/>
    </sheetView>
  </sheetViews>
  <sheetFormatPr defaultRowHeight="16.5" x14ac:dyDescent="0.25"/>
  <cols>
    <col min="1" max="1" width="4" style="158" customWidth="1"/>
    <col min="2" max="2" width="36" style="158" customWidth="1"/>
    <col min="3" max="3" width="13.5703125" style="158" customWidth="1"/>
    <col min="4" max="5" width="6.140625" style="158" customWidth="1"/>
    <col min="6" max="6" width="3.85546875" style="158" customWidth="1"/>
    <col min="7" max="7" width="13.85546875" style="201" customWidth="1"/>
    <col min="8" max="8" width="12.7109375" style="158" customWidth="1"/>
    <col min="9" max="9" width="13.140625" style="158" customWidth="1"/>
    <col min="10" max="11" width="12.5703125" style="158" customWidth="1"/>
    <col min="12" max="12" width="5.5703125" style="158" customWidth="1"/>
    <col min="13" max="13" width="44.140625" style="158" customWidth="1"/>
    <col min="14" max="14" width="14" style="158" customWidth="1"/>
    <col min="15" max="16" width="6.140625" style="158" customWidth="1"/>
    <col min="17" max="17" width="3.85546875" style="158" customWidth="1"/>
    <col min="18" max="18" width="13.140625" style="201" bestFit="1" customWidth="1"/>
    <col min="19" max="20" width="12.5703125" style="158" customWidth="1"/>
    <col min="21" max="21" width="12.7109375" style="158" customWidth="1"/>
    <col min="22" max="22" width="7" style="201" customWidth="1"/>
    <col min="23" max="23" width="12.5703125" style="158" customWidth="1"/>
    <col min="24" max="24" width="13.85546875" style="158" customWidth="1"/>
    <col min="25" max="25" width="14.28515625" style="158" bestFit="1" customWidth="1"/>
    <col min="26" max="26" width="24.28515625" style="158" customWidth="1"/>
    <col min="27" max="16384" width="9.140625" style="158"/>
  </cols>
  <sheetData>
    <row r="1" spans="1:26" x14ac:dyDescent="0.25">
      <c r="L1" s="291" t="s">
        <v>205</v>
      </c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</row>
    <row r="2" spans="1:26" x14ac:dyDescent="0.25">
      <c r="L2" s="292" t="s">
        <v>64</v>
      </c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</row>
    <row r="3" spans="1:26" x14ac:dyDescent="0.25">
      <c r="B3" s="160">
        <v>23816000</v>
      </c>
      <c r="L3" s="292" t="s">
        <v>211</v>
      </c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2"/>
      <c r="Y3" s="292"/>
    </row>
    <row r="4" spans="1:26" x14ac:dyDescent="0.25">
      <c r="B4" s="160">
        <v>317500</v>
      </c>
      <c r="C4" s="158" t="s">
        <v>207</v>
      </c>
      <c r="L4" s="156">
        <v>1</v>
      </c>
      <c r="M4" s="157" t="s">
        <v>193</v>
      </c>
      <c r="N4" s="296">
        <f>$G$36</f>
        <v>48863200</v>
      </c>
      <c r="O4" s="296"/>
      <c r="P4" s="296"/>
      <c r="Q4" s="296"/>
      <c r="R4" s="207">
        <f>N4-(G9+G13+G24+G27+G35)</f>
        <v>30152200</v>
      </c>
    </row>
    <row r="5" spans="1:26" x14ac:dyDescent="0.25">
      <c r="A5" s="150"/>
      <c r="B5" s="181">
        <f>B3-B4</f>
        <v>23498500</v>
      </c>
      <c r="C5" s="151"/>
      <c r="D5" s="152"/>
      <c r="E5" s="150"/>
      <c r="F5" s="150"/>
      <c r="G5" s="153"/>
      <c r="L5" s="156">
        <v>2</v>
      </c>
      <c r="M5" s="157" t="s">
        <v>194</v>
      </c>
      <c r="N5" s="296">
        <f>$G$58</f>
        <v>31480500</v>
      </c>
      <c r="O5" s="296"/>
      <c r="P5" s="296"/>
      <c r="Q5" s="296"/>
      <c r="R5" s="207">
        <f>N5</f>
        <v>31480500</v>
      </c>
    </row>
    <row r="6" spans="1:26" x14ac:dyDescent="0.25">
      <c r="A6" s="150"/>
      <c r="B6" s="151"/>
      <c r="C6" s="151"/>
      <c r="D6" s="152"/>
      <c r="E6" s="150"/>
      <c r="F6" s="150"/>
      <c r="G6" s="153"/>
      <c r="L6" s="297" t="s">
        <v>167</v>
      </c>
      <c r="M6" s="297"/>
      <c r="N6" s="296">
        <f>SUM(N4:Q5)</f>
        <v>80343700</v>
      </c>
      <c r="O6" s="296"/>
      <c r="P6" s="296"/>
      <c r="Q6" s="296"/>
      <c r="R6" s="207">
        <f>SUM(R4:R5)</f>
        <v>61632700</v>
      </c>
    </row>
    <row r="7" spans="1:26" x14ac:dyDescent="0.25">
      <c r="A7" s="150"/>
      <c r="B7" s="151"/>
      <c r="C7" s="151"/>
      <c r="D7" s="152"/>
      <c r="E7" s="150"/>
      <c r="F7" s="150"/>
      <c r="G7" s="153"/>
      <c r="L7" s="200"/>
      <c r="M7" s="131"/>
      <c r="N7" s="199"/>
      <c r="O7" s="199"/>
      <c r="P7" s="199"/>
      <c r="Q7" s="199"/>
    </row>
    <row r="8" spans="1:26" x14ac:dyDescent="0.25">
      <c r="A8" s="170" t="s">
        <v>117</v>
      </c>
      <c r="B8" s="170" t="s">
        <v>134</v>
      </c>
      <c r="C8" s="170" t="s">
        <v>62</v>
      </c>
      <c r="D8" s="170" t="s">
        <v>180</v>
      </c>
      <c r="E8" s="170" t="s">
        <v>58</v>
      </c>
      <c r="F8" s="170" t="s">
        <v>55</v>
      </c>
      <c r="G8" s="170" t="s">
        <v>198</v>
      </c>
      <c r="H8" s="195"/>
      <c r="I8" s="195"/>
      <c r="J8" s="195"/>
      <c r="K8" s="195"/>
      <c r="L8" s="293" t="s">
        <v>117</v>
      </c>
      <c r="M8" s="293" t="s">
        <v>134</v>
      </c>
      <c r="N8" s="293" t="s">
        <v>62</v>
      </c>
      <c r="O8" s="293" t="s">
        <v>180</v>
      </c>
      <c r="P8" s="293" t="s">
        <v>58</v>
      </c>
      <c r="Q8" s="293" t="s">
        <v>55</v>
      </c>
      <c r="R8" s="293" t="s">
        <v>198</v>
      </c>
      <c r="S8" s="203" t="s">
        <v>195</v>
      </c>
      <c r="T8" s="203" t="s">
        <v>216</v>
      </c>
      <c r="U8" s="203" t="s">
        <v>136</v>
      </c>
      <c r="V8" s="294" t="s">
        <v>196</v>
      </c>
      <c r="W8" s="295"/>
      <c r="X8" s="203" t="s">
        <v>167</v>
      </c>
      <c r="Y8" s="299" t="s">
        <v>167</v>
      </c>
      <c r="Z8" s="299" t="s">
        <v>210</v>
      </c>
    </row>
    <row r="9" spans="1:26" x14ac:dyDescent="0.25">
      <c r="A9" s="139">
        <v>3</v>
      </c>
      <c r="B9" s="140" t="s">
        <v>6</v>
      </c>
      <c r="C9" s="140" t="s">
        <v>195</v>
      </c>
      <c r="D9" s="141">
        <v>1992</v>
      </c>
      <c r="E9" s="139">
        <v>2022</v>
      </c>
      <c r="F9" s="139">
        <f t="shared" ref="F9:F34" si="0">E9-D9</f>
        <v>30</v>
      </c>
      <c r="G9" s="145">
        <v>3979500</v>
      </c>
      <c r="H9" s="195"/>
      <c r="I9" s="195"/>
      <c r="J9" s="195"/>
      <c r="K9" s="195"/>
      <c r="L9" s="293"/>
      <c r="M9" s="293"/>
      <c r="N9" s="293"/>
      <c r="O9" s="293"/>
      <c r="P9" s="293"/>
      <c r="Q9" s="293"/>
      <c r="R9" s="293"/>
      <c r="S9" s="179">
        <v>7560500</v>
      </c>
      <c r="T9" s="179">
        <v>8298000</v>
      </c>
      <c r="U9" s="179">
        <v>3576000</v>
      </c>
      <c r="V9" s="180" t="s">
        <v>201</v>
      </c>
      <c r="W9" s="179">
        <v>4064000</v>
      </c>
      <c r="X9" s="179">
        <f>SUM(S9:W9)</f>
        <v>23498500</v>
      </c>
      <c r="Y9" s="300"/>
      <c r="Z9" s="300"/>
    </row>
    <row r="10" spans="1:26" ht="21.75" customHeight="1" x14ac:dyDescent="0.25">
      <c r="A10" s="139">
        <v>32</v>
      </c>
      <c r="B10" s="142" t="s">
        <v>28</v>
      </c>
      <c r="C10" s="142" t="s">
        <v>51</v>
      </c>
      <c r="D10" s="139">
        <v>1993</v>
      </c>
      <c r="E10" s="139">
        <v>2022</v>
      </c>
      <c r="F10" s="139">
        <f t="shared" si="0"/>
        <v>29</v>
      </c>
      <c r="G10" s="189">
        <v>1715000</v>
      </c>
      <c r="H10" s="189">
        <v>1815000</v>
      </c>
      <c r="I10" s="209">
        <f>H10-G10</f>
        <v>100000</v>
      </c>
      <c r="J10" s="153"/>
      <c r="K10" s="153"/>
      <c r="L10" s="161">
        <v>1</v>
      </c>
      <c r="M10" s="165" t="s">
        <v>4</v>
      </c>
      <c r="N10" s="165" t="s">
        <v>195</v>
      </c>
      <c r="O10" s="166">
        <v>2006</v>
      </c>
      <c r="P10" s="161">
        <v>2022</v>
      </c>
      <c r="Q10" s="161">
        <f>P10-O10</f>
        <v>16</v>
      </c>
      <c r="R10" s="163">
        <v>3995000</v>
      </c>
      <c r="S10" s="164">
        <v>1000000</v>
      </c>
      <c r="T10" s="169"/>
      <c r="U10" s="164">
        <f>(R10/$N$4)*$U$9</f>
        <v>292369.71790631808</v>
      </c>
      <c r="V10" s="168">
        <v>10</v>
      </c>
      <c r="W10" s="164">
        <f t="shared" ref="W10:W22" si="1">(V10/$V$64)*$W$9</f>
        <v>303283.58208955219</v>
      </c>
      <c r="X10" s="164">
        <f>S10+T10+U10+W10</f>
        <v>1595653.2999958703</v>
      </c>
      <c r="Y10" s="164">
        <f>ROUND(X10,-3)</f>
        <v>1596000</v>
      </c>
      <c r="Z10" s="196">
        <v>1</v>
      </c>
    </row>
    <row r="11" spans="1:26" ht="21.75" customHeight="1" x14ac:dyDescent="0.25">
      <c r="A11" s="139">
        <v>14</v>
      </c>
      <c r="B11" s="142" t="s">
        <v>15</v>
      </c>
      <c r="C11" s="142" t="s">
        <v>51</v>
      </c>
      <c r="D11" s="139">
        <v>1996</v>
      </c>
      <c r="E11" s="139">
        <v>2022</v>
      </c>
      <c r="F11" s="139">
        <f t="shared" si="0"/>
        <v>26</v>
      </c>
      <c r="G11" s="145">
        <v>1450000</v>
      </c>
      <c r="H11" s="195"/>
      <c r="I11" s="195"/>
      <c r="J11" s="195"/>
      <c r="K11" s="195"/>
      <c r="L11" s="161">
        <v>2</v>
      </c>
      <c r="M11" s="165" t="s">
        <v>5</v>
      </c>
      <c r="N11" s="165" t="s">
        <v>195</v>
      </c>
      <c r="O11" s="166">
        <v>1998</v>
      </c>
      <c r="P11" s="161">
        <v>2022</v>
      </c>
      <c r="Q11" s="161">
        <f>P11-O11</f>
        <v>24</v>
      </c>
      <c r="R11" s="163">
        <v>3704500</v>
      </c>
      <c r="S11" s="164">
        <v>950000</v>
      </c>
      <c r="T11" s="169"/>
      <c r="U11" s="164">
        <f t="shared" ref="U11:U15" si="2">(R11/$N$4)*$U$9</f>
        <v>271109.79223628418</v>
      </c>
      <c r="V11" s="168">
        <v>8</v>
      </c>
      <c r="W11" s="164">
        <f t="shared" si="1"/>
        <v>242626.86567164178</v>
      </c>
      <c r="X11" s="164">
        <f t="shared" ref="X11:X63" si="3">S11+T11+U11+W11</f>
        <v>1463736.657907926</v>
      </c>
      <c r="Y11" s="164">
        <f>ROUND(X11,-3)</f>
        <v>1464000</v>
      </c>
      <c r="Z11" s="197">
        <v>2</v>
      </c>
    </row>
    <row r="12" spans="1:26" ht="21.75" customHeight="1" x14ac:dyDescent="0.25">
      <c r="A12" s="139">
        <v>33</v>
      </c>
      <c r="B12" s="142" t="s">
        <v>29</v>
      </c>
      <c r="C12" s="142" t="s">
        <v>51</v>
      </c>
      <c r="D12" s="143">
        <v>1996</v>
      </c>
      <c r="E12" s="139">
        <v>2022</v>
      </c>
      <c r="F12" s="139">
        <f t="shared" si="0"/>
        <v>26</v>
      </c>
      <c r="G12" s="145">
        <v>1500000</v>
      </c>
      <c r="H12" s="195"/>
      <c r="I12" s="195"/>
      <c r="J12" s="195"/>
      <c r="K12" s="195"/>
      <c r="L12" s="161">
        <v>3</v>
      </c>
      <c r="M12" s="165" t="s">
        <v>6</v>
      </c>
      <c r="N12" s="165" t="s">
        <v>195</v>
      </c>
      <c r="O12" s="166">
        <v>1992</v>
      </c>
      <c r="P12" s="161">
        <v>2022</v>
      </c>
      <c r="Q12" s="161">
        <f>P12-O12</f>
        <v>30</v>
      </c>
      <c r="R12" s="163">
        <v>3979500</v>
      </c>
      <c r="S12" s="164">
        <v>850000</v>
      </c>
      <c r="T12" s="169"/>
      <c r="U12" s="164">
        <f t="shared" si="2"/>
        <v>291235.36731118715</v>
      </c>
      <c r="V12" s="168">
        <v>8</v>
      </c>
      <c r="W12" s="164">
        <f t="shared" si="1"/>
        <v>242626.86567164178</v>
      </c>
      <c r="X12" s="164">
        <f t="shared" si="3"/>
        <v>1383862.2329828287</v>
      </c>
      <c r="Y12" s="164">
        <f t="shared" ref="Y12:Y63" si="4">ROUND(X12,-3)</f>
        <v>1384000</v>
      </c>
      <c r="Z12" s="196">
        <v>3</v>
      </c>
    </row>
    <row r="13" spans="1:26" ht="21.75" customHeight="1" x14ac:dyDescent="0.25">
      <c r="A13" s="139">
        <v>2</v>
      </c>
      <c r="B13" s="140" t="s">
        <v>5</v>
      </c>
      <c r="C13" s="140" t="s">
        <v>195</v>
      </c>
      <c r="D13" s="141">
        <v>1998</v>
      </c>
      <c r="E13" s="139">
        <v>2022</v>
      </c>
      <c r="F13" s="139">
        <f t="shared" si="0"/>
        <v>24</v>
      </c>
      <c r="G13" s="145">
        <v>3704500</v>
      </c>
      <c r="H13" s="195"/>
      <c r="I13" s="195"/>
      <c r="J13" s="195"/>
      <c r="K13" s="195"/>
      <c r="L13" s="161">
        <v>4</v>
      </c>
      <c r="M13" s="165" t="s">
        <v>166</v>
      </c>
      <c r="N13" s="165" t="s">
        <v>195</v>
      </c>
      <c r="O13" s="166">
        <v>2007</v>
      </c>
      <c r="P13" s="161">
        <v>2022</v>
      </c>
      <c r="Q13" s="161">
        <f>P13-O13</f>
        <v>15</v>
      </c>
      <c r="R13" s="163">
        <v>3572000</v>
      </c>
      <c r="S13" s="164">
        <v>900000</v>
      </c>
      <c r="T13" s="169"/>
      <c r="U13" s="164">
        <f t="shared" si="2"/>
        <v>261412.92424564908</v>
      </c>
      <c r="V13" s="168">
        <v>8</v>
      </c>
      <c r="W13" s="164">
        <f t="shared" si="1"/>
        <v>242626.86567164178</v>
      </c>
      <c r="X13" s="164">
        <f t="shared" si="3"/>
        <v>1404039.7899172907</v>
      </c>
      <c r="Y13" s="164">
        <f>ROUND(X13,-3)+2500</f>
        <v>1406500</v>
      </c>
      <c r="Z13" s="197">
        <v>4</v>
      </c>
    </row>
    <row r="14" spans="1:26" ht="21.75" customHeight="1" x14ac:dyDescent="0.25">
      <c r="A14" s="139">
        <v>34</v>
      </c>
      <c r="B14" s="142" t="s">
        <v>30</v>
      </c>
      <c r="C14" s="142" t="s">
        <v>51</v>
      </c>
      <c r="D14" s="139">
        <v>1999</v>
      </c>
      <c r="E14" s="139">
        <v>2022</v>
      </c>
      <c r="F14" s="139">
        <f t="shared" si="0"/>
        <v>23</v>
      </c>
      <c r="G14" s="145">
        <v>1340000</v>
      </c>
      <c r="H14" s="195"/>
      <c r="I14" s="195"/>
      <c r="J14" s="195"/>
      <c r="K14" s="195"/>
      <c r="L14" s="161">
        <v>5</v>
      </c>
      <c r="M14" s="165" t="s">
        <v>8</v>
      </c>
      <c r="N14" s="165" t="s">
        <v>195</v>
      </c>
      <c r="O14" s="166">
        <v>2012</v>
      </c>
      <c r="P14" s="161">
        <v>2022</v>
      </c>
      <c r="Q14" s="161">
        <v>11</v>
      </c>
      <c r="R14" s="163">
        <v>3460000</v>
      </c>
      <c r="S14" s="164">
        <v>900000</v>
      </c>
      <c r="T14" s="169"/>
      <c r="U14" s="164">
        <f t="shared" si="2"/>
        <v>253216.32639696132</v>
      </c>
      <c r="V14" s="168">
        <v>8</v>
      </c>
      <c r="W14" s="164">
        <f t="shared" si="1"/>
        <v>242626.86567164178</v>
      </c>
      <c r="X14" s="164">
        <f t="shared" si="3"/>
        <v>1395843.1920686029</v>
      </c>
      <c r="Y14" s="164">
        <f t="shared" si="4"/>
        <v>1396000</v>
      </c>
      <c r="Z14" s="196">
        <v>5</v>
      </c>
    </row>
    <row r="15" spans="1:26" ht="21.75" customHeight="1" x14ac:dyDescent="0.25">
      <c r="A15" s="139">
        <v>35</v>
      </c>
      <c r="B15" s="142" t="s">
        <v>31</v>
      </c>
      <c r="C15" s="142" t="s">
        <v>51</v>
      </c>
      <c r="D15" s="139">
        <v>2000</v>
      </c>
      <c r="E15" s="139">
        <v>2022</v>
      </c>
      <c r="F15" s="139">
        <f t="shared" si="0"/>
        <v>22</v>
      </c>
      <c r="G15" s="145">
        <v>1497500</v>
      </c>
      <c r="H15" s="195"/>
      <c r="I15" s="195"/>
      <c r="J15" s="195"/>
      <c r="K15" s="195"/>
      <c r="L15" s="161">
        <v>6</v>
      </c>
      <c r="M15" s="162" t="s">
        <v>10</v>
      </c>
      <c r="N15" s="165" t="s">
        <v>195</v>
      </c>
      <c r="O15" s="166">
        <v>2007</v>
      </c>
      <c r="P15" s="161">
        <v>2022</v>
      </c>
      <c r="Q15" s="161">
        <f t="shared" ref="Q15:Q57" si="5">P15-O15</f>
        <v>15</v>
      </c>
      <c r="R15" s="180">
        <f>G28</f>
        <v>1865000</v>
      </c>
      <c r="S15" s="164"/>
      <c r="T15" s="164">
        <f>(R15/$R$6)*$T$9</f>
        <v>251096.7392309602</v>
      </c>
      <c r="U15" s="164">
        <f t="shared" si="2"/>
        <v>136487.99096252394</v>
      </c>
      <c r="V15" s="168">
        <v>6</v>
      </c>
      <c r="W15" s="164">
        <f t="shared" si="1"/>
        <v>181970.14925373133</v>
      </c>
      <c r="X15" s="164">
        <f t="shared" si="3"/>
        <v>569554.87944721547</v>
      </c>
      <c r="Y15" s="190">
        <f t="shared" si="4"/>
        <v>570000</v>
      </c>
      <c r="Z15" s="197">
        <v>6</v>
      </c>
    </row>
    <row r="16" spans="1:26" ht="21.75" customHeight="1" x14ac:dyDescent="0.25">
      <c r="A16" s="139">
        <v>36</v>
      </c>
      <c r="B16" s="142" t="s">
        <v>32</v>
      </c>
      <c r="C16" s="142" t="s">
        <v>51</v>
      </c>
      <c r="D16" s="139">
        <v>2000</v>
      </c>
      <c r="E16" s="139">
        <v>2022</v>
      </c>
      <c r="F16" s="139">
        <f t="shared" si="0"/>
        <v>22</v>
      </c>
      <c r="G16" s="145">
        <v>1371000</v>
      </c>
      <c r="H16" s="195"/>
      <c r="I16" s="195"/>
      <c r="J16" s="195"/>
      <c r="K16" s="195"/>
      <c r="L16" s="161">
        <v>7</v>
      </c>
      <c r="M16" s="162" t="s">
        <v>43</v>
      </c>
      <c r="N16" s="165" t="s">
        <v>195</v>
      </c>
      <c r="O16" s="166">
        <v>2021</v>
      </c>
      <c r="P16" s="161">
        <v>2022</v>
      </c>
      <c r="Q16" s="161">
        <f t="shared" si="5"/>
        <v>1</v>
      </c>
      <c r="R16" s="163">
        <v>1814000</v>
      </c>
      <c r="S16" s="164"/>
      <c r="T16" s="164">
        <f>(R16/$R$6)*$T$9</f>
        <v>244230.28684448352</v>
      </c>
      <c r="U16" s="164">
        <v>0</v>
      </c>
      <c r="V16" s="168">
        <v>6</v>
      </c>
      <c r="W16" s="164">
        <f t="shared" si="1"/>
        <v>181970.14925373133</v>
      </c>
      <c r="X16" s="164">
        <f t="shared" si="3"/>
        <v>426200.43609821482</v>
      </c>
      <c r="Y16" s="164">
        <f t="shared" si="4"/>
        <v>426000</v>
      </c>
      <c r="Z16" s="196">
        <v>7</v>
      </c>
    </row>
    <row r="17" spans="1:26" ht="21.75" customHeight="1" x14ac:dyDescent="0.25">
      <c r="A17" s="139">
        <v>15</v>
      </c>
      <c r="B17" s="142" t="s">
        <v>16</v>
      </c>
      <c r="C17" s="142" t="s">
        <v>51</v>
      </c>
      <c r="D17" s="139">
        <v>2001</v>
      </c>
      <c r="E17" s="139">
        <v>2022</v>
      </c>
      <c r="F17" s="139">
        <f t="shared" si="0"/>
        <v>21</v>
      </c>
      <c r="G17" s="145">
        <v>1287000</v>
      </c>
      <c r="H17" s="195"/>
      <c r="I17" s="195"/>
      <c r="J17" s="195"/>
      <c r="K17" s="195"/>
      <c r="L17" s="161">
        <v>8</v>
      </c>
      <c r="M17" s="162" t="s">
        <v>197</v>
      </c>
      <c r="N17" s="165" t="s">
        <v>195</v>
      </c>
      <c r="O17" s="166">
        <v>1997</v>
      </c>
      <c r="P17" s="161">
        <v>2022</v>
      </c>
      <c r="Q17" s="161">
        <f t="shared" si="5"/>
        <v>25</v>
      </c>
      <c r="R17" s="163">
        <v>2433500</v>
      </c>
      <c r="S17" s="164">
        <v>750000</v>
      </c>
      <c r="T17" s="169"/>
      <c r="U17" s="169"/>
      <c r="V17" s="171"/>
      <c r="W17" s="169">
        <f t="shared" si="1"/>
        <v>0</v>
      </c>
      <c r="X17" s="164">
        <f t="shared" si="3"/>
        <v>750000</v>
      </c>
      <c r="Y17" s="164">
        <f t="shared" si="4"/>
        <v>750000</v>
      </c>
      <c r="Z17" s="197">
        <v>8</v>
      </c>
    </row>
    <row r="18" spans="1:26" ht="21.75" customHeight="1" x14ac:dyDescent="0.25">
      <c r="A18" s="139">
        <v>37</v>
      </c>
      <c r="B18" s="142" t="s">
        <v>33</v>
      </c>
      <c r="C18" s="142" t="s">
        <v>51</v>
      </c>
      <c r="D18" s="139">
        <v>2001</v>
      </c>
      <c r="E18" s="139">
        <v>2022</v>
      </c>
      <c r="F18" s="139">
        <f t="shared" si="0"/>
        <v>21</v>
      </c>
      <c r="G18" s="145">
        <v>1611750</v>
      </c>
      <c r="H18" s="195"/>
      <c r="I18" s="195"/>
      <c r="J18" s="195"/>
      <c r="K18" s="195"/>
      <c r="L18" s="161">
        <v>9</v>
      </c>
      <c r="M18" s="165" t="s">
        <v>12</v>
      </c>
      <c r="N18" s="165" t="s">
        <v>195</v>
      </c>
      <c r="O18" s="166">
        <v>1992</v>
      </c>
      <c r="P18" s="161">
        <v>2022</v>
      </c>
      <c r="Q18" s="161">
        <f t="shared" si="5"/>
        <v>30</v>
      </c>
      <c r="R18" s="163">
        <v>1742000</v>
      </c>
      <c r="S18" s="164">
        <v>585000</v>
      </c>
      <c r="T18" s="169"/>
      <c r="U18" s="169"/>
      <c r="V18" s="171"/>
      <c r="W18" s="169">
        <f t="shared" si="1"/>
        <v>0</v>
      </c>
      <c r="X18" s="164">
        <f t="shared" si="3"/>
        <v>585000</v>
      </c>
      <c r="Y18" s="164">
        <f t="shared" si="4"/>
        <v>585000</v>
      </c>
      <c r="Z18" s="196">
        <v>9</v>
      </c>
    </row>
    <row r="19" spans="1:26" ht="21.75" customHeight="1" x14ac:dyDescent="0.25">
      <c r="A19" s="139">
        <v>16</v>
      </c>
      <c r="B19" s="142" t="s">
        <v>17</v>
      </c>
      <c r="C19" s="142" t="s">
        <v>51</v>
      </c>
      <c r="D19" s="139">
        <v>2004</v>
      </c>
      <c r="E19" s="139">
        <v>2022</v>
      </c>
      <c r="F19" s="139">
        <f t="shared" si="0"/>
        <v>18</v>
      </c>
      <c r="G19" s="145">
        <v>1100000</v>
      </c>
      <c r="H19" s="145"/>
      <c r="I19" s="153"/>
      <c r="J19" s="153"/>
      <c r="K19" s="153"/>
      <c r="L19" s="161">
        <v>10</v>
      </c>
      <c r="M19" s="165" t="s">
        <v>49</v>
      </c>
      <c r="N19" s="165" t="s">
        <v>195</v>
      </c>
      <c r="O19" s="166">
        <v>1992</v>
      </c>
      <c r="P19" s="161">
        <v>2022</v>
      </c>
      <c r="Q19" s="161">
        <f t="shared" si="5"/>
        <v>30</v>
      </c>
      <c r="R19" s="163">
        <v>1742000</v>
      </c>
      <c r="S19" s="164">
        <v>585000</v>
      </c>
      <c r="T19" s="169"/>
      <c r="U19" s="169"/>
      <c r="V19" s="171"/>
      <c r="W19" s="169">
        <f t="shared" si="1"/>
        <v>0</v>
      </c>
      <c r="X19" s="164">
        <f t="shared" si="3"/>
        <v>585000</v>
      </c>
      <c r="Y19" s="164">
        <f t="shared" si="4"/>
        <v>585000</v>
      </c>
      <c r="Z19" s="197">
        <v>10</v>
      </c>
    </row>
    <row r="20" spans="1:26" ht="21.75" customHeight="1" x14ac:dyDescent="0.25">
      <c r="A20" s="139">
        <v>38</v>
      </c>
      <c r="B20" s="142" t="s">
        <v>34</v>
      </c>
      <c r="C20" s="142" t="s">
        <v>51</v>
      </c>
      <c r="D20" s="139">
        <v>2004</v>
      </c>
      <c r="E20" s="139">
        <v>2022</v>
      </c>
      <c r="F20" s="139">
        <f t="shared" si="0"/>
        <v>18</v>
      </c>
      <c r="G20" s="189">
        <v>1810000</v>
      </c>
      <c r="H20" s="189">
        <v>1910000</v>
      </c>
      <c r="I20" s="209">
        <f>H20-G20</f>
        <v>100000</v>
      </c>
      <c r="J20" s="153"/>
      <c r="K20" s="153"/>
      <c r="L20" s="161">
        <v>11</v>
      </c>
      <c r="M20" s="165" t="s">
        <v>60</v>
      </c>
      <c r="N20" s="165" t="s">
        <v>195</v>
      </c>
      <c r="O20" s="166">
        <v>2017</v>
      </c>
      <c r="P20" s="161">
        <v>2022</v>
      </c>
      <c r="Q20" s="161">
        <f t="shared" si="5"/>
        <v>5</v>
      </c>
      <c r="R20" s="163">
        <v>1729500</v>
      </c>
      <c r="S20" s="164">
        <v>599000</v>
      </c>
      <c r="T20" s="169"/>
      <c r="U20" s="169"/>
      <c r="V20" s="171"/>
      <c r="W20" s="169">
        <f t="shared" si="1"/>
        <v>0</v>
      </c>
      <c r="X20" s="164">
        <f t="shared" si="3"/>
        <v>599000</v>
      </c>
      <c r="Y20" s="164">
        <f t="shared" si="4"/>
        <v>599000</v>
      </c>
      <c r="Z20" s="196">
        <v>11</v>
      </c>
    </row>
    <row r="21" spans="1:26" ht="21.75" customHeight="1" x14ac:dyDescent="0.25">
      <c r="A21" s="139">
        <v>51</v>
      </c>
      <c r="B21" s="140" t="s">
        <v>175</v>
      </c>
      <c r="C21" s="140" t="s">
        <v>200</v>
      </c>
      <c r="D21" s="141">
        <v>2004</v>
      </c>
      <c r="E21" s="139">
        <v>2022</v>
      </c>
      <c r="F21" s="139">
        <f t="shared" si="0"/>
        <v>18</v>
      </c>
      <c r="G21" s="145">
        <v>813800</v>
      </c>
      <c r="H21" s="145"/>
      <c r="I21" s="195"/>
      <c r="J21" s="195"/>
      <c r="K21" s="195"/>
      <c r="L21" s="161">
        <v>12</v>
      </c>
      <c r="M21" s="165" t="s">
        <v>13</v>
      </c>
      <c r="N21" s="165" t="s">
        <v>195</v>
      </c>
      <c r="O21" s="166">
        <v>2002</v>
      </c>
      <c r="P21" s="161">
        <v>2022</v>
      </c>
      <c r="Q21" s="161">
        <f t="shared" si="5"/>
        <v>20</v>
      </c>
      <c r="R21" s="163">
        <v>1891000</v>
      </c>
      <c r="S21" s="164">
        <v>120000</v>
      </c>
      <c r="T21" s="169"/>
      <c r="U21" s="169"/>
      <c r="V21" s="171"/>
      <c r="W21" s="169">
        <f t="shared" si="1"/>
        <v>0</v>
      </c>
      <c r="X21" s="164">
        <f t="shared" si="3"/>
        <v>120000</v>
      </c>
      <c r="Y21" s="164">
        <f t="shared" si="4"/>
        <v>120000</v>
      </c>
      <c r="Z21" s="197">
        <v>12</v>
      </c>
    </row>
    <row r="22" spans="1:26" ht="21.75" customHeight="1" x14ac:dyDescent="0.25">
      <c r="A22" s="139">
        <v>39</v>
      </c>
      <c r="B22" s="142" t="s">
        <v>35</v>
      </c>
      <c r="C22" s="142" t="s">
        <v>51</v>
      </c>
      <c r="D22" s="139">
        <v>2005</v>
      </c>
      <c r="E22" s="139">
        <v>2022</v>
      </c>
      <c r="F22" s="139">
        <f t="shared" si="0"/>
        <v>17</v>
      </c>
      <c r="G22" s="145">
        <v>1218500</v>
      </c>
      <c r="H22" s="195"/>
      <c r="I22" s="195"/>
      <c r="J22" s="195"/>
      <c r="K22" s="195"/>
      <c r="L22" s="161">
        <v>13</v>
      </c>
      <c r="M22" s="165" t="s">
        <v>163</v>
      </c>
      <c r="N22" s="165" t="s">
        <v>208</v>
      </c>
      <c r="O22" s="166">
        <v>2022</v>
      </c>
      <c r="P22" s="161">
        <v>2022</v>
      </c>
      <c r="Q22" s="161">
        <f t="shared" si="5"/>
        <v>0</v>
      </c>
      <c r="R22" s="163">
        <v>1617000</v>
      </c>
      <c r="S22" s="164">
        <v>321500</v>
      </c>
      <c r="T22" s="169"/>
      <c r="U22" s="169"/>
      <c r="V22" s="171"/>
      <c r="W22" s="169">
        <f t="shared" si="1"/>
        <v>0</v>
      </c>
      <c r="X22" s="164">
        <f t="shared" si="3"/>
        <v>321500</v>
      </c>
      <c r="Y22" s="164">
        <f t="shared" si="4"/>
        <v>322000</v>
      </c>
      <c r="Z22" s="196">
        <v>13</v>
      </c>
    </row>
    <row r="23" spans="1:26" ht="21.75" customHeight="1" x14ac:dyDescent="0.25">
      <c r="A23" s="139">
        <v>40</v>
      </c>
      <c r="B23" s="142" t="s">
        <v>36</v>
      </c>
      <c r="C23" s="142" t="s">
        <v>51</v>
      </c>
      <c r="D23" s="139">
        <v>2005</v>
      </c>
      <c r="E23" s="139">
        <v>2022</v>
      </c>
      <c r="F23" s="139">
        <f t="shared" si="0"/>
        <v>17</v>
      </c>
      <c r="G23" s="189">
        <v>1925000</v>
      </c>
      <c r="H23" s="189">
        <v>2125000</v>
      </c>
      <c r="I23" s="209">
        <f>H23-G23</f>
        <v>200000</v>
      </c>
      <c r="J23" s="153"/>
      <c r="K23" s="153"/>
      <c r="L23" s="161">
        <v>14</v>
      </c>
      <c r="M23" s="140" t="s">
        <v>98</v>
      </c>
      <c r="N23" s="165" t="s">
        <v>97</v>
      </c>
      <c r="O23" s="161">
        <v>1996</v>
      </c>
      <c r="P23" s="161">
        <v>2022</v>
      </c>
      <c r="Q23" s="161">
        <f t="shared" si="5"/>
        <v>26</v>
      </c>
      <c r="R23" s="183">
        <v>1672000</v>
      </c>
      <c r="S23" s="164"/>
      <c r="T23" s="164">
        <f>(R23/$R$6)*$T$9</f>
        <v>225111.92921939166</v>
      </c>
      <c r="U23" s="169"/>
      <c r="V23" s="171"/>
      <c r="W23" s="169"/>
      <c r="X23" s="164">
        <f t="shared" si="3"/>
        <v>225111.92921939166</v>
      </c>
      <c r="Y23" s="164">
        <f t="shared" si="4"/>
        <v>225000</v>
      </c>
      <c r="Z23" s="197">
        <v>14</v>
      </c>
    </row>
    <row r="24" spans="1:26" ht="21.75" customHeight="1" x14ac:dyDescent="0.25">
      <c r="A24" s="139">
        <v>1</v>
      </c>
      <c r="B24" s="140" t="s">
        <v>4</v>
      </c>
      <c r="C24" s="140" t="s">
        <v>195</v>
      </c>
      <c r="D24" s="141">
        <v>2006</v>
      </c>
      <c r="E24" s="139">
        <v>2022</v>
      </c>
      <c r="F24" s="139">
        <f t="shared" si="0"/>
        <v>16</v>
      </c>
      <c r="G24" s="145">
        <v>3995000</v>
      </c>
      <c r="H24" s="195"/>
      <c r="I24" s="195"/>
      <c r="J24" s="195"/>
      <c r="K24" s="195"/>
      <c r="L24" s="161">
        <v>15</v>
      </c>
      <c r="M24" s="162" t="s">
        <v>15</v>
      </c>
      <c r="N24" s="162" t="s">
        <v>51</v>
      </c>
      <c r="O24" s="161">
        <v>1996</v>
      </c>
      <c r="P24" s="161">
        <v>2022</v>
      </c>
      <c r="Q24" s="161">
        <f t="shared" si="5"/>
        <v>26</v>
      </c>
      <c r="R24" s="163">
        <v>1450000</v>
      </c>
      <c r="S24" s="164"/>
      <c r="T24" s="164">
        <f t="shared" ref="T24:T63" si="6">(R24/$R$6)*$T$9</f>
        <v>195222.66589002268</v>
      </c>
      <c r="U24" s="164">
        <f t="shared" ref="U24:U27" si="7">(R24/$N$4)*$U$9</f>
        <v>106116.66857676125</v>
      </c>
      <c r="V24" s="168"/>
      <c r="W24" s="164">
        <f t="shared" ref="W24:W57" si="8">(V24/$V$64)*$W$9</f>
        <v>0</v>
      </c>
      <c r="X24" s="164">
        <f t="shared" si="3"/>
        <v>301339.33446678391</v>
      </c>
      <c r="Y24" s="164">
        <f t="shared" si="4"/>
        <v>301000</v>
      </c>
      <c r="Z24" s="196">
        <v>15</v>
      </c>
    </row>
    <row r="25" spans="1:26" ht="21.75" customHeight="1" x14ac:dyDescent="0.25">
      <c r="A25" s="139">
        <v>41</v>
      </c>
      <c r="B25" s="142" t="s">
        <v>37</v>
      </c>
      <c r="C25" s="142" t="s">
        <v>51</v>
      </c>
      <c r="D25" s="139">
        <v>2006</v>
      </c>
      <c r="E25" s="139">
        <v>2022</v>
      </c>
      <c r="F25" s="139">
        <f t="shared" si="0"/>
        <v>16</v>
      </c>
      <c r="G25" s="145">
        <v>1552000</v>
      </c>
      <c r="H25" s="195"/>
      <c r="I25" s="195"/>
      <c r="J25" s="195"/>
      <c r="K25" s="195"/>
      <c r="L25" s="161">
        <v>16</v>
      </c>
      <c r="M25" s="162" t="s">
        <v>16</v>
      </c>
      <c r="N25" s="162" t="s">
        <v>51</v>
      </c>
      <c r="O25" s="161">
        <v>2001</v>
      </c>
      <c r="P25" s="161">
        <v>2022</v>
      </c>
      <c r="Q25" s="161">
        <f t="shared" si="5"/>
        <v>21</v>
      </c>
      <c r="R25" s="163">
        <v>1287000</v>
      </c>
      <c r="S25" s="164"/>
      <c r="T25" s="164">
        <f t="shared" si="6"/>
        <v>173276.94551755805</v>
      </c>
      <c r="U25" s="164">
        <f t="shared" si="7"/>
        <v>94187.691350546011</v>
      </c>
      <c r="V25" s="168"/>
      <c r="W25" s="164">
        <f t="shared" si="8"/>
        <v>0</v>
      </c>
      <c r="X25" s="164">
        <f t="shared" si="3"/>
        <v>267464.63686810405</v>
      </c>
      <c r="Y25" s="164">
        <f t="shared" si="4"/>
        <v>267000</v>
      </c>
      <c r="Z25" s="197">
        <v>16</v>
      </c>
    </row>
    <row r="26" spans="1:26" ht="21.75" customHeight="1" x14ac:dyDescent="0.25">
      <c r="A26" s="139">
        <v>52</v>
      </c>
      <c r="B26" s="140" t="s">
        <v>176</v>
      </c>
      <c r="C26" s="140" t="s">
        <v>200</v>
      </c>
      <c r="D26" s="141">
        <v>2006</v>
      </c>
      <c r="E26" s="139">
        <v>2022</v>
      </c>
      <c r="F26" s="139">
        <f t="shared" si="0"/>
        <v>16</v>
      </c>
      <c r="G26" s="145">
        <v>800250</v>
      </c>
      <c r="H26" s="145"/>
      <c r="I26" s="195"/>
      <c r="J26" s="195"/>
      <c r="K26" s="195"/>
      <c r="L26" s="161">
        <v>17</v>
      </c>
      <c r="M26" s="162" t="s">
        <v>17</v>
      </c>
      <c r="N26" s="162" t="s">
        <v>51</v>
      </c>
      <c r="O26" s="161">
        <v>2004</v>
      </c>
      <c r="P26" s="161">
        <v>2022</v>
      </c>
      <c r="Q26" s="161">
        <f t="shared" si="5"/>
        <v>18</v>
      </c>
      <c r="R26" s="163">
        <v>1100000</v>
      </c>
      <c r="S26" s="187"/>
      <c r="T26" s="187">
        <f t="shared" si="6"/>
        <v>148099.9534338103</v>
      </c>
      <c r="U26" s="187">
        <f t="shared" si="7"/>
        <v>80502.300299611976</v>
      </c>
      <c r="V26" s="188"/>
      <c r="W26" s="187">
        <f t="shared" si="8"/>
        <v>0</v>
      </c>
      <c r="X26" s="187">
        <f t="shared" si="3"/>
        <v>228602.25373342226</v>
      </c>
      <c r="Y26" s="164">
        <f t="shared" si="4"/>
        <v>229000</v>
      </c>
      <c r="Z26" s="196">
        <v>17</v>
      </c>
    </row>
    <row r="27" spans="1:26" ht="21.75" customHeight="1" x14ac:dyDescent="0.25">
      <c r="A27" s="139">
        <v>4</v>
      </c>
      <c r="B27" s="140" t="s">
        <v>166</v>
      </c>
      <c r="C27" s="140" t="s">
        <v>195</v>
      </c>
      <c r="D27" s="141">
        <v>2007</v>
      </c>
      <c r="E27" s="139">
        <v>2022</v>
      </c>
      <c r="F27" s="139">
        <f t="shared" si="0"/>
        <v>15</v>
      </c>
      <c r="G27" s="145">
        <v>3572000</v>
      </c>
      <c r="H27" s="195"/>
      <c r="I27" s="195"/>
      <c r="J27" s="195"/>
      <c r="K27" s="195"/>
      <c r="L27" s="161">
        <v>18</v>
      </c>
      <c r="M27" s="162" t="s">
        <v>19</v>
      </c>
      <c r="N27" s="162" t="s">
        <v>51</v>
      </c>
      <c r="O27" s="161">
        <v>2010</v>
      </c>
      <c r="P27" s="161">
        <v>2022</v>
      </c>
      <c r="Q27" s="161">
        <f t="shared" si="5"/>
        <v>12</v>
      </c>
      <c r="R27" s="191">
        <f>G34</f>
        <v>955000</v>
      </c>
      <c r="S27" s="187"/>
      <c r="T27" s="187">
        <f t="shared" si="6"/>
        <v>128577.68684480803</v>
      </c>
      <c r="U27" s="187">
        <f t="shared" si="7"/>
        <v>69890.633441935846</v>
      </c>
      <c r="V27" s="188"/>
      <c r="W27" s="187">
        <f t="shared" si="8"/>
        <v>0</v>
      </c>
      <c r="X27" s="187">
        <f t="shared" si="3"/>
        <v>198468.32028674387</v>
      </c>
      <c r="Y27" s="184">
        <f t="shared" si="4"/>
        <v>198000</v>
      </c>
      <c r="Z27" s="197">
        <v>18</v>
      </c>
    </row>
    <row r="28" spans="1:26" ht="21.75" customHeight="1" x14ac:dyDescent="0.25">
      <c r="A28" s="139">
        <v>6</v>
      </c>
      <c r="B28" s="142" t="s">
        <v>10</v>
      </c>
      <c r="C28" s="140" t="s">
        <v>195</v>
      </c>
      <c r="D28" s="141">
        <v>2007</v>
      </c>
      <c r="E28" s="139">
        <v>2022</v>
      </c>
      <c r="F28" s="139">
        <f t="shared" si="0"/>
        <v>15</v>
      </c>
      <c r="G28" s="189">
        <v>1865000</v>
      </c>
      <c r="H28" s="189">
        <v>2265000</v>
      </c>
      <c r="I28" s="209">
        <f>H28-G28</f>
        <v>400000</v>
      </c>
      <c r="J28" s="195"/>
      <c r="K28" s="195"/>
      <c r="L28" s="161">
        <v>19</v>
      </c>
      <c r="M28" s="162" t="s">
        <v>20</v>
      </c>
      <c r="N28" s="162" t="s">
        <v>51</v>
      </c>
      <c r="O28" s="161">
        <v>2014</v>
      </c>
      <c r="P28" s="161">
        <v>2022</v>
      </c>
      <c r="Q28" s="161">
        <f t="shared" si="5"/>
        <v>8</v>
      </c>
      <c r="R28" s="163">
        <v>2449000</v>
      </c>
      <c r="S28" s="163"/>
      <c r="T28" s="187">
        <f t="shared" si="6"/>
        <v>329724.3508721831</v>
      </c>
      <c r="U28" s="187">
        <v>0</v>
      </c>
      <c r="V28" s="188">
        <v>5</v>
      </c>
      <c r="W28" s="187">
        <f t="shared" si="8"/>
        <v>151641.7910447761</v>
      </c>
      <c r="X28" s="187">
        <f t="shared" si="3"/>
        <v>481366.1419169592</v>
      </c>
      <c r="Y28" s="164">
        <f t="shared" si="4"/>
        <v>481000</v>
      </c>
      <c r="Z28" s="196">
        <v>19</v>
      </c>
    </row>
    <row r="29" spans="1:26" ht="21.75" customHeight="1" x14ac:dyDescent="0.25">
      <c r="A29" s="139">
        <v>44</v>
      </c>
      <c r="B29" s="142" t="s">
        <v>40</v>
      </c>
      <c r="C29" s="142" t="s">
        <v>51</v>
      </c>
      <c r="D29" s="139">
        <v>2007</v>
      </c>
      <c r="E29" s="139">
        <v>2022</v>
      </c>
      <c r="F29" s="139">
        <f t="shared" si="0"/>
        <v>15</v>
      </c>
      <c r="G29" s="145">
        <v>1028500</v>
      </c>
      <c r="H29" s="195"/>
      <c r="I29" s="209"/>
      <c r="J29" s="195"/>
      <c r="K29" s="195"/>
      <c r="L29" s="161">
        <v>20</v>
      </c>
      <c r="M29" s="162" t="s">
        <v>21</v>
      </c>
      <c r="N29" s="162" t="s">
        <v>51</v>
      </c>
      <c r="O29" s="161">
        <v>2015</v>
      </c>
      <c r="P29" s="161">
        <v>2022</v>
      </c>
      <c r="Q29" s="161">
        <f t="shared" si="5"/>
        <v>7</v>
      </c>
      <c r="R29" s="163">
        <v>2085000</v>
      </c>
      <c r="S29" s="163"/>
      <c r="T29" s="187">
        <f t="shared" si="6"/>
        <v>280716.72991772223</v>
      </c>
      <c r="U29" s="187">
        <v>0</v>
      </c>
      <c r="V29" s="188">
        <v>5</v>
      </c>
      <c r="W29" s="187">
        <f t="shared" si="8"/>
        <v>151641.7910447761</v>
      </c>
      <c r="X29" s="187">
        <f t="shared" si="3"/>
        <v>432358.52096249833</v>
      </c>
      <c r="Y29" s="164">
        <f t="shared" si="4"/>
        <v>432000</v>
      </c>
      <c r="Z29" s="197">
        <v>20</v>
      </c>
    </row>
    <row r="30" spans="1:26" ht="21.75" customHeight="1" x14ac:dyDescent="0.25">
      <c r="A30" s="139">
        <v>42</v>
      </c>
      <c r="B30" s="142" t="s">
        <v>38</v>
      </c>
      <c r="C30" s="142" t="s">
        <v>51</v>
      </c>
      <c r="D30" s="139">
        <v>2008</v>
      </c>
      <c r="E30" s="139">
        <v>2022</v>
      </c>
      <c r="F30" s="139">
        <f t="shared" si="0"/>
        <v>14</v>
      </c>
      <c r="G30" s="145">
        <v>1226100</v>
      </c>
      <c r="H30" s="195"/>
      <c r="I30" s="209"/>
      <c r="J30" s="195"/>
      <c r="K30" s="195"/>
      <c r="L30" s="161">
        <v>21</v>
      </c>
      <c r="M30" s="162" t="s">
        <v>22</v>
      </c>
      <c r="N30" s="162" t="s">
        <v>51</v>
      </c>
      <c r="O30" s="161">
        <v>2016</v>
      </c>
      <c r="P30" s="161">
        <v>2022</v>
      </c>
      <c r="Q30" s="161">
        <f t="shared" si="5"/>
        <v>6</v>
      </c>
      <c r="R30" s="163">
        <v>1535000</v>
      </c>
      <c r="S30" s="163"/>
      <c r="T30" s="187">
        <f t="shared" si="6"/>
        <v>206666.7532008171</v>
      </c>
      <c r="U30" s="187">
        <v>0</v>
      </c>
      <c r="V30" s="188">
        <v>5</v>
      </c>
      <c r="W30" s="187">
        <f t="shared" si="8"/>
        <v>151641.7910447761</v>
      </c>
      <c r="X30" s="187">
        <f t="shared" si="3"/>
        <v>358308.54424559319</v>
      </c>
      <c r="Y30" s="164">
        <f t="shared" si="4"/>
        <v>358000</v>
      </c>
      <c r="Z30" s="196">
        <v>21</v>
      </c>
    </row>
    <row r="31" spans="1:26" ht="21.75" customHeight="1" x14ac:dyDescent="0.25">
      <c r="A31" s="139">
        <v>43</v>
      </c>
      <c r="B31" s="142" t="s">
        <v>39</v>
      </c>
      <c r="C31" s="142" t="s">
        <v>51</v>
      </c>
      <c r="D31" s="139">
        <v>2008</v>
      </c>
      <c r="E31" s="139">
        <v>2022</v>
      </c>
      <c r="F31" s="139">
        <f t="shared" si="0"/>
        <v>14</v>
      </c>
      <c r="G31" s="145">
        <v>1427800</v>
      </c>
      <c r="H31" s="195"/>
      <c r="I31" s="195"/>
      <c r="J31" s="195"/>
      <c r="K31" s="195"/>
      <c r="L31" s="161">
        <v>22</v>
      </c>
      <c r="M31" s="162" t="s">
        <v>23</v>
      </c>
      <c r="N31" s="162" t="s">
        <v>51</v>
      </c>
      <c r="O31" s="161">
        <v>2016</v>
      </c>
      <c r="P31" s="161">
        <v>2022</v>
      </c>
      <c r="Q31" s="161">
        <f t="shared" si="5"/>
        <v>6</v>
      </c>
      <c r="R31" s="191">
        <f>G41</f>
        <v>1420000</v>
      </c>
      <c r="S31" s="163"/>
      <c r="T31" s="187">
        <f t="shared" si="6"/>
        <v>191183.57625091873</v>
      </c>
      <c r="U31" s="187">
        <v>0</v>
      </c>
      <c r="V31" s="188">
        <v>5</v>
      </c>
      <c r="W31" s="187">
        <f t="shared" si="8"/>
        <v>151641.7910447761</v>
      </c>
      <c r="X31" s="187">
        <f t="shared" si="3"/>
        <v>342825.36729569483</v>
      </c>
      <c r="Y31" s="184">
        <f t="shared" si="4"/>
        <v>343000</v>
      </c>
      <c r="Z31" s="197">
        <v>22</v>
      </c>
    </row>
    <row r="32" spans="1:26" ht="21.75" customHeight="1" x14ac:dyDescent="0.25">
      <c r="A32" s="139">
        <v>45</v>
      </c>
      <c r="B32" s="142" t="s">
        <v>18</v>
      </c>
      <c r="C32" s="142" t="s">
        <v>51</v>
      </c>
      <c r="D32" s="139">
        <v>2008</v>
      </c>
      <c r="E32" s="139">
        <v>2022</v>
      </c>
      <c r="F32" s="139">
        <f t="shared" si="0"/>
        <v>14</v>
      </c>
      <c r="G32" s="189">
        <v>1856000</v>
      </c>
      <c r="H32" s="189">
        <v>1956000</v>
      </c>
      <c r="I32" s="209">
        <f>H32-G32</f>
        <v>100000</v>
      </c>
      <c r="J32" s="153"/>
      <c r="K32" s="153"/>
      <c r="L32" s="161">
        <v>23</v>
      </c>
      <c r="M32" s="162" t="s">
        <v>14</v>
      </c>
      <c r="N32" s="162" t="s">
        <v>51</v>
      </c>
      <c r="O32" s="161">
        <v>2015</v>
      </c>
      <c r="P32" s="161">
        <v>2022</v>
      </c>
      <c r="Q32" s="161">
        <f t="shared" si="5"/>
        <v>7</v>
      </c>
      <c r="R32" s="191">
        <f>G39</f>
        <v>1337000</v>
      </c>
      <c r="S32" s="163"/>
      <c r="T32" s="187">
        <f t="shared" si="6"/>
        <v>180008.76158273124</v>
      </c>
      <c r="U32" s="187">
        <v>0</v>
      </c>
      <c r="V32" s="188"/>
      <c r="W32" s="187">
        <f t="shared" si="8"/>
        <v>0</v>
      </c>
      <c r="X32" s="187">
        <f t="shared" si="3"/>
        <v>180008.76158273124</v>
      </c>
      <c r="Y32" s="184">
        <f t="shared" si="4"/>
        <v>180000</v>
      </c>
      <c r="Z32" s="196">
        <v>23</v>
      </c>
    </row>
    <row r="33" spans="1:26" ht="21.75" customHeight="1" x14ac:dyDescent="0.25">
      <c r="A33" s="139">
        <v>53</v>
      </c>
      <c r="B33" s="140" t="s">
        <v>177</v>
      </c>
      <c r="C33" s="140" t="s">
        <v>200</v>
      </c>
      <c r="D33" s="141">
        <v>2008</v>
      </c>
      <c r="E33" s="139">
        <v>2022</v>
      </c>
      <c r="F33" s="139">
        <f t="shared" si="0"/>
        <v>14</v>
      </c>
      <c r="G33" s="145">
        <v>802000</v>
      </c>
      <c r="H33" s="145"/>
      <c r="I33" s="195"/>
      <c r="J33" s="209"/>
      <c r="K33" s="209"/>
      <c r="L33" s="161">
        <v>24</v>
      </c>
      <c r="M33" s="162" t="s">
        <v>24</v>
      </c>
      <c r="N33" s="162" t="s">
        <v>51</v>
      </c>
      <c r="O33" s="161">
        <v>2019</v>
      </c>
      <c r="P33" s="161">
        <v>2022</v>
      </c>
      <c r="Q33" s="161">
        <f t="shared" si="5"/>
        <v>3</v>
      </c>
      <c r="R33" s="191">
        <f>G42</f>
        <v>1322500</v>
      </c>
      <c r="S33" s="163"/>
      <c r="T33" s="187">
        <f t="shared" si="6"/>
        <v>178056.534923831</v>
      </c>
      <c r="U33" s="187">
        <v>0</v>
      </c>
      <c r="V33" s="188"/>
      <c r="W33" s="187">
        <f t="shared" si="8"/>
        <v>0</v>
      </c>
      <c r="X33" s="187">
        <f t="shared" si="3"/>
        <v>178056.534923831</v>
      </c>
      <c r="Y33" s="184">
        <f t="shared" si="4"/>
        <v>178000</v>
      </c>
      <c r="Z33" s="197">
        <v>24</v>
      </c>
    </row>
    <row r="34" spans="1:26" ht="21.75" customHeight="1" x14ac:dyDescent="0.25">
      <c r="A34" s="139">
        <v>17</v>
      </c>
      <c r="B34" s="142" t="s">
        <v>19</v>
      </c>
      <c r="C34" s="142" t="s">
        <v>51</v>
      </c>
      <c r="D34" s="139">
        <v>2010</v>
      </c>
      <c r="E34" s="139">
        <v>2022</v>
      </c>
      <c r="F34" s="139">
        <f t="shared" si="0"/>
        <v>12</v>
      </c>
      <c r="G34" s="155">
        <f>H34+J34</f>
        <v>955000</v>
      </c>
      <c r="H34" s="155">
        <v>670000</v>
      </c>
      <c r="I34" s="153"/>
      <c r="J34" s="153">
        <f>235000+37500+12500</f>
        <v>285000</v>
      </c>
      <c r="K34" s="153">
        <f>G34-H34</f>
        <v>285000</v>
      </c>
      <c r="L34" s="161">
        <v>25</v>
      </c>
      <c r="M34" s="162" t="s">
        <v>25</v>
      </c>
      <c r="N34" s="162" t="s">
        <v>51</v>
      </c>
      <c r="O34" s="161">
        <v>2019</v>
      </c>
      <c r="P34" s="161">
        <v>2022</v>
      </c>
      <c r="Q34" s="161">
        <f t="shared" si="5"/>
        <v>3</v>
      </c>
      <c r="R34" s="191">
        <f>G43</f>
        <v>1338500</v>
      </c>
      <c r="S34" s="163"/>
      <c r="T34" s="187">
        <f t="shared" si="6"/>
        <v>180210.71606468645</v>
      </c>
      <c r="U34" s="187">
        <v>0</v>
      </c>
      <c r="V34" s="188"/>
      <c r="W34" s="187">
        <f t="shared" si="8"/>
        <v>0</v>
      </c>
      <c r="X34" s="187">
        <f t="shared" si="3"/>
        <v>180210.71606468645</v>
      </c>
      <c r="Y34" s="184">
        <f t="shared" si="4"/>
        <v>180000</v>
      </c>
      <c r="Z34" s="196">
        <v>25</v>
      </c>
    </row>
    <row r="35" spans="1:26" ht="21.75" customHeight="1" x14ac:dyDescent="0.25">
      <c r="A35" s="139">
        <v>5</v>
      </c>
      <c r="B35" s="140" t="s">
        <v>8</v>
      </c>
      <c r="C35" s="140" t="s">
        <v>195</v>
      </c>
      <c r="D35" s="141">
        <v>2012</v>
      </c>
      <c r="E35" s="139">
        <v>2022</v>
      </c>
      <c r="F35" s="139">
        <v>11</v>
      </c>
      <c r="G35" s="145">
        <v>3460000</v>
      </c>
      <c r="H35" s="209"/>
      <c r="I35" s="195"/>
      <c r="J35" s="195"/>
      <c r="K35" s="195"/>
      <c r="L35" s="161">
        <v>26</v>
      </c>
      <c r="M35" s="162" t="s">
        <v>68</v>
      </c>
      <c r="N35" s="162" t="s">
        <v>51</v>
      </c>
      <c r="O35" s="161">
        <v>2019</v>
      </c>
      <c r="P35" s="161">
        <v>2022</v>
      </c>
      <c r="Q35" s="161">
        <f t="shared" si="5"/>
        <v>3</v>
      </c>
      <c r="R35" s="163">
        <v>991000</v>
      </c>
      <c r="S35" s="163"/>
      <c r="T35" s="187">
        <f t="shared" si="6"/>
        <v>133424.59441173275</v>
      </c>
      <c r="U35" s="187">
        <v>0</v>
      </c>
      <c r="V35" s="188"/>
      <c r="W35" s="187">
        <f t="shared" si="8"/>
        <v>0</v>
      </c>
      <c r="X35" s="187">
        <f t="shared" si="3"/>
        <v>133424.59441173275</v>
      </c>
      <c r="Y35" s="187">
        <f t="shared" si="4"/>
        <v>133000</v>
      </c>
      <c r="Z35" s="197">
        <v>26</v>
      </c>
    </row>
    <row r="36" spans="1:26" ht="21.75" customHeight="1" x14ac:dyDescent="0.25">
      <c r="A36" s="149"/>
      <c r="B36" s="154"/>
      <c r="C36" s="154"/>
      <c r="D36" s="148"/>
      <c r="E36" s="149"/>
      <c r="F36" s="149"/>
      <c r="G36" s="155">
        <f>SUM(G9:G35)</f>
        <v>48863200</v>
      </c>
      <c r="H36" s="195"/>
      <c r="I36" s="195"/>
      <c r="J36" s="195"/>
      <c r="K36" s="195"/>
      <c r="L36" s="161">
        <v>27</v>
      </c>
      <c r="M36" s="162" t="s">
        <v>26</v>
      </c>
      <c r="N36" s="162" t="s">
        <v>51</v>
      </c>
      <c r="O36" s="161">
        <v>2019</v>
      </c>
      <c r="P36" s="161">
        <v>2022</v>
      </c>
      <c r="Q36" s="161">
        <f t="shared" si="5"/>
        <v>3</v>
      </c>
      <c r="R36" s="191">
        <f>G45</f>
        <v>1370000</v>
      </c>
      <c r="S36" s="163"/>
      <c r="T36" s="187">
        <f t="shared" si="6"/>
        <v>184451.76018574557</v>
      </c>
      <c r="U36" s="187">
        <v>0</v>
      </c>
      <c r="V36" s="188"/>
      <c r="W36" s="187">
        <f t="shared" si="8"/>
        <v>0</v>
      </c>
      <c r="X36" s="187">
        <f t="shared" si="3"/>
        <v>184451.76018574557</v>
      </c>
      <c r="Y36" s="184">
        <f t="shared" si="4"/>
        <v>184000</v>
      </c>
      <c r="Z36" s="196">
        <v>27</v>
      </c>
    </row>
    <row r="37" spans="1:26" ht="21.75" customHeight="1" x14ac:dyDescent="0.25">
      <c r="A37" s="139">
        <v>18</v>
      </c>
      <c r="B37" s="142" t="s">
        <v>20</v>
      </c>
      <c r="C37" s="142" t="s">
        <v>51</v>
      </c>
      <c r="D37" s="139">
        <v>2014</v>
      </c>
      <c r="E37" s="139">
        <v>2022</v>
      </c>
      <c r="F37" s="139">
        <f t="shared" ref="F37:F53" si="9">E37-D37</f>
        <v>8</v>
      </c>
      <c r="G37" s="145">
        <v>2449000</v>
      </c>
      <c r="H37" s="195"/>
      <c r="I37" s="195"/>
      <c r="J37" s="195"/>
      <c r="K37" s="195"/>
      <c r="L37" s="161">
        <v>28</v>
      </c>
      <c r="M37" s="162" t="s">
        <v>27</v>
      </c>
      <c r="N37" s="162" t="s">
        <v>51</v>
      </c>
      <c r="O37" s="161">
        <v>2019</v>
      </c>
      <c r="P37" s="161">
        <v>2022</v>
      </c>
      <c r="Q37" s="161">
        <f t="shared" si="5"/>
        <v>3</v>
      </c>
      <c r="R37" s="163">
        <v>1353500</v>
      </c>
      <c r="S37" s="163"/>
      <c r="T37" s="187">
        <f t="shared" si="6"/>
        <v>182230.26088423838</v>
      </c>
      <c r="U37" s="187">
        <v>0</v>
      </c>
      <c r="V37" s="188"/>
      <c r="W37" s="187">
        <f t="shared" si="8"/>
        <v>0</v>
      </c>
      <c r="X37" s="187">
        <f t="shared" si="3"/>
        <v>182230.26088423838</v>
      </c>
      <c r="Y37" s="164">
        <f t="shared" si="4"/>
        <v>182000</v>
      </c>
      <c r="Z37" s="197">
        <v>28</v>
      </c>
    </row>
    <row r="38" spans="1:26" ht="21.75" customHeight="1" x14ac:dyDescent="0.25">
      <c r="A38" s="139">
        <v>19</v>
      </c>
      <c r="B38" s="142" t="s">
        <v>21</v>
      </c>
      <c r="C38" s="142" t="s">
        <v>51</v>
      </c>
      <c r="D38" s="139">
        <v>2015</v>
      </c>
      <c r="E38" s="139">
        <v>2022</v>
      </c>
      <c r="F38" s="139">
        <f t="shared" si="9"/>
        <v>7</v>
      </c>
      <c r="G38" s="145">
        <v>2085000</v>
      </c>
      <c r="H38" s="195"/>
      <c r="I38" s="195"/>
      <c r="J38" s="195"/>
      <c r="K38" s="195"/>
      <c r="L38" s="161">
        <v>29</v>
      </c>
      <c r="M38" s="162" t="s">
        <v>41</v>
      </c>
      <c r="N38" s="162" t="s">
        <v>51</v>
      </c>
      <c r="O38" s="161">
        <v>2021</v>
      </c>
      <c r="P38" s="161">
        <v>2022</v>
      </c>
      <c r="Q38" s="161">
        <f t="shared" si="5"/>
        <v>1</v>
      </c>
      <c r="R38" s="163">
        <v>1125000</v>
      </c>
      <c r="S38" s="163"/>
      <c r="T38" s="187">
        <f t="shared" si="6"/>
        <v>151465.86146639689</v>
      </c>
      <c r="U38" s="187">
        <v>0</v>
      </c>
      <c r="V38" s="188"/>
      <c r="W38" s="187">
        <f t="shared" si="8"/>
        <v>0</v>
      </c>
      <c r="X38" s="187">
        <f t="shared" si="3"/>
        <v>151465.86146639689</v>
      </c>
      <c r="Y38" s="164">
        <f t="shared" si="4"/>
        <v>151000</v>
      </c>
      <c r="Z38" s="196">
        <v>29</v>
      </c>
    </row>
    <row r="39" spans="1:26" ht="21.75" customHeight="1" x14ac:dyDescent="0.25">
      <c r="A39" s="139">
        <v>22</v>
      </c>
      <c r="B39" s="142" t="s">
        <v>14</v>
      </c>
      <c r="C39" s="142" t="s">
        <v>51</v>
      </c>
      <c r="D39" s="139">
        <v>2015</v>
      </c>
      <c r="E39" s="139">
        <v>2022</v>
      </c>
      <c r="F39" s="139">
        <f t="shared" si="9"/>
        <v>7</v>
      </c>
      <c r="G39" s="155">
        <f>H39+J39</f>
        <v>1337000</v>
      </c>
      <c r="H39" s="155">
        <v>1052000</v>
      </c>
      <c r="I39" s="153"/>
      <c r="J39" s="153">
        <f>$J$34</f>
        <v>285000</v>
      </c>
      <c r="K39" s="153">
        <f>G39-H39</f>
        <v>285000</v>
      </c>
      <c r="L39" s="161">
        <v>30</v>
      </c>
      <c r="M39" s="162" t="s">
        <v>69</v>
      </c>
      <c r="N39" s="162" t="s">
        <v>51</v>
      </c>
      <c r="O39" s="161">
        <v>2020</v>
      </c>
      <c r="P39" s="161">
        <v>2022</v>
      </c>
      <c r="Q39" s="161">
        <f t="shared" si="5"/>
        <v>2</v>
      </c>
      <c r="R39" s="163">
        <v>1503000</v>
      </c>
      <c r="S39" s="163"/>
      <c r="T39" s="187">
        <f t="shared" si="6"/>
        <v>202358.39091910626</v>
      </c>
      <c r="U39" s="187">
        <v>0</v>
      </c>
      <c r="V39" s="188"/>
      <c r="W39" s="187">
        <f t="shared" si="8"/>
        <v>0</v>
      </c>
      <c r="X39" s="187">
        <f t="shared" si="3"/>
        <v>202358.39091910626</v>
      </c>
      <c r="Y39" s="164">
        <f t="shared" si="4"/>
        <v>202000</v>
      </c>
      <c r="Z39" s="197">
        <v>30</v>
      </c>
    </row>
    <row r="40" spans="1:26" ht="21.75" customHeight="1" x14ac:dyDescent="0.25">
      <c r="A40" s="139">
        <v>20</v>
      </c>
      <c r="B40" s="142" t="s">
        <v>22</v>
      </c>
      <c r="C40" s="142" t="s">
        <v>51</v>
      </c>
      <c r="D40" s="139">
        <v>2016</v>
      </c>
      <c r="E40" s="139">
        <v>2022</v>
      </c>
      <c r="F40" s="139">
        <f t="shared" si="9"/>
        <v>6</v>
      </c>
      <c r="G40" s="145">
        <v>1535000</v>
      </c>
      <c r="H40" s="195"/>
      <c r="I40" s="195"/>
      <c r="J40" s="195"/>
      <c r="K40" s="195"/>
      <c r="L40" s="161">
        <v>31</v>
      </c>
      <c r="M40" s="162" t="s">
        <v>42</v>
      </c>
      <c r="N40" s="162" t="s">
        <v>51</v>
      </c>
      <c r="O40" s="161">
        <v>2021</v>
      </c>
      <c r="P40" s="161">
        <v>2022</v>
      </c>
      <c r="Q40" s="161">
        <f t="shared" si="5"/>
        <v>1</v>
      </c>
      <c r="R40" s="191">
        <f>G50</f>
        <v>1260000</v>
      </c>
      <c r="S40" s="163"/>
      <c r="T40" s="187">
        <f t="shared" si="6"/>
        <v>169641.76484236453</v>
      </c>
      <c r="U40" s="187">
        <v>0</v>
      </c>
      <c r="V40" s="188"/>
      <c r="W40" s="187">
        <f t="shared" si="8"/>
        <v>0</v>
      </c>
      <c r="X40" s="187">
        <f t="shared" si="3"/>
        <v>169641.76484236453</v>
      </c>
      <c r="Y40" s="184">
        <f t="shared" si="4"/>
        <v>170000</v>
      </c>
      <c r="Z40" s="196">
        <v>31</v>
      </c>
    </row>
    <row r="41" spans="1:26" ht="21.75" customHeight="1" x14ac:dyDescent="0.25">
      <c r="A41" s="139">
        <v>21</v>
      </c>
      <c r="B41" s="142" t="s">
        <v>23</v>
      </c>
      <c r="C41" s="142" t="s">
        <v>51</v>
      </c>
      <c r="D41" s="139">
        <v>2016</v>
      </c>
      <c r="E41" s="139">
        <v>2022</v>
      </c>
      <c r="F41" s="139">
        <f t="shared" si="9"/>
        <v>6</v>
      </c>
      <c r="G41" s="155">
        <f>H41+J41</f>
        <v>1420000</v>
      </c>
      <c r="H41" s="155">
        <v>1135000</v>
      </c>
      <c r="I41" s="195"/>
      <c r="J41" s="153">
        <f t="shared" ref="J41:J43" si="10">$J$34</f>
        <v>285000</v>
      </c>
      <c r="K41" s="153">
        <f t="shared" ref="K41:K43" si="11">G41-H41</f>
        <v>285000</v>
      </c>
      <c r="L41" s="161">
        <v>32</v>
      </c>
      <c r="M41" s="162" t="s">
        <v>50</v>
      </c>
      <c r="N41" s="162" t="s">
        <v>51</v>
      </c>
      <c r="O41" s="161">
        <v>2021</v>
      </c>
      <c r="P41" s="161">
        <v>2022</v>
      </c>
      <c r="Q41" s="161">
        <f t="shared" si="5"/>
        <v>1</v>
      </c>
      <c r="R41" s="191">
        <f>G51</f>
        <v>1285000</v>
      </c>
      <c r="S41" s="163"/>
      <c r="T41" s="187">
        <f t="shared" si="6"/>
        <v>173007.67287495112</v>
      </c>
      <c r="U41" s="187">
        <v>0</v>
      </c>
      <c r="V41" s="188"/>
      <c r="W41" s="187">
        <f t="shared" si="8"/>
        <v>0</v>
      </c>
      <c r="X41" s="187">
        <f t="shared" si="3"/>
        <v>173007.67287495112</v>
      </c>
      <c r="Y41" s="184">
        <f t="shared" si="4"/>
        <v>173000</v>
      </c>
      <c r="Z41" s="197">
        <v>32</v>
      </c>
    </row>
    <row r="42" spans="1:26" ht="21.75" customHeight="1" x14ac:dyDescent="0.25">
      <c r="A42" s="139">
        <v>23</v>
      </c>
      <c r="B42" s="142" t="s">
        <v>24</v>
      </c>
      <c r="C42" s="142" t="s">
        <v>51</v>
      </c>
      <c r="D42" s="139">
        <v>2019</v>
      </c>
      <c r="E42" s="139">
        <v>2022</v>
      </c>
      <c r="F42" s="139">
        <f t="shared" si="9"/>
        <v>3</v>
      </c>
      <c r="G42" s="155">
        <f>H42+J42</f>
        <v>1322500</v>
      </c>
      <c r="H42" s="155">
        <v>1037500</v>
      </c>
      <c r="I42" s="195"/>
      <c r="J42" s="153">
        <f t="shared" si="10"/>
        <v>285000</v>
      </c>
      <c r="K42" s="153">
        <f t="shared" si="11"/>
        <v>285000</v>
      </c>
      <c r="L42" s="161">
        <v>33</v>
      </c>
      <c r="M42" s="162" t="s">
        <v>28</v>
      </c>
      <c r="N42" s="162" t="s">
        <v>51</v>
      </c>
      <c r="O42" s="161">
        <v>1993</v>
      </c>
      <c r="P42" s="161">
        <v>2022</v>
      </c>
      <c r="Q42" s="161">
        <f t="shared" si="5"/>
        <v>29</v>
      </c>
      <c r="R42" s="180">
        <f>G10</f>
        <v>1715000</v>
      </c>
      <c r="S42" s="163"/>
      <c r="T42" s="187">
        <f t="shared" si="6"/>
        <v>230901.2910354406</v>
      </c>
      <c r="U42" s="187">
        <f t="shared" ref="U42:U55" si="12">(R42/$N$4)*$U$9</f>
        <v>125510.4045580314</v>
      </c>
      <c r="V42" s="188">
        <v>5</v>
      </c>
      <c r="W42" s="187">
        <f t="shared" si="8"/>
        <v>151641.7910447761</v>
      </c>
      <c r="X42" s="187">
        <f t="shared" si="3"/>
        <v>508053.48663824808</v>
      </c>
      <c r="Y42" s="190">
        <f t="shared" si="4"/>
        <v>508000</v>
      </c>
      <c r="Z42" s="196">
        <v>33</v>
      </c>
    </row>
    <row r="43" spans="1:26" ht="21.75" customHeight="1" x14ac:dyDescent="0.25">
      <c r="A43" s="139">
        <v>24</v>
      </c>
      <c r="B43" s="142" t="s">
        <v>25</v>
      </c>
      <c r="C43" s="142" t="s">
        <v>51</v>
      </c>
      <c r="D43" s="139">
        <v>2019</v>
      </c>
      <c r="E43" s="139">
        <v>2022</v>
      </c>
      <c r="F43" s="139">
        <f t="shared" si="9"/>
        <v>3</v>
      </c>
      <c r="G43" s="155">
        <f>H43+J43</f>
        <v>1338500</v>
      </c>
      <c r="H43" s="155">
        <v>1053500</v>
      </c>
      <c r="I43" s="153"/>
      <c r="J43" s="153">
        <f t="shared" si="10"/>
        <v>285000</v>
      </c>
      <c r="K43" s="153">
        <f t="shared" si="11"/>
        <v>285000</v>
      </c>
      <c r="L43" s="161">
        <v>34</v>
      </c>
      <c r="M43" s="162" t="s">
        <v>29</v>
      </c>
      <c r="N43" s="162" t="s">
        <v>51</v>
      </c>
      <c r="O43" s="167">
        <v>1996</v>
      </c>
      <c r="P43" s="161">
        <v>2022</v>
      </c>
      <c r="Q43" s="161">
        <f t="shared" si="5"/>
        <v>26</v>
      </c>
      <c r="R43" s="163">
        <v>1500000</v>
      </c>
      <c r="S43" s="163"/>
      <c r="T43" s="187">
        <f t="shared" si="6"/>
        <v>201954.48195519586</v>
      </c>
      <c r="U43" s="187">
        <f t="shared" si="12"/>
        <v>109775.86404492543</v>
      </c>
      <c r="V43" s="188"/>
      <c r="W43" s="187">
        <f t="shared" si="8"/>
        <v>0</v>
      </c>
      <c r="X43" s="187">
        <f t="shared" si="3"/>
        <v>311730.34600012132</v>
      </c>
      <c r="Y43" s="164">
        <f t="shared" si="4"/>
        <v>312000</v>
      </c>
      <c r="Z43" s="197">
        <v>34</v>
      </c>
    </row>
    <row r="44" spans="1:26" ht="21.75" customHeight="1" x14ac:dyDescent="0.25">
      <c r="A44" s="139">
        <v>25</v>
      </c>
      <c r="B44" s="142" t="s">
        <v>68</v>
      </c>
      <c r="C44" s="142" t="s">
        <v>51</v>
      </c>
      <c r="D44" s="139">
        <v>2019</v>
      </c>
      <c r="E44" s="139">
        <v>2022</v>
      </c>
      <c r="F44" s="139">
        <f t="shared" si="9"/>
        <v>3</v>
      </c>
      <c r="G44" s="145">
        <v>991000</v>
      </c>
      <c r="H44" s="145"/>
      <c r="I44" s="153"/>
      <c r="J44" s="153"/>
      <c r="K44" s="153"/>
      <c r="L44" s="161">
        <v>35</v>
      </c>
      <c r="M44" s="162" t="s">
        <v>30</v>
      </c>
      <c r="N44" s="162" t="s">
        <v>51</v>
      </c>
      <c r="O44" s="161">
        <v>1999</v>
      </c>
      <c r="P44" s="161">
        <v>2022</v>
      </c>
      <c r="Q44" s="161">
        <f t="shared" si="5"/>
        <v>23</v>
      </c>
      <c r="R44" s="163">
        <v>1340000</v>
      </c>
      <c r="S44" s="163"/>
      <c r="T44" s="187">
        <f t="shared" si="6"/>
        <v>180412.67054664166</v>
      </c>
      <c r="U44" s="187">
        <f t="shared" si="12"/>
        <v>98066.43854680004</v>
      </c>
      <c r="V44" s="188">
        <v>5</v>
      </c>
      <c r="W44" s="187">
        <f t="shared" si="8"/>
        <v>151641.7910447761</v>
      </c>
      <c r="X44" s="187">
        <f t="shared" si="3"/>
        <v>430120.90013821778</v>
      </c>
      <c r="Y44" s="164">
        <f t="shared" si="4"/>
        <v>430000</v>
      </c>
      <c r="Z44" s="196">
        <v>35</v>
      </c>
    </row>
    <row r="45" spans="1:26" ht="21.75" customHeight="1" x14ac:dyDescent="0.25">
      <c r="A45" s="139">
        <v>26</v>
      </c>
      <c r="B45" s="142" t="s">
        <v>26</v>
      </c>
      <c r="C45" s="142" t="s">
        <v>51</v>
      </c>
      <c r="D45" s="139">
        <v>2019</v>
      </c>
      <c r="E45" s="139">
        <v>2022</v>
      </c>
      <c r="F45" s="139">
        <f t="shared" si="9"/>
        <v>3</v>
      </c>
      <c r="G45" s="155">
        <f>H45+J45</f>
        <v>1370000</v>
      </c>
      <c r="H45" s="155">
        <v>1085000</v>
      </c>
      <c r="I45" s="153"/>
      <c r="J45" s="153">
        <f>$J$34</f>
        <v>285000</v>
      </c>
      <c r="K45" s="153">
        <f>G45-H45</f>
        <v>285000</v>
      </c>
      <c r="L45" s="161">
        <v>36</v>
      </c>
      <c r="M45" s="162" t="s">
        <v>31</v>
      </c>
      <c r="N45" s="162" t="s">
        <v>51</v>
      </c>
      <c r="O45" s="161">
        <v>2000</v>
      </c>
      <c r="P45" s="161">
        <v>2022</v>
      </c>
      <c r="Q45" s="161">
        <f t="shared" si="5"/>
        <v>22</v>
      </c>
      <c r="R45" s="163">
        <v>1497500</v>
      </c>
      <c r="S45" s="163"/>
      <c r="T45" s="187">
        <f t="shared" si="6"/>
        <v>201617.89115193722</v>
      </c>
      <c r="U45" s="187">
        <f t="shared" si="12"/>
        <v>109592.90427151721</v>
      </c>
      <c r="V45" s="188">
        <v>5</v>
      </c>
      <c r="W45" s="187">
        <f t="shared" si="8"/>
        <v>151641.7910447761</v>
      </c>
      <c r="X45" s="187">
        <f t="shared" si="3"/>
        <v>462852.58646823053</v>
      </c>
      <c r="Y45" s="164">
        <f t="shared" si="4"/>
        <v>463000</v>
      </c>
      <c r="Z45" s="197">
        <v>36</v>
      </c>
    </row>
    <row r="46" spans="1:26" ht="21.75" customHeight="1" x14ac:dyDescent="0.25">
      <c r="A46" s="139">
        <v>27</v>
      </c>
      <c r="B46" s="142" t="s">
        <v>27</v>
      </c>
      <c r="C46" s="142" t="s">
        <v>51</v>
      </c>
      <c r="D46" s="139">
        <v>2019</v>
      </c>
      <c r="E46" s="139">
        <v>2022</v>
      </c>
      <c r="F46" s="139">
        <f t="shared" si="9"/>
        <v>3</v>
      </c>
      <c r="G46" s="145">
        <v>1353500</v>
      </c>
      <c r="H46" s="195"/>
      <c r="I46" s="195"/>
      <c r="J46" s="195"/>
      <c r="K46" s="195"/>
      <c r="L46" s="161">
        <v>37</v>
      </c>
      <c r="M46" s="162" t="s">
        <v>32</v>
      </c>
      <c r="N46" s="162" t="s">
        <v>51</v>
      </c>
      <c r="O46" s="161">
        <v>2000</v>
      </c>
      <c r="P46" s="161">
        <v>2022</v>
      </c>
      <c r="Q46" s="161">
        <f t="shared" si="5"/>
        <v>22</v>
      </c>
      <c r="R46" s="163">
        <v>1371000</v>
      </c>
      <c r="S46" s="163"/>
      <c r="T46" s="187">
        <f t="shared" si="6"/>
        <v>184586.39650704901</v>
      </c>
      <c r="U46" s="187">
        <f t="shared" si="12"/>
        <v>100335.13973706184</v>
      </c>
      <c r="V46" s="188">
        <v>5</v>
      </c>
      <c r="W46" s="187">
        <f t="shared" si="8"/>
        <v>151641.7910447761</v>
      </c>
      <c r="X46" s="187">
        <f t="shared" si="3"/>
        <v>436563.32728888694</v>
      </c>
      <c r="Y46" s="164">
        <f t="shared" si="4"/>
        <v>437000</v>
      </c>
      <c r="Z46" s="196">
        <v>37</v>
      </c>
    </row>
    <row r="47" spans="1:26" ht="21.75" customHeight="1" x14ac:dyDescent="0.25">
      <c r="A47" s="139">
        <v>29</v>
      </c>
      <c r="B47" s="142" t="s">
        <v>69</v>
      </c>
      <c r="C47" s="142" t="s">
        <v>51</v>
      </c>
      <c r="D47" s="139">
        <v>2020</v>
      </c>
      <c r="E47" s="139">
        <v>2022</v>
      </c>
      <c r="F47" s="139">
        <f t="shared" si="9"/>
        <v>2</v>
      </c>
      <c r="G47" s="145">
        <v>1503000</v>
      </c>
      <c r="H47" s="195"/>
      <c r="I47" s="195"/>
      <c r="J47" s="195"/>
      <c r="K47" s="195"/>
      <c r="L47" s="161">
        <v>38</v>
      </c>
      <c r="M47" s="162" t="s">
        <v>33</v>
      </c>
      <c r="N47" s="162" t="s">
        <v>51</v>
      </c>
      <c r="O47" s="161">
        <v>2001</v>
      </c>
      <c r="P47" s="161">
        <v>2022</v>
      </c>
      <c r="Q47" s="161">
        <f t="shared" si="5"/>
        <v>21</v>
      </c>
      <c r="R47" s="163">
        <v>1611750</v>
      </c>
      <c r="S47" s="163"/>
      <c r="T47" s="187">
        <f t="shared" si="6"/>
        <v>217000.09086085798</v>
      </c>
      <c r="U47" s="187">
        <f t="shared" si="12"/>
        <v>117954.16591627237</v>
      </c>
      <c r="V47" s="188">
        <v>5</v>
      </c>
      <c r="W47" s="187">
        <f t="shared" si="8"/>
        <v>151641.7910447761</v>
      </c>
      <c r="X47" s="187">
        <f t="shared" si="3"/>
        <v>486596.04782190645</v>
      </c>
      <c r="Y47" s="164">
        <f t="shared" si="4"/>
        <v>487000</v>
      </c>
      <c r="Z47" s="197">
        <v>38</v>
      </c>
    </row>
    <row r="48" spans="1:26" ht="21.75" customHeight="1" x14ac:dyDescent="0.25">
      <c r="A48" s="139">
        <v>7</v>
      </c>
      <c r="B48" s="142" t="s">
        <v>43</v>
      </c>
      <c r="C48" s="140" t="s">
        <v>195</v>
      </c>
      <c r="D48" s="141">
        <v>2021</v>
      </c>
      <c r="E48" s="139">
        <v>2022</v>
      </c>
      <c r="F48" s="139">
        <f t="shared" si="9"/>
        <v>1</v>
      </c>
      <c r="G48" s="145">
        <v>1814000</v>
      </c>
      <c r="H48" s="195"/>
      <c r="I48" s="195"/>
      <c r="J48" s="195"/>
      <c r="K48" s="195"/>
      <c r="L48" s="161">
        <v>39</v>
      </c>
      <c r="M48" s="162" t="s">
        <v>34</v>
      </c>
      <c r="N48" s="162" t="s">
        <v>51</v>
      </c>
      <c r="O48" s="161">
        <v>2004</v>
      </c>
      <c r="P48" s="161">
        <v>2022</v>
      </c>
      <c r="Q48" s="161">
        <f t="shared" si="5"/>
        <v>18</v>
      </c>
      <c r="R48" s="180">
        <f>G20</f>
        <v>1810000</v>
      </c>
      <c r="S48" s="163"/>
      <c r="T48" s="187">
        <f t="shared" si="6"/>
        <v>243691.74155926969</v>
      </c>
      <c r="U48" s="187">
        <f t="shared" si="12"/>
        <v>132462.87594754336</v>
      </c>
      <c r="V48" s="188">
        <v>5</v>
      </c>
      <c r="W48" s="187">
        <f t="shared" si="8"/>
        <v>151641.7910447761</v>
      </c>
      <c r="X48" s="187">
        <f t="shared" si="3"/>
        <v>527796.40855158912</v>
      </c>
      <c r="Y48" s="190">
        <f t="shared" si="4"/>
        <v>528000</v>
      </c>
      <c r="Z48" s="196">
        <v>39</v>
      </c>
    </row>
    <row r="49" spans="1:26" ht="21.75" customHeight="1" x14ac:dyDescent="0.25">
      <c r="A49" s="139">
        <v>28</v>
      </c>
      <c r="B49" s="142" t="s">
        <v>41</v>
      </c>
      <c r="C49" s="142" t="s">
        <v>51</v>
      </c>
      <c r="D49" s="139">
        <v>2021</v>
      </c>
      <c r="E49" s="139">
        <v>2022</v>
      </c>
      <c r="F49" s="139">
        <f t="shared" si="9"/>
        <v>1</v>
      </c>
      <c r="G49" s="145">
        <v>1125000</v>
      </c>
      <c r="H49" s="195"/>
      <c r="I49" s="195"/>
      <c r="J49" s="195"/>
      <c r="K49" s="195"/>
      <c r="L49" s="161">
        <v>40</v>
      </c>
      <c r="M49" s="162" t="s">
        <v>35</v>
      </c>
      <c r="N49" s="162" t="s">
        <v>51</v>
      </c>
      <c r="O49" s="161">
        <v>2005</v>
      </c>
      <c r="P49" s="161">
        <v>2022</v>
      </c>
      <c r="Q49" s="161">
        <f t="shared" si="5"/>
        <v>17</v>
      </c>
      <c r="R49" s="163">
        <v>1218500</v>
      </c>
      <c r="S49" s="163"/>
      <c r="T49" s="187">
        <f t="shared" si="6"/>
        <v>164054.35750827077</v>
      </c>
      <c r="U49" s="187">
        <f t="shared" si="12"/>
        <v>89174.593559161091</v>
      </c>
      <c r="V49" s="188">
        <v>5</v>
      </c>
      <c r="W49" s="187">
        <f t="shared" si="8"/>
        <v>151641.7910447761</v>
      </c>
      <c r="X49" s="187">
        <f t="shared" si="3"/>
        <v>404870.74211220792</v>
      </c>
      <c r="Y49" s="164">
        <f t="shared" si="4"/>
        <v>405000</v>
      </c>
      <c r="Z49" s="197">
        <v>40</v>
      </c>
    </row>
    <row r="50" spans="1:26" ht="21.75" customHeight="1" x14ac:dyDescent="0.25">
      <c r="A50" s="139">
        <v>30</v>
      </c>
      <c r="B50" s="142" t="s">
        <v>42</v>
      </c>
      <c r="C50" s="142" t="s">
        <v>51</v>
      </c>
      <c r="D50" s="139">
        <v>2021</v>
      </c>
      <c r="E50" s="139">
        <v>2022</v>
      </c>
      <c r="F50" s="139">
        <f t="shared" si="9"/>
        <v>1</v>
      </c>
      <c r="G50" s="155">
        <f>H50+J50</f>
        <v>1260000</v>
      </c>
      <c r="H50" s="155">
        <v>975000</v>
      </c>
      <c r="I50" s="153"/>
      <c r="J50" s="153">
        <f t="shared" ref="J50:J51" si="13">$J$34</f>
        <v>285000</v>
      </c>
      <c r="K50" s="153">
        <f>G50-H50</f>
        <v>285000</v>
      </c>
      <c r="L50" s="161">
        <v>41</v>
      </c>
      <c r="M50" s="162" t="s">
        <v>36</v>
      </c>
      <c r="N50" s="162" t="s">
        <v>51</v>
      </c>
      <c r="O50" s="161">
        <v>2005</v>
      </c>
      <c r="P50" s="161">
        <v>2022</v>
      </c>
      <c r="Q50" s="161">
        <f t="shared" si="5"/>
        <v>17</v>
      </c>
      <c r="R50" s="180">
        <f>G23</f>
        <v>1925000</v>
      </c>
      <c r="S50" s="163"/>
      <c r="T50" s="187">
        <f t="shared" si="6"/>
        <v>259174.91850916803</v>
      </c>
      <c r="U50" s="187">
        <f t="shared" si="12"/>
        <v>140879.02552432095</v>
      </c>
      <c r="V50" s="188">
        <v>5</v>
      </c>
      <c r="W50" s="187">
        <f t="shared" si="8"/>
        <v>151641.7910447761</v>
      </c>
      <c r="X50" s="187">
        <f t="shared" si="3"/>
        <v>551695.73507826508</v>
      </c>
      <c r="Y50" s="190">
        <f t="shared" si="4"/>
        <v>552000</v>
      </c>
      <c r="Z50" s="196">
        <v>41</v>
      </c>
    </row>
    <row r="51" spans="1:26" ht="21.75" customHeight="1" x14ac:dyDescent="0.25">
      <c r="A51" s="139">
        <v>31</v>
      </c>
      <c r="B51" s="142" t="s">
        <v>50</v>
      </c>
      <c r="C51" s="142" t="s">
        <v>51</v>
      </c>
      <c r="D51" s="139">
        <v>2021</v>
      </c>
      <c r="E51" s="139">
        <v>2022</v>
      </c>
      <c r="F51" s="139">
        <f t="shared" si="9"/>
        <v>1</v>
      </c>
      <c r="G51" s="155">
        <f>H51+J51</f>
        <v>1285000</v>
      </c>
      <c r="H51" s="155">
        <v>1000000</v>
      </c>
      <c r="I51" s="209"/>
      <c r="J51" s="153">
        <f t="shared" si="13"/>
        <v>285000</v>
      </c>
      <c r="K51" s="153">
        <f>G51-H51</f>
        <v>285000</v>
      </c>
      <c r="L51" s="161">
        <v>42</v>
      </c>
      <c r="M51" s="162" t="s">
        <v>37</v>
      </c>
      <c r="N51" s="162" t="s">
        <v>51</v>
      </c>
      <c r="O51" s="161">
        <v>2006</v>
      </c>
      <c r="P51" s="161">
        <v>2022</v>
      </c>
      <c r="Q51" s="161">
        <f t="shared" si="5"/>
        <v>16</v>
      </c>
      <c r="R51" s="163">
        <v>1552000</v>
      </c>
      <c r="S51" s="163"/>
      <c r="T51" s="187">
        <f t="shared" si="6"/>
        <v>208955.57066297598</v>
      </c>
      <c r="U51" s="187">
        <f t="shared" si="12"/>
        <v>113581.42733181617</v>
      </c>
      <c r="V51" s="188">
        <v>5</v>
      </c>
      <c r="W51" s="187">
        <f t="shared" si="8"/>
        <v>151641.7910447761</v>
      </c>
      <c r="X51" s="187">
        <f t="shared" si="3"/>
        <v>474178.78903956828</v>
      </c>
      <c r="Y51" s="164">
        <f t="shared" si="4"/>
        <v>474000</v>
      </c>
      <c r="Z51" s="197">
        <v>42</v>
      </c>
    </row>
    <row r="52" spans="1:26" ht="21.75" customHeight="1" x14ac:dyDescent="0.25">
      <c r="A52" s="139">
        <v>46</v>
      </c>
      <c r="B52" s="142" t="s">
        <v>133</v>
      </c>
      <c r="C52" s="140" t="s">
        <v>199</v>
      </c>
      <c r="D52" s="139">
        <v>2022</v>
      </c>
      <c r="E52" s="139">
        <v>2022</v>
      </c>
      <c r="F52" s="139">
        <f t="shared" si="9"/>
        <v>0</v>
      </c>
      <c r="G52" s="145">
        <v>1500000</v>
      </c>
      <c r="H52" s="195"/>
      <c r="I52" s="209"/>
      <c r="J52" s="195"/>
      <c r="K52" s="195"/>
      <c r="L52" s="161">
        <v>43</v>
      </c>
      <c r="M52" s="162" t="s">
        <v>38</v>
      </c>
      <c r="N52" s="162" t="s">
        <v>51</v>
      </c>
      <c r="O52" s="161">
        <v>2008</v>
      </c>
      <c r="P52" s="161">
        <v>2022</v>
      </c>
      <c r="Q52" s="161">
        <f t="shared" si="5"/>
        <v>14</v>
      </c>
      <c r="R52" s="163">
        <v>1226100</v>
      </c>
      <c r="S52" s="163"/>
      <c r="T52" s="187">
        <f t="shared" si="6"/>
        <v>165077.59355017709</v>
      </c>
      <c r="U52" s="187">
        <f t="shared" si="12"/>
        <v>89730.791270322035</v>
      </c>
      <c r="V52" s="188">
        <v>5</v>
      </c>
      <c r="W52" s="187">
        <f t="shared" si="8"/>
        <v>151641.7910447761</v>
      </c>
      <c r="X52" s="187">
        <f t="shared" si="3"/>
        <v>406450.1758652752</v>
      </c>
      <c r="Y52" s="164">
        <f t="shared" si="4"/>
        <v>406000</v>
      </c>
      <c r="Z52" s="196">
        <v>43</v>
      </c>
    </row>
    <row r="53" spans="1:26" ht="21.75" customHeight="1" x14ac:dyDescent="0.25">
      <c r="A53" s="161">
        <v>47</v>
      </c>
      <c r="B53" s="162" t="s">
        <v>165</v>
      </c>
      <c r="C53" s="165" t="s">
        <v>199</v>
      </c>
      <c r="D53" s="161">
        <v>2022</v>
      </c>
      <c r="E53" s="161">
        <v>2022</v>
      </c>
      <c r="F53" s="161">
        <f t="shared" si="9"/>
        <v>0</v>
      </c>
      <c r="G53" s="163">
        <v>1500000</v>
      </c>
      <c r="H53" s="195"/>
      <c r="I53" s="195"/>
      <c r="J53" s="195"/>
      <c r="K53" s="195"/>
      <c r="L53" s="161">
        <v>44</v>
      </c>
      <c r="M53" s="162" t="s">
        <v>39</v>
      </c>
      <c r="N53" s="162" t="s">
        <v>51</v>
      </c>
      <c r="O53" s="161">
        <v>2008</v>
      </c>
      <c r="P53" s="161">
        <v>2022</v>
      </c>
      <c r="Q53" s="161">
        <f t="shared" si="5"/>
        <v>14</v>
      </c>
      <c r="R53" s="163">
        <v>1427800</v>
      </c>
      <c r="S53" s="163"/>
      <c r="T53" s="187">
        <f t="shared" si="6"/>
        <v>192233.73955708576</v>
      </c>
      <c r="U53" s="187">
        <f t="shared" si="12"/>
        <v>104491.98578889635</v>
      </c>
      <c r="V53" s="188">
        <v>5</v>
      </c>
      <c r="W53" s="187">
        <f t="shared" si="8"/>
        <v>151641.7910447761</v>
      </c>
      <c r="X53" s="187">
        <f t="shared" si="3"/>
        <v>448367.51639075822</v>
      </c>
      <c r="Y53" s="164">
        <f t="shared" si="4"/>
        <v>448000</v>
      </c>
      <c r="Z53" s="197">
        <v>44</v>
      </c>
    </row>
    <row r="54" spans="1:26" ht="21.75" customHeight="1" x14ac:dyDescent="0.25">
      <c r="A54" s="182"/>
      <c r="B54" s="140" t="s">
        <v>98</v>
      </c>
      <c r="C54" s="182"/>
      <c r="D54" s="182"/>
      <c r="E54" s="182"/>
      <c r="F54" s="182"/>
      <c r="G54" s="183">
        <v>1672000</v>
      </c>
      <c r="H54" s="195"/>
      <c r="I54" s="195"/>
      <c r="J54" s="195"/>
      <c r="K54" s="195"/>
      <c r="L54" s="161">
        <v>45</v>
      </c>
      <c r="M54" s="162" t="s">
        <v>40</v>
      </c>
      <c r="N54" s="162" t="s">
        <v>51</v>
      </c>
      <c r="O54" s="161">
        <v>2007</v>
      </c>
      <c r="P54" s="161">
        <v>2022</v>
      </c>
      <c r="Q54" s="161">
        <f t="shared" si="5"/>
        <v>15</v>
      </c>
      <c r="R54" s="163">
        <v>1028500</v>
      </c>
      <c r="S54" s="163"/>
      <c r="T54" s="187">
        <f t="shared" si="6"/>
        <v>138473.45646061265</v>
      </c>
      <c r="U54" s="187">
        <f t="shared" si="12"/>
        <v>75269.650780137192</v>
      </c>
      <c r="V54" s="188"/>
      <c r="W54" s="187">
        <f t="shared" si="8"/>
        <v>0</v>
      </c>
      <c r="X54" s="187">
        <f t="shared" si="3"/>
        <v>213743.10724074984</v>
      </c>
      <c r="Y54" s="164">
        <f t="shared" si="4"/>
        <v>214000</v>
      </c>
      <c r="Z54" s="196">
        <v>45</v>
      </c>
    </row>
    <row r="55" spans="1:26" ht="21.75" customHeight="1" x14ac:dyDescent="0.25">
      <c r="A55" s="182"/>
      <c r="B55" s="140" t="s">
        <v>45</v>
      </c>
      <c r="C55" s="182"/>
      <c r="D55" s="182"/>
      <c r="E55" s="182"/>
      <c r="F55" s="182"/>
      <c r="G55" s="210">
        <v>1540000</v>
      </c>
      <c r="H55" s="210">
        <v>2000000</v>
      </c>
      <c r="I55" s="209">
        <f>H55-G55</f>
        <v>460000</v>
      </c>
      <c r="J55" s="195"/>
      <c r="K55" s="195"/>
      <c r="L55" s="161">
        <v>46</v>
      </c>
      <c r="M55" s="162" t="s">
        <v>18</v>
      </c>
      <c r="N55" s="162" t="s">
        <v>51</v>
      </c>
      <c r="O55" s="161">
        <v>2008</v>
      </c>
      <c r="P55" s="161">
        <v>2022</v>
      </c>
      <c r="Q55" s="161">
        <f t="shared" si="5"/>
        <v>14</v>
      </c>
      <c r="R55" s="180">
        <f>G32</f>
        <v>1856000</v>
      </c>
      <c r="S55" s="163"/>
      <c r="T55" s="187">
        <f t="shared" si="6"/>
        <v>249885.01233922903</v>
      </c>
      <c r="U55" s="187">
        <f t="shared" si="12"/>
        <v>135829.3357782544</v>
      </c>
      <c r="V55" s="188">
        <v>5</v>
      </c>
      <c r="W55" s="187">
        <f t="shared" si="8"/>
        <v>151641.7910447761</v>
      </c>
      <c r="X55" s="187">
        <f t="shared" si="3"/>
        <v>537356.13916225953</v>
      </c>
      <c r="Y55" s="190">
        <f t="shared" si="4"/>
        <v>537000</v>
      </c>
      <c r="Z55" s="197">
        <v>46</v>
      </c>
    </row>
    <row r="56" spans="1:26" ht="21.75" customHeight="1" x14ac:dyDescent="0.25">
      <c r="A56" s="182"/>
      <c r="B56" s="140" t="s">
        <v>46</v>
      </c>
      <c r="C56" s="182"/>
      <c r="D56" s="182"/>
      <c r="E56" s="182"/>
      <c r="F56" s="182"/>
      <c r="G56" s="210">
        <v>1540000</v>
      </c>
      <c r="H56" s="210">
        <v>2000000</v>
      </c>
      <c r="I56" s="209">
        <f>H56-G56</f>
        <v>460000</v>
      </c>
      <c r="J56" s="195"/>
      <c r="K56" s="195"/>
      <c r="L56" s="161">
        <v>47</v>
      </c>
      <c r="M56" s="162" t="s">
        <v>133</v>
      </c>
      <c r="N56" s="165" t="s">
        <v>199</v>
      </c>
      <c r="O56" s="161">
        <v>2022</v>
      </c>
      <c r="P56" s="161">
        <v>2022</v>
      </c>
      <c r="Q56" s="161">
        <f t="shared" si="5"/>
        <v>0</v>
      </c>
      <c r="R56" s="163">
        <v>1500000</v>
      </c>
      <c r="S56" s="163"/>
      <c r="T56" s="187">
        <f t="shared" si="6"/>
        <v>201954.48195519586</v>
      </c>
      <c r="U56" s="187">
        <v>0</v>
      </c>
      <c r="V56" s="188"/>
      <c r="W56" s="187">
        <f t="shared" si="8"/>
        <v>0</v>
      </c>
      <c r="X56" s="187">
        <f t="shared" si="3"/>
        <v>201954.48195519586</v>
      </c>
      <c r="Y56" s="164">
        <f t="shared" si="4"/>
        <v>202000</v>
      </c>
      <c r="Z56" s="196">
        <v>47</v>
      </c>
    </row>
    <row r="57" spans="1:26" ht="21.75" customHeight="1" x14ac:dyDescent="0.25">
      <c r="A57" s="182"/>
      <c r="B57" s="140" t="s">
        <v>47</v>
      </c>
      <c r="C57" s="182"/>
      <c r="D57" s="182"/>
      <c r="E57" s="182"/>
      <c r="F57" s="182"/>
      <c r="G57" s="210">
        <v>1540000</v>
      </c>
      <c r="H57" s="210">
        <v>2000000</v>
      </c>
      <c r="I57" s="209">
        <f>H57-G57</f>
        <v>460000</v>
      </c>
      <c r="J57" s="195"/>
      <c r="K57" s="195"/>
      <c r="L57" s="161">
        <v>48</v>
      </c>
      <c r="M57" s="162" t="s">
        <v>165</v>
      </c>
      <c r="N57" s="165" t="s">
        <v>199</v>
      </c>
      <c r="O57" s="161">
        <v>2022</v>
      </c>
      <c r="P57" s="161">
        <v>2022</v>
      </c>
      <c r="Q57" s="161">
        <f t="shared" si="5"/>
        <v>0</v>
      </c>
      <c r="R57" s="163">
        <v>1500000</v>
      </c>
      <c r="S57" s="163"/>
      <c r="T57" s="164">
        <f t="shared" si="6"/>
        <v>201954.48195519586</v>
      </c>
      <c r="U57" s="164">
        <v>0</v>
      </c>
      <c r="V57" s="168"/>
      <c r="W57" s="164">
        <f t="shared" si="8"/>
        <v>0</v>
      </c>
      <c r="X57" s="164">
        <f t="shared" si="3"/>
        <v>201954.48195519586</v>
      </c>
      <c r="Y57" s="164">
        <f t="shared" si="4"/>
        <v>202000</v>
      </c>
      <c r="Z57" s="197">
        <v>48</v>
      </c>
    </row>
    <row r="58" spans="1:26" ht="21.75" customHeight="1" x14ac:dyDescent="0.25">
      <c r="A58" s="149"/>
      <c r="B58" s="154"/>
      <c r="C58" s="154"/>
      <c r="D58" s="148"/>
      <c r="E58" s="149"/>
      <c r="F58" s="149"/>
      <c r="G58" s="155">
        <f>SUM(G37:G57)</f>
        <v>31480500</v>
      </c>
      <c r="H58" s="209"/>
      <c r="I58" s="209">
        <f>SUM(I9:I57)</f>
        <v>2280000</v>
      </c>
      <c r="J58" s="209">
        <f>SUM(J9:J57)</f>
        <v>2280000</v>
      </c>
      <c r="K58" s="209">
        <f>SUM(K9:K57)</f>
        <v>2280000</v>
      </c>
      <c r="L58" s="161">
        <v>49</v>
      </c>
      <c r="M58" s="140" t="s">
        <v>45</v>
      </c>
      <c r="N58" s="162" t="s">
        <v>130</v>
      </c>
      <c r="O58" s="161"/>
      <c r="P58" s="161"/>
      <c r="Q58" s="161"/>
      <c r="R58" s="210">
        <f>G55</f>
        <v>1540000</v>
      </c>
      <c r="S58" s="186"/>
      <c r="T58" s="164">
        <f t="shared" si="6"/>
        <v>207339.93480733442</v>
      </c>
      <c r="U58" s="187"/>
      <c r="V58" s="188"/>
      <c r="W58" s="187"/>
      <c r="X58" s="187">
        <f t="shared" si="3"/>
        <v>207339.93480733442</v>
      </c>
      <c r="Y58" s="211">
        <f t="shared" si="4"/>
        <v>207000</v>
      </c>
      <c r="Z58" s="196">
        <v>49</v>
      </c>
    </row>
    <row r="59" spans="1:26" ht="21.75" customHeight="1" x14ac:dyDescent="0.25">
      <c r="A59" s="139">
        <v>13</v>
      </c>
      <c r="B59" s="140" t="s">
        <v>181</v>
      </c>
      <c r="C59" s="140" t="s">
        <v>199</v>
      </c>
      <c r="D59" s="141">
        <v>2022</v>
      </c>
      <c r="E59" s="139">
        <v>2022</v>
      </c>
      <c r="F59" s="139">
        <f t="shared" ref="F59:F64" si="14">E59-D59</f>
        <v>0</v>
      </c>
      <c r="G59" s="145">
        <v>1617000</v>
      </c>
      <c r="H59" s="195"/>
      <c r="I59" s="209">
        <f>I58-K58</f>
        <v>0</v>
      </c>
      <c r="J59" s="195"/>
      <c r="K59" s="195"/>
      <c r="L59" s="161">
        <v>50</v>
      </c>
      <c r="M59" s="140" t="s">
        <v>46</v>
      </c>
      <c r="N59" s="162" t="s">
        <v>130</v>
      </c>
      <c r="O59" s="161"/>
      <c r="P59" s="161"/>
      <c r="Q59" s="161"/>
      <c r="R59" s="210">
        <f t="shared" ref="R59:R60" si="15">G56</f>
        <v>1540000</v>
      </c>
      <c r="S59" s="186"/>
      <c r="T59" s="164">
        <f t="shared" si="6"/>
        <v>207339.93480733442</v>
      </c>
      <c r="U59" s="187"/>
      <c r="V59" s="188"/>
      <c r="W59" s="187"/>
      <c r="X59" s="187">
        <f t="shared" si="3"/>
        <v>207339.93480733442</v>
      </c>
      <c r="Y59" s="211">
        <f t="shared" si="4"/>
        <v>207000</v>
      </c>
      <c r="Z59" s="197">
        <v>50</v>
      </c>
    </row>
    <row r="60" spans="1:26" ht="21.75" customHeight="1" x14ac:dyDescent="0.25">
      <c r="A60" s="139">
        <v>8</v>
      </c>
      <c r="B60" s="142" t="s">
        <v>197</v>
      </c>
      <c r="C60" s="140" t="s">
        <v>195</v>
      </c>
      <c r="D60" s="141">
        <v>1997</v>
      </c>
      <c r="E60" s="139">
        <v>2022</v>
      </c>
      <c r="F60" s="139">
        <f t="shared" si="14"/>
        <v>25</v>
      </c>
      <c r="G60" s="145">
        <v>2433500</v>
      </c>
      <c r="H60" s="195"/>
      <c r="I60" s="209">
        <f>I59/8</f>
        <v>0</v>
      </c>
      <c r="J60" s="195"/>
      <c r="K60" s="195"/>
      <c r="L60" s="161">
        <v>51</v>
      </c>
      <c r="M60" s="140" t="s">
        <v>47</v>
      </c>
      <c r="N60" s="162" t="s">
        <v>130</v>
      </c>
      <c r="O60" s="161"/>
      <c r="P60" s="161"/>
      <c r="Q60" s="161"/>
      <c r="R60" s="210">
        <f t="shared" si="15"/>
        <v>1540000</v>
      </c>
      <c r="S60" s="186"/>
      <c r="T60" s="164">
        <f t="shared" si="6"/>
        <v>207339.93480733442</v>
      </c>
      <c r="U60" s="187"/>
      <c r="V60" s="188"/>
      <c r="W60" s="187"/>
      <c r="X60" s="187">
        <f t="shared" si="3"/>
        <v>207339.93480733442</v>
      </c>
      <c r="Y60" s="211">
        <f t="shared" si="4"/>
        <v>207000</v>
      </c>
      <c r="Z60" s="196">
        <v>51</v>
      </c>
    </row>
    <row r="61" spans="1:26" ht="21.75" customHeight="1" x14ac:dyDescent="0.25">
      <c r="A61" s="139">
        <v>9</v>
      </c>
      <c r="B61" s="140" t="s">
        <v>12</v>
      </c>
      <c r="C61" s="140" t="s">
        <v>195</v>
      </c>
      <c r="D61" s="141">
        <v>1992</v>
      </c>
      <c r="E61" s="139">
        <v>2022</v>
      </c>
      <c r="F61" s="139">
        <f t="shared" si="14"/>
        <v>30</v>
      </c>
      <c r="G61" s="145">
        <v>1742000</v>
      </c>
      <c r="H61" s="195"/>
      <c r="I61" s="195"/>
      <c r="J61" s="195"/>
      <c r="K61" s="195"/>
      <c r="L61" s="161">
        <v>52</v>
      </c>
      <c r="M61" s="165" t="s">
        <v>175</v>
      </c>
      <c r="N61" s="165" t="s">
        <v>200</v>
      </c>
      <c r="O61" s="166">
        <v>2004</v>
      </c>
      <c r="P61" s="161">
        <v>2022</v>
      </c>
      <c r="Q61" s="161">
        <f>P61-O61</f>
        <v>18</v>
      </c>
      <c r="R61" s="163">
        <v>813800</v>
      </c>
      <c r="S61" s="163"/>
      <c r="T61" s="164">
        <f t="shared" si="6"/>
        <v>109567.03827675892</v>
      </c>
      <c r="U61" s="164">
        <f t="shared" ref="U61:U63" si="16">(R61/$N$4)*$U$9</f>
        <v>59557.065439840211</v>
      </c>
      <c r="V61" s="168"/>
      <c r="W61" s="164">
        <f>(V61/$V$64)*$W$9</f>
        <v>0</v>
      </c>
      <c r="X61" s="164">
        <f t="shared" si="3"/>
        <v>169124.10371659911</v>
      </c>
      <c r="Y61" s="164">
        <f t="shared" si="4"/>
        <v>169000</v>
      </c>
      <c r="Z61" s="197">
        <v>52</v>
      </c>
    </row>
    <row r="62" spans="1:26" ht="21.75" customHeight="1" x14ac:dyDescent="0.25">
      <c r="A62" s="139">
        <v>10</v>
      </c>
      <c r="B62" s="140" t="s">
        <v>49</v>
      </c>
      <c r="C62" s="140" t="s">
        <v>195</v>
      </c>
      <c r="D62" s="141">
        <v>1992</v>
      </c>
      <c r="E62" s="139">
        <v>2022</v>
      </c>
      <c r="F62" s="139">
        <f t="shared" si="14"/>
        <v>30</v>
      </c>
      <c r="G62" s="145">
        <v>1742000</v>
      </c>
      <c r="H62" s="195"/>
      <c r="I62" s="195"/>
      <c r="J62" s="195"/>
      <c r="K62" s="195"/>
      <c r="L62" s="161">
        <v>53</v>
      </c>
      <c r="M62" s="165" t="s">
        <v>176</v>
      </c>
      <c r="N62" s="165" t="s">
        <v>200</v>
      </c>
      <c r="O62" s="166">
        <v>2006</v>
      </c>
      <c r="P62" s="161">
        <v>2022</v>
      </c>
      <c r="Q62" s="161">
        <f>P62-O62</f>
        <v>16</v>
      </c>
      <c r="R62" s="163">
        <v>800250</v>
      </c>
      <c r="S62" s="163"/>
      <c r="T62" s="164">
        <f t="shared" si="6"/>
        <v>107742.71612309699</v>
      </c>
      <c r="U62" s="164">
        <f t="shared" si="16"/>
        <v>58565.423467967717</v>
      </c>
      <c r="V62" s="168"/>
      <c r="W62" s="164">
        <f>(V62/$V$64)*$W$9</f>
        <v>0</v>
      </c>
      <c r="X62" s="164">
        <f t="shared" si="3"/>
        <v>166308.13959106471</v>
      </c>
      <c r="Y62" s="164">
        <f t="shared" si="4"/>
        <v>166000</v>
      </c>
      <c r="Z62" s="196">
        <v>53</v>
      </c>
    </row>
    <row r="63" spans="1:26" ht="21.75" customHeight="1" x14ac:dyDescent="0.25">
      <c r="A63" s="139">
        <v>12</v>
      </c>
      <c r="B63" s="140" t="s">
        <v>13</v>
      </c>
      <c r="C63" s="140" t="s">
        <v>195</v>
      </c>
      <c r="D63" s="141">
        <v>2002</v>
      </c>
      <c r="E63" s="139">
        <v>2022</v>
      </c>
      <c r="F63" s="139">
        <f t="shared" si="14"/>
        <v>20</v>
      </c>
      <c r="G63" s="145">
        <v>1891000</v>
      </c>
      <c r="H63" s="195"/>
      <c r="I63" s="195"/>
      <c r="J63" s="195"/>
      <c r="K63" s="195"/>
      <c r="L63" s="161">
        <v>54</v>
      </c>
      <c r="M63" s="165" t="s">
        <v>177</v>
      </c>
      <c r="N63" s="165" t="s">
        <v>200</v>
      </c>
      <c r="O63" s="166">
        <v>2008</v>
      </c>
      <c r="P63" s="161">
        <v>2022</v>
      </c>
      <c r="Q63" s="161">
        <f>P63-O63</f>
        <v>14</v>
      </c>
      <c r="R63" s="163">
        <v>802000</v>
      </c>
      <c r="S63" s="163"/>
      <c r="T63" s="164">
        <f t="shared" si="6"/>
        <v>107978.32968537805</v>
      </c>
      <c r="U63" s="164">
        <f t="shared" si="16"/>
        <v>58693.495309353464</v>
      </c>
      <c r="V63" s="168"/>
      <c r="W63" s="164">
        <f>(V63/$V$64)*$W$9</f>
        <v>0</v>
      </c>
      <c r="X63" s="164">
        <f t="shared" si="3"/>
        <v>166671.82499473152</v>
      </c>
      <c r="Y63" s="164">
        <f t="shared" si="4"/>
        <v>167000</v>
      </c>
      <c r="Z63" s="197">
        <v>54</v>
      </c>
    </row>
    <row r="64" spans="1:26" ht="21.75" customHeight="1" x14ac:dyDescent="0.25">
      <c r="A64" s="139">
        <v>11</v>
      </c>
      <c r="B64" s="140" t="s">
        <v>60</v>
      </c>
      <c r="C64" s="140" t="s">
        <v>195</v>
      </c>
      <c r="D64" s="141">
        <v>2017</v>
      </c>
      <c r="E64" s="139">
        <v>2022</v>
      </c>
      <c r="F64" s="139">
        <f t="shared" si="14"/>
        <v>5</v>
      </c>
      <c r="G64" s="145">
        <v>1729500</v>
      </c>
      <c r="H64" s="195"/>
      <c r="I64" s="195"/>
      <c r="J64" s="195"/>
      <c r="K64" s="195"/>
      <c r="L64" s="175"/>
      <c r="M64" s="175"/>
      <c r="N64" s="175"/>
      <c r="O64" s="175"/>
      <c r="P64" s="175"/>
      <c r="Q64" s="175"/>
      <c r="R64" s="176"/>
      <c r="S64" s="176">
        <f t="shared" ref="S64:Y64" si="17">SUM(S10:S63)</f>
        <v>7560500</v>
      </c>
      <c r="T64" s="176">
        <f t="shared" si="17"/>
        <v>8297999.9999999981</v>
      </c>
      <c r="U64" s="176">
        <f t="shared" si="17"/>
        <v>3575999.9999999995</v>
      </c>
      <c r="V64" s="177">
        <f t="shared" si="17"/>
        <v>134</v>
      </c>
      <c r="W64" s="176">
        <f t="shared" si="17"/>
        <v>4064000.0000000019</v>
      </c>
      <c r="X64" s="176">
        <f t="shared" si="17"/>
        <v>23498500.000000004</v>
      </c>
      <c r="Y64" s="176">
        <f t="shared" si="17"/>
        <v>23498500</v>
      </c>
      <c r="Z64" s="176"/>
    </row>
    <row r="65" spans="1:26" x14ac:dyDescent="0.25">
      <c r="H65" s="195"/>
      <c r="I65" s="195"/>
      <c r="J65" s="195"/>
      <c r="K65" s="195"/>
      <c r="S65" s="160">
        <f>S9-S64</f>
        <v>0</v>
      </c>
      <c r="T65" s="160">
        <f>T9-T64</f>
        <v>0</v>
      </c>
      <c r="U65" s="160">
        <f>U9-U64</f>
        <v>0</v>
      </c>
      <c r="W65" s="160">
        <f>W9-W64</f>
        <v>0</v>
      </c>
      <c r="X65" s="160">
        <f>X9-X64</f>
        <v>0</v>
      </c>
      <c r="Y65" s="160">
        <f>X64-Y64</f>
        <v>0</v>
      </c>
    </row>
    <row r="66" spans="1:26" hidden="1" x14ac:dyDescent="0.25">
      <c r="A66" s="139">
        <v>49</v>
      </c>
      <c r="B66" s="142" t="s">
        <v>44</v>
      </c>
      <c r="C66" s="142" t="s">
        <v>51</v>
      </c>
      <c r="D66" s="139">
        <v>1985</v>
      </c>
      <c r="E66" s="139">
        <v>2022</v>
      </c>
      <c r="F66" s="139">
        <f>E66-D66</f>
        <v>37</v>
      </c>
      <c r="G66" s="145">
        <v>2187300</v>
      </c>
      <c r="H66" s="195"/>
      <c r="I66" s="195"/>
      <c r="J66" s="195"/>
      <c r="K66" s="195"/>
      <c r="L66" s="174" t="s">
        <v>201</v>
      </c>
      <c r="M66" s="174" t="s">
        <v>204</v>
      </c>
      <c r="N66" s="174" t="s">
        <v>206</v>
      </c>
    </row>
    <row r="67" spans="1:26" hidden="1" x14ac:dyDescent="0.25">
      <c r="A67" s="139">
        <v>50</v>
      </c>
      <c r="B67" s="142" t="s">
        <v>53</v>
      </c>
      <c r="C67" s="142" t="s">
        <v>51</v>
      </c>
      <c r="D67" s="139">
        <v>1985</v>
      </c>
      <c r="E67" s="139">
        <v>2022</v>
      </c>
      <c r="F67" s="139">
        <f>E67-D67</f>
        <v>37</v>
      </c>
      <c r="G67" s="145">
        <v>2104800</v>
      </c>
      <c r="H67" s="195"/>
      <c r="I67" s="195"/>
      <c r="J67" s="195"/>
      <c r="K67" s="195"/>
      <c r="L67" s="172">
        <v>10</v>
      </c>
      <c r="M67" s="173" t="s">
        <v>63</v>
      </c>
      <c r="N67" s="172">
        <f>COUNTIF($V$10:$V$63,L67)</f>
        <v>1</v>
      </c>
      <c r="U67" s="160"/>
    </row>
    <row r="68" spans="1:26" hidden="1" x14ac:dyDescent="0.25">
      <c r="A68" s="139">
        <v>48</v>
      </c>
      <c r="B68" s="142" t="s">
        <v>48</v>
      </c>
      <c r="C68" s="142" t="s">
        <v>51</v>
      </c>
      <c r="D68" s="139">
        <v>1993</v>
      </c>
      <c r="E68" s="139">
        <v>2022</v>
      </c>
      <c r="F68" s="139">
        <f>E68-D68</f>
        <v>29</v>
      </c>
      <c r="G68" s="145">
        <v>2458000</v>
      </c>
      <c r="H68" s="195"/>
      <c r="I68" s="195"/>
      <c r="J68" s="195"/>
      <c r="K68" s="195"/>
      <c r="L68" s="172">
        <v>8</v>
      </c>
      <c r="M68" s="173" t="s">
        <v>83</v>
      </c>
      <c r="N68" s="172">
        <f>COUNTIF($V$11:$V$63,L68)</f>
        <v>4</v>
      </c>
    </row>
    <row r="69" spans="1:26" hidden="1" x14ac:dyDescent="0.25">
      <c r="B69" s="144"/>
      <c r="H69" s="195"/>
      <c r="I69" s="195"/>
      <c r="J69" s="195"/>
      <c r="K69" s="195"/>
      <c r="L69" s="172">
        <v>6</v>
      </c>
      <c r="M69" s="173" t="s">
        <v>202</v>
      </c>
      <c r="N69" s="172">
        <f>COUNTIF($V$11:$V$63,L69)</f>
        <v>2</v>
      </c>
    </row>
    <row r="70" spans="1:26" hidden="1" x14ac:dyDescent="0.25">
      <c r="H70" s="195"/>
      <c r="I70" s="195"/>
      <c r="J70" s="195"/>
      <c r="K70" s="195"/>
      <c r="L70" s="172">
        <v>5</v>
      </c>
      <c r="M70" s="173" t="s">
        <v>203</v>
      </c>
      <c r="N70" s="172">
        <f>COUNTIF($V$11:$V$63,L70)</f>
        <v>16</v>
      </c>
    </row>
    <row r="71" spans="1:26" hidden="1" x14ac:dyDescent="0.25">
      <c r="H71" s="195"/>
      <c r="I71" s="195"/>
      <c r="J71" s="195"/>
      <c r="K71" s="195"/>
    </row>
    <row r="72" spans="1:26" hidden="1" x14ac:dyDescent="0.25">
      <c r="H72" s="195"/>
      <c r="I72" s="195"/>
      <c r="J72" s="195"/>
      <c r="K72" s="195"/>
    </row>
    <row r="73" spans="1:26" hidden="1" x14ac:dyDescent="0.25">
      <c r="H73" s="195"/>
      <c r="I73" s="195"/>
      <c r="J73" s="195"/>
      <c r="K73" s="195"/>
    </row>
    <row r="74" spans="1:26" x14ac:dyDescent="0.25">
      <c r="H74" s="195"/>
      <c r="I74" s="195"/>
      <c r="J74" s="195"/>
      <c r="K74" s="195"/>
    </row>
    <row r="75" spans="1:26" x14ac:dyDescent="0.25">
      <c r="M75" s="201"/>
      <c r="Y75" s="205"/>
    </row>
    <row r="76" spans="1:26" x14ac:dyDescent="0.25">
      <c r="M76" s="201"/>
      <c r="Y76" s="201"/>
      <c r="Z76" s="205"/>
    </row>
    <row r="77" spans="1:26" x14ac:dyDescent="0.25">
      <c r="M77" s="201"/>
      <c r="Y77" s="201"/>
      <c r="Z77" s="205"/>
    </row>
    <row r="78" spans="1:26" x14ac:dyDescent="0.25">
      <c r="M78" s="201"/>
    </row>
    <row r="79" spans="1:26" x14ac:dyDescent="0.25">
      <c r="M79" s="201"/>
    </row>
    <row r="80" spans="1:26" x14ac:dyDescent="0.25">
      <c r="M80" s="202"/>
      <c r="Y80" s="206"/>
    </row>
  </sheetData>
  <mergeCells count="17">
    <mergeCell ref="V8:W8"/>
    <mergeCell ref="Y8:Y9"/>
    <mergeCell ref="L6:M6"/>
    <mergeCell ref="N6:Q6"/>
    <mergeCell ref="Z8:Z9"/>
    <mergeCell ref="L8:L9"/>
    <mergeCell ref="M8:M9"/>
    <mergeCell ref="N8:N9"/>
    <mergeCell ref="O8:O9"/>
    <mergeCell ref="P8:P9"/>
    <mergeCell ref="Q8:Q9"/>
    <mergeCell ref="R8:R9"/>
    <mergeCell ref="L1:Y1"/>
    <mergeCell ref="L2:Y2"/>
    <mergeCell ref="L3:Y3"/>
    <mergeCell ref="N4:Q4"/>
    <mergeCell ref="N5:Q5"/>
  </mergeCells>
  <pageMargins left="0.70866141732283472" right="0.70866141732283472" top="0.74803149606299213" bottom="0.74803149606299213" header="0.31496062992125984" footer="0.31496062992125984"/>
  <pageSetup paperSize="5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view="pageBreakPreview" zoomScale="115" zoomScaleNormal="115" zoomScaleSheetLayoutView="115" workbookViewId="0">
      <selection activeCell="G55" sqref="G55"/>
    </sheetView>
  </sheetViews>
  <sheetFormatPr defaultRowHeight="16.5" x14ac:dyDescent="0.25"/>
  <cols>
    <col min="1" max="1" width="5.5703125" style="158" customWidth="1"/>
    <col min="2" max="2" width="37.140625" style="158" bestFit="1" customWidth="1"/>
    <col min="3" max="3" width="14" style="158" bestFit="1" customWidth="1"/>
    <col min="4" max="5" width="6.140625" style="158" bestFit="1" customWidth="1"/>
    <col min="6" max="6" width="3.85546875" style="158" bestFit="1" customWidth="1"/>
    <col min="7" max="8" width="12.85546875" style="158" bestFit="1" customWidth="1"/>
    <col min="9" max="16384" width="9.140625" style="158"/>
  </cols>
  <sheetData>
    <row r="1" spans="1:8" x14ac:dyDescent="0.25">
      <c r="A1" s="208" t="s">
        <v>0</v>
      </c>
      <c r="B1" s="208" t="s">
        <v>1</v>
      </c>
      <c r="C1" s="208"/>
      <c r="D1" s="208"/>
      <c r="E1" s="208"/>
      <c r="F1" s="208"/>
      <c r="G1" s="208" t="s">
        <v>219</v>
      </c>
      <c r="H1" s="208" t="s">
        <v>174</v>
      </c>
    </row>
    <row r="2" spans="1:8" x14ac:dyDescent="0.25">
      <c r="A2" s="216">
        <v>1</v>
      </c>
      <c r="B2" s="217" t="s">
        <v>4</v>
      </c>
      <c r="C2" s="217" t="s">
        <v>195</v>
      </c>
      <c r="D2" s="218">
        <v>2006</v>
      </c>
      <c r="E2" s="216">
        <v>2022</v>
      </c>
      <c r="F2" s="216">
        <f>E2-D2</f>
        <v>16</v>
      </c>
      <c r="G2" s="164">
        <v>1596000</v>
      </c>
      <c r="H2" s="164">
        <v>600000</v>
      </c>
    </row>
    <row r="3" spans="1:8" x14ac:dyDescent="0.25">
      <c r="A3" s="216">
        <v>2</v>
      </c>
      <c r="B3" s="217" t="s">
        <v>5</v>
      </c>
      <c r="C3" s="217" t="s">
        <v>195</v>
      </c>
      <c r="D3" s="218">
        <v>1998</v>
      </c>
      <c r="E3" s="216">
        <v>2022</v>
      </c>
      <c r="F3" s="216">
        <f>E3-D3</f>
        <v>24</v>
      </c>
      <c r="G3" s="164">
        <v>1464000</v>
      </c>
      <c r="H3" s="164">
        <v>549000</v>
      </c>
    </row>
    <row r="4" spans="1:8" x14ac:dyDescent="0.25">
      <c r="A4" s="216">
        <v>3</v>
      </c>
      <c r="B4" s="217" t="s">
        <v>6</v>
      </c>
      <c r="C4" s="217" t="s">
        <v>195</v>
      </c>
      <c r="D4" s="218">
        <v>1992</v>
      </c>
      <c r="E4" s="216">
        <v>2022</v>
      </c>
      <c r="F4" s="216">
        <f>E4-D4</f>
        <v>30</v>
      </c>
      <c r="G4" s="164">
        <v>1384000</v>
      </c>
      <c r="H4" s="164">
        <v>590000</v>
      </c>
    </row>
    <row r="5" spans="1:8" x14ac:dyDescent="0.25">
      <c r="A5" s="216">
        <v>4</v>
      </c>
      <c r="B5" s="217" t="s">
        <v>166</v>
      </c>
      <c r="C5" s="217" t="s">
        <v>195</v>
      </c>
      <c r="D5" s="218">
        <v>2007</v>
      </c>
      <c r="E5" s="216">
        <v>2022</v>
      </c>
      <c r="F5" s="216">
        <f>E5-D5</f>
        <v>15</v>
      </c>
      <c r="G5" s="164">
        <v>1406500</v>
      </c>
      <c r="H5" s="164">
        <v>522000</v>
      </c>
    </row>
    <row r="6" spans="1:8" x14ac:dyDescent="0.25">
      <c r="A6" s="216">
        <v>5</v>
      </c>
      <c r="B6" s="217" t="s">
        <v>81</v>
      </c>
      <c r="C6" s="217" t="s">
        <v>195</v>
      </c>
      <c r="D6" s="218">
        <v>2012</v>
      </c>
      <c r="E6" s="216">
        <v>2022</v>
      </c>
      <c r="F6" s="216">
        <v>11</v>
      </c>
      <c r="G6" s="164">
        <v>1396000</v>
      </c>
      <c r="H6" s="164">
        <v>520000</v>
      </c>
    </row>
    <row r="7" spans="1:8" x14ac:dyDescent="0.25">
      <c r="A7" s="216">
        <v>6</v>
      </c>
      <c r="B7" s="219" t="s">
        <v>10</v>
      </c>
      <c r="C7" s="217" t="s">
        <v>195</v>
      </c>
      <c r="D7" s="218">
        <v>2007</v>
      </c>
      <c r="E7" s="216">
        <v>2022</v>
      </c>
      <c r="F7" s="216">
        <f t="shared" ref="F7:F49" si="0">E7-D7</f>
        <v>15</v>
      </c>
      <c r="G7" s="164">
        <v>570000</v>
      </c>
      <c r="H7" s="164">
        <v>340000</v>
      </c>
    </row>
    <row r="8" spans="1:8" x14ac:dyDescent="0.25">
      <c r="A8" s="216">
        <v>7</v>
      </c>
      <c r="B8" s="219" t="s">
        <v>43</v>
      </c>
      <c r="C8" s="217" t="s">
        <v>195</v>
      </c>
      <c r="D8" s="218">
        <v>2021</v>
      </c>
      <c r="E8" s="216">
        <v>2022</v>
      </c>
      <c r="F8" s="216">
        <f t="shared" si="0"/>
        <v>1</v>
      </c>
      <c r="G8" s="164">
        <v>426000</v>
      </c>
      <c r="H8" s="164">
        <v>100000</v>
      </c>
    </row>
    <row r="9" spans="1:8" x14ac:dyDescent="0.25">
      <c r="A9" s="216"/>
      <c r="B9" s="219" t="s">
        <v>197</v>
      </c>
      <c r="C9" s="217" t="s">
        <v>195</v>
      </c>
      <c r="D9" s="218">
        <v>1997</v>
      </c>
      <c r="E9" s="216">
        <v>2022</v>
      </c>
      <c r="F9" s="216">
        <f t="shared" si="0"/>
        <v>25</v>
      </c>
      <c r="G9" s="164">
        <v>750000</v>
      </c>
      <c r="H9" s="164"/>
    </row>
    <row r="10" spans="1:8" x14ac:dyDescent="0.25">
      <c r="A10" s="216">
        <v>8</v>
      </c>
      <c r="B10" s="217" t="s">
        <v>12</v>
      </c>
      <c r="C10" s="217" t="s">
        <v>195</v>
      </c>
      <c r="D10" s="218">
        <v>1992</v>
      </c>
      <c r="E10" s="216">
        <v>2022</v>
      </c>
      <c r="F10" s="216">
        <f t="shared" si="0"/>
        <v>30</v>
      </c>
      <c r="G10" s="164">
        <v>585000</v>
      </c>
      <c r="H10" s="164">
        <v>262000</v>
      </c>
    </row>
    <row r="11" spans="1:8" x14ac:dyDescent="0.25">
      <c r="A11" s="216">
        <v>9</v>
      </c>
      <c r="B11" s="217" t="s">
        <v>49</v>
      </c>
      <c r="C11" s="217" t="s">
        <v>195</v>
      </c>
      <c r="D11" s="218">
        <v>1992</v>
      </c>
      <c r="E11" s="216">
        <v>2022</v>
      </c>
      <c r="F11" s="216">
        <f t="shared" si="0"/>
        <v>30</v>
      </c>
      <c r="G11" s="164">
        <v>585000</v>
      </c>
      <c r="H11" s="164">
        <v>262000</v>
      </c>
    </row>
    <row r="12" spans="1:8" x14ac:dyDescent="0.25">
      <c r="A12" s="216">
        <v>10</v>
      </c>
      <c r="B12" s="217" t="s">
        <v>60</v>
      </c>
      <c r="C12" s="217" t="s">
        <v>195</v>
      </c>
      <c r="D12" s="218">
        <v>2017</v>
      </c>
      <c r="E12" s="216">
        <v>2022</v>
      </c>
      <c r="F12" s="216">
        <f t="shared" si="0"/>
        <v>5</v>
      </c>
      <c r="G12" s="164">
        <v>599000</v>
      </c>
      <c r="H12" s="164">
        <v>260000</v>
      </c>
    </row>
    <row r="13" spans="1:8" x14ac:dyDescent="0.25">
      <c r="A13" s="216">
        <v>11</v>
      </c>
      <c r="B13" s="217" t="s">
        <v>13</v>
      </c>
      <c r="C13" s="217" t="s">
        <v>195</v>
      </c>
      <c r="D13" s="218">
        <v>2002</v>
      </c>
      <c r="E13" s="216">
        <v>2022</v>
      </c>
      <c r="F13" s="216">
        <f t="shared" si="0"/>
        <v>20</v>
      </c>
      <c r="G13" s="164">
        <v>120000</v>
      </c>
      <c r="H13" s="164">
        <v>284000</v>
      </c>
    </row>
    <row r="14" spans="1:8" x14ac:dyDescent="0.25">
      <c r="A14" s="216">
        <v>12</v>
      </c>
      <c r="B14" s="217" t="s">
        <v>163</v>
      </c>
      <c r="C14" s="217" t="s">
        <v>208</v>
      </c>
      <c r="D14" s="218">
        <v>2022</v>
      </c>
      <c r="E14" s="216">
        <v>2022</v>
      </c>
      <c r="F14" s="216">
        <f t="shared" si="0"/>
        <v>0</v>
      </c>
      <c r="G14" s="164">
        <v>322000</v>
      </c>
      <c r="H14" s="164">
        <v>100000</v>
      </c>
    </row>
    <row r="15" spans="1:8" x14ac:dyDescent="0.25">
      <c r="A15" s="216">
        <v>13</v>
      </c>
      <c r="B15" s="217" t="s">
        <v>98</v>
      </c>
      <c r="C15" s="217" t="s">
        <v>97</v>
      </c>
      <c r="D15" s="216">
        <v>1996</v>
      </c>
      <c r="E15" s="216">
        <v>2022</v>
      </c>
      <c r="F15" s="216">
        <f t="shared" si="0"/>
        <v>26</v>
      </c>
      <c r="G15" s="164">
        <v>225000</v>
      </c>
      <c r="H15" s="164">
        <v>252000</v>
      </c>
    </row>
    <row r="16" spans="1:8" x14ac:dyDescent="0.25">
      <c r="A16" s="216">
        <v>14</v>
      </c>
      <c r="B16" s="219" t="s">
        <v>15</v>
      </c>
      <c r="C16" s="219" t="s">
        <v>51</v>
      </c>
      <c r="D16" s="216">
        <v>1996</v>
      </c>
      <c r="E16" s="216">
        <v>2022</v>
      </c>
      <c r="F16" s="216">
        <f t="shared" si="0"/>
        <v>26</v>
      </c>
      <c r="G16" s="164">
        <v>301000</v>
      </c>
      <c r="H16" s="164">
        <v>218000</v>
      </c>
    </row>
    <row r="17" spans="1:8" x14ac:dyDescent="0.25">
      <c r="A17" s="216">
        <v>15</v>
      </c>
      <c r="B17" s="219" t="s">
        <v>221</v>
      </c>
      <c r="C17" s="219" t="s">
        <v>51</v>
      </c>
      <c r="D17" s="216">
        <v>2001</v>
      </c>
      <c r="E17" s="216">
        <v>2022</v>
      </c>
      <c r="F17" s="216">
        <f t="shared" si="0"/>
        <v>21</v>
      </c>
      <c r="G17" s="164">
        <v>267000</v>
      </c>
      <c r="H17" s="164">
        <v>194000</v>
      </c>
    </row>
    <row r="18" spans="1:8" x14ac:dyDescent="0.25">
      <c r="A18" s="216">
        <v>16</v>
      </c>
      <c r="B18" s="219" t="s">
        <v>17</v>
      </c>
      <c r="C18" s="219" t="s">
        <v>51</v>
      </c>
      <c r="D18" s="216">
        <v>2004</v>
      </c>
      <c r="E18" s="216">
        <v>2022</v>
      </c>
      <c r="F18" s="216">
        <f t="shared" si="0"/>
        <v>18</v>
      </c>
      <c r="G18" s="164">
        <v>229000</v>
      </c>
      <c r="H18" s="164">
        <v>192000</v>
      </c>
    </row>
    <row r="19" spans="1:8" x14ac:dyDescent="0.25">
      <c r="A19" s="216">
        <v>17</v>
      </c>
      <c r="B19" s="219" t="s">
        <v>19</v>
      </c>
      <c r="C19" s="219" t="s">
        <v>51</v>
      </c>
      <c r="D19" s="216">
        <v>2010</v>
      </c>
      <c r="E19" s="216">
        <v>2022</v>
      </c>
      <c r="F19" s="216">
        <f t="shared" si="0"/>
        <v>12</v>
      </c>
      <c r="G19" s="164">
        <v>198000</v>
      </c>
      <c r="H19" s="164">
        <v>150000</v>
      </c>
    </row>
    <row r="20" spans="1:8" x14ac:dyDescent="0.25">
      <c r="A20" s="216">
        <v>18</v>
      </c>
      <c r="B20" s="219" t="s">
        <v>20</v>
      </c>
      <c r="C20" s="219" t="s">
        <v>51</v>
      </c>
      <c r="D20" s="216">
        <v>2014</v>
      </c>
      <c r="E20" s="216">
        <v>2022</v>
      </c>
      <c r="F20" s="216">
        <f t="shared" si="0"/>
        <v>8</v>
      </c>
      <c r="G20" s="164">
        <v>481000</v>
      </c>
      <c r="H20" s="164">
        <v>368000</v>
      </c>
    </row>
    <row r="21" spans="1:8" x14ac:dyDescent="0.25">
      <c r="A21" s="216">
        <v>19</v>
      </c>
      <c r="B21" s="219" t="s">
        <v>21</v>
      </c>
      <c r="C21" s="219" t="s">
        <v>51</v>
      </c>
      <c r="D21" s="216">
        <v>2015</v>
      </c>
      <c r="E21" s="216">
        <v>2022</v>
      </c>
      <c r="F21" s="216">
        <f t="shared" si="0"/>
        <v>7</v>
      </c>
      <c r="G21" s="164">
        <v>432000</v>
      </c>
      <c r="H21" s="164">
        <v>314000</v>
      </c>
    </row>
    <row r="22" spans="1:8" x14ac:dyDescent="0.25">
      <c r="A22" s="216">
        <v>20</v>
      </c>
      <c r="B22" s="219" t="s">
        <v>22</v>
      </c>
      <c r="C22" s="219" t="s">
        <v>51</v>
      </c>
      <c r="D22" s="216">
        <v>2016</v>
      </c>
      <c r="E22" s="216">
        <v>2022</v>
      </c>
      <c r="F22" s="216">
        <f t="shared" si="0"/>
        <v>6</v>
      </c>
      <c r="G22" s="164">
        <v>358000</v>
      </c>
      <c r="H22" s="164">
        <v>232000</v>
      </c>
    </row>
    <row r="23" spans="1:8" x14ac:dyDescent="0.25">
      <c r="A23" s="216">
        <v>21</v>
      </c>
      <c r="B23" s="219" t="s">
        <v>220</v>
      </c>
      <c r="C23" s="219" t="s">
        <v>51</v>
      </c>
      <c r="D23" s="216">
        <v>2016</v>
      </c>
      <c r="E23" s="216">
        <v>2022</v>
      </c>
      <c r="F23" s="216">
        <f t="shared" si="0"/>
        <v>6</v>
      </c>
      <c r="G23" s="164">
        <v>343000</v>
      </c>
      <c r="H23" s="164">
        <v>172000</v>
      </c>
    </row>
    <row r="24" spans="1:8" x14ac:dyDescent="0.25">
      <c r="A24" s="216">
        <v>22</v>
      </c>
      <c r="B24" s="219" t="s">
        <v>14</v>
      </c>
      <c r="C24" s="219" t="s">
        <v>51</v>
      </c>
      <c r="D24" s="216">
        <v>2015</v>
      </c>
      <c r="E24" s="216">
        <v>2022</v>
      </c>
      <c r="F24" s="216">
        <f t="shared" si="0"/>
        <v>7</v>
      </c>
      <c r="G24" s="164">
        <v>180000</v>
      </c>
      <c r="H24" s="164">
        <v>150000</v>
      </c>
    </row>
    <row r="25" spans="1:8" x14ac:dyDescent="0.25">
      <c r="A25" s="216">
        <v>23</v>
      </c>
      <c r="B25" s="219" t="s">
        <v>182</v>
      </c>
      <c r="C25" s="219" t="s">
        <v>51</v>
      </c>
      <c r="D25" s="216">
        <v>2019</v>
      </c>
      <c r="E25" s="216">
        <v>2022</v>
      </c>
      <c r="F25" s="216">
        <f t="shared" si="0"/>
        <v>3</v>
      </c>
      <c r="G25" s="164">
        <v>178000</v>
      </c>
      <c r="H25" s="164">
        <v>156000</v>
      </c>
    </row>
    <row r="26" spans="1:8" x14ac:dyDescent="0.25">
      <c r="A26" s="216">
        <v>24</v>
      </c>
      <c r="B26" s="219" t="s">
        <v>25</v>
      </c>
      <c r="C26" s="219" t="s">
        <v>51</v>
      </c>
      <c r="D26" s="216">
        <v>2019</v>
      </c>
      <c r="E26" s="216">
        <v>2022</v>
      </c>
      <c r="F26" s="216">
        <f t="shared" si="0"/>
        <v>3</v>
      </c>
      <c r="G26" s="164">
        <v>180000</v>
      </c>
      <c r="H26" s="164">
        <v>150000</v>
      </c>
    </row>
    <row r="27" spans="1:8" x14ac:dyDescent="0.25">
      <c r="A27" s="216">
        <v>25</v>
      </c>
      <c r="B27" s="219" t="s">
        <v>68</v>
      </c>
      <c r="C27" s="219" t="s">
        <v>51</v>
      </c>
      <c r="D27" s="216">
        <v>2019</v>
      </c>
      <c r="E27" s="216">
        <v>2022</v>
      </c>
      <c r="F27" s="216">
        <f t="shared" si="0"/>
        <v>3</v>
      </c>
      <c r="G27" s="164">
        <v>133000</v>
      </c>
      <c r="H27" s="164">
        <v>150000</v>
      </c>
    </row>
    <row r="28" spans="1:8" x14ac:dyDescent="0.25">
      <c r="A28" s="216">
        <v>26</v>
      </c>
      <c r="B28" s="219" t="s">
        <v>26</v>
      </c>
      <c r="C28" s="219" t="s">
        <v>51</v>
      </c>
      <c r="D28" s="216">
        <v>2019</v>
      </c>
      <c r="E28" s="216">
        <v>2022</v>
      </c>
      <c r="F28" s="216">
        <f t="shared" si="0"/>
        <v>3</v>
      </c>
      <c r="G28" s="164">
        <v>184000</v>
      </c>
      <c r="H28" s="164">
        <v>150000</v>
      </c>
    </row>
    <row r="29" spans="1:8" x14ac:dyDescent="0.25">
      <c r="A29" s="216">
        <v>27</v>
      </c>
      <c r="B29" s="219" t="s">
        <v>27</v>
      </c>
      <c r="C29" s="219" t="s">
        <v>51</v>
      </c>
      <c r="D29" s="216">
        <v>2019</v>
      </c>
      <c r="E29" s="216">
        <v>2022</v>
      </c>
      <c r="F29" s="216">
        <f t="shared" si="0"/>
        <v>3</v>
      </c>
      <c r="G29" s="164">
        <v>182000</v>
      </c>
      <c r="H29" s="164">
        <v>204000</v>
      </c>
    </row>
    <row r="30" spans="1:8" x14ac:dyDescent="0.25">
      <c r="A30" s="216">
        <v>28</v>
      </c>
      <c r="B30" s="219" t="s">
        <v>41</v>
      </c>
      <c r="C30" s="219" t="s">
        <v>51</v>
      </c>
      <c r="D30" s="216">
        <v>2021</v>
      </c>
      <c r="E30" s="216">
        <v>2022</v>
      </c>
      <c r="F30" s="216">
        <f t="shared" si="0"/>
        <v>1</v>
      </c>
      <c r="G30" s="164">
        <v>151000</v>
      </c>
      <c r="H30" s="164">
        <v>100000</v>
      </c>
    </row>
    <row r="31" spans="1:8" x14ac:dyDescent="0.25">
      <c r="A31" s="216">
        <v>29</v>
      </c>
      <c r="B31" s="219" t="s">
        <v>69</v>
      </c>
      <c r="C31" s="219" t="s">
        <v>51</v>
      </c>
      <c r="D31" s="216">
        <v>2020</v>
      </c>
      <c r="E31" s="216">
        <v>2022</v>
      </c>
      <c r="F31" s="216">
        <f t="shared" si="0"/>
        <v>2</v>
      </c>
      <c r="G31" s="164">
        <v>202000</v>
      </c>
      <c r="H31" s="164">
        <v>226000</v>
      </c>
    </row>
    <row r="32" spans="1:8" x14ac:dyDescent="0.25">
      <c r="A32" s="216">
        <v>30</v>
      </c>
      <c r="B32" s="219" t="s">
        <v>42</v>
      </c>
      <c r="C32" s="219" t="s">
        <v>51</v>
      </c>
      <c r="D32" s="216">
        <v>2021</v>
      </c>
      <c r="E32" s="216">
        <v>2022</v>
      </c>
      <c r="F32" s="216">
        <f t="shared" si="0"/>
        <v>1</v>
      </c>
      <c r="G32" s="164">
        <v>170000</v>
      </c>
      <c r="H32" s="164">
        <v>100000</v>
      </c>
    </row>
    <row r="33" spans="1:8" x14ac:dyDescent="0.25">
      <c r="A33" s="216">
        <v>31</v>
      </c>
      <c r="B33" s="219" t="s">
        <v>50</v>
      </c>
      <c r="C33" s="219" t="s">
        <v>51</v>
      </c>
      <c r="D33" s="216">
        <v>2021</v>
      </c>
      <c r="E33" s="216">
        <v>2022</v>
      </c>
      <c r="F33" s="216">
        <f t="shared" si="0"/>
        <v>1</v>
      </c>
      <c r="G33" s="164">
        <v>173000</v>
      </c>
      <c r="H33" s="164">
        <v>100000</v>
      </c>
    </row>
    <row r="34" spans="1:8" x14ac:dyDescent="0.25">
      <c r="A34" s="216">
        <v>32</v>
      </c>
      <c r="B34" s="219" t="s">
        <v>28</v>
      </c>
      <c r="C34" s="219" t="s">
        <v>51</v>
      </c>
      <c r="D34" s="216">
        <v>1993</v>
      </c>
      <c r="E34" s="216">
        <v>2022</v>
      </c>
      <c r="F34" s="216">
        <f t="shared" si="0"/>
        <v>29</v>
      </c>
      <c r="G34" s="164">
        <v>508000</v>
      </c>
      <c r="H34" s="164">
        <v>304000</v>
      </c>
    </row>
    <row r="35" spans="1:8" x14ac:dyDescent="0.25">
      <c r="A35" s="216">
        <v>33</v>
      </c>
      <c r="B35" s="219" t="s">
        <v>29</v>
      </c>
      <c r="C35" s="219" t="s">
        <v>51</v>
      </c>
      <c r="D35" s="220">
        <v>1996</v>
      </c>
      <c r="E35" s="216">
        <v>2022</v>
      </c>
      <c r="F35" s="216">
        <f t="shared" si="0"/>
        <v>26</v>
      </c>
      <c r="G35" s="164">
        <v>312000</v>
      </c>
      <c r="H35" s="164">
        <v>225000</v>
      </c>
    </row>
    <row r="36" spans="1:8" x14ac:dyDescent="0.25">
      <c r="A36" s="216">
        <v>34</v>
      </c>
      <c r="B36" s="219" t="s">
        <v>30</v>
      </c>
      <c r="C36" s="219" t="s">
        <v>51</v>
      </c>
      <c r="D36" s="216">
        <v>1999</v>
      </c>
      <c r="E36" s="216">
        <v>2022</v>
      </c>
      <c r="F36" s="216">
        <f t="shared" si="0"/>
        <v>23</v>
      </c>
      <c r="G36" s="164">
        <v>430000</v>
      </c>
      <c r="H36" s="164">
        <v>201000</v>
      </c>
    </row>
    <row r="37" spans="1:8" x14ac:dyDescent="0.25">
      <c r="A37" s="216">
        <v>35</v>
      </c>
      <c r="B37" s="219" t="s">
        <v>31</v>
      </c>
      <c r="C37" s="219" t="s">
        <v>51</v>
      </c>
      <c r="D37" s="216">
        <v>2000</v>
      </c>
      <c r="E37" s="216">
        <v>2022</v>
      </c>
      <c r="F37" s="216">
        <f t="shared" si="0"/>
        <v>22</v>
      </c>
      <c r="G37" s="164">
        <v>463000</v>
      </c>
      <c r="H37" s="164">
        <v>225000</v>
      </c>
    </row>
    <row r="38" spans="1:8" x14ac:dyDescent="0.25">
      <c r="A38" s="216">
        <v>36</v>
      </c>
      <c r="B38" s="219" t="s">
        <v>32</v>
      </c>
      <c r="C38" s="219" t="s">
        <v>51</v>
      </c>
      <c r="D38" s="216">
        <v>2000</v>
      </c>
      <c r="E38" s="216">
        <v>2022</v>
      </c>
      <c r="F38" s="216">
        <f t="shared" si="0"/>
        <v>22</v>
      </c>
      <c r="G38" s="164">
        <v>437000</v>
      </c>
      <c r="H38" s="164">
        <v>206000</v>
      </c>
    </row>
    <row r="39" spans="1:8" x14ac:dyDescent="0.25">
      <c r="A39" s="216">
        <v>37</v>
      </c>
      <c r="B39" s="219" t="s">
        <v>33</v>
      </c>
      <c r="C39" s="219" t="s">
        <v>51</v>
      </c>
      <c r="D39" s="216">
        <v>2001</v>
      </c>
      <c r="E39" s="216">
        <v>2022</v>
      </c>
      <c r="F39" s="216">
        <f t="shared" si="0"/>
        <v>21</v>
      </c>
      <c r="G39" s="164">
        <v>487000</v>
      </c>
      <c r="H39" s="164">
        <v>242000</v>
      </c>
    </row>
    <row r="40" spans="1:8" x14ac:dyDescent="0.25">
      <c r="A40" s="216">
        <v>38</v>
      </c>
      <c r="B40" s="219" t="s">
        <v>34</v>
      </c>
      <c r="C40" s="219" t="s">
        <v>51</v>
      </c>
      <c r="D40" s="216">
        <v>2004</v>
      </c>
      <c r="E40" s="216">
        <v>2022</v>
      </c>
      <c r="F40" s="216">
        <f t="shared" si="0"/>
        <v>18</v>
      </c>
      <c r="G40" s="164">
        <v>528000</v>
      </c>
      <c r="H40" s="164">
        <v>309000</v>
      </c>
    </row>
    <row r="41" spans="1:8" x14ac:dyDescent="0.25">
      <c r="A41" s="216">
        <v>39</v>
      </c>
      <c r="B41" s="219" t="s">
        <v>35</v>
      </c>
      <c r="C41" s="219" t="s">
        <v>51</v>
      </c>
      <c r="D41" s="216">
        <v>2005</v>
      </c>
      <c r="E41" s="216">
        <v>2022</v>
      </c>
      <c r="F41" s="216">
        <f t="shared" si="0"/>
        <v>17</v>
      </c>
      <c r="G41" s="164">
        <v>405000</v>
      </c>
      <c r="H41" s="164">
        <v>184000</v>
      </c>
    </row>
    <row r="42" spans="1:8" x14ac:dyDescent="0.25">
      <c r="A42" s="216">
        <v>40</v>
      </c>
      <c r="B42" s="219" t="s">
        <v>36</v>
      </c>
      <c r="C42" s="219" t="s">
        <v>51</v>
      </c>
      <c r="D42" s="216">
        <v>2005</v>
      </c>
      <c r="E42" s="216">
        <v>2022</v>
      </c>
      <c r="F42" s="216">
        <f t="shared" si="0"/>
        <v>17</v>
      </c>
      <c r="G42" s="164">
        <v>552000</v>
      </c>
      <c r="H42" s="164">
        <v>358000</v>
      </c>
    </row>
    <row r="43" spans="1:8" x14ac:dyDescent="0.25">
      <c r="A43" s="216">
        <v>41</v>
      </c>
      <c r="B43" s="219" t="s">
        <v>37</v>
      </c>
      <c r="C43" s="219" t="s">
        <v>51</v>
      </c>
      <c r="D43" s="216">
        <v>2006</v>
      </c>
      <c r="E43" s="216">
        <v>2022</v>
      </c>
      <c r="F43" s="216">
        <f t="shared" si="0"/>
        <v>16</v>
      </c>
      <c r="G43" s="164">
        <v>474000</v>
      </c>
      <c r="H43" s="164">
        <v>234000</v>
      </c>
    </row>
    <row r="44" spans="1:8" x14ac:dyDescent="0.25">
      <c r="A44" s="216">
        <v>42</v>
      </c>
      <c r="B44" s="219" t="s">
        <v>38</v>
      </c>
      <c r="C44" s="219" t="s">
        <v>51</v>
      </c>
      <c r="D44" s="216">
        <v>2008</v>
      </c>
      <c r="E44" s="216">
        <v>2022</v>
      </c>
      <c r="F44" s="216">
        <f t="shared" si="0"/>
        <v>14</v>
      </c>
      <c r="G44" s="164">
        <v>406000</v>
      </c>
      <c r="H44" s="164">
        <v>184000</v>
      </c>
    </row>
    <row r="45" spans="1:8" x14ac:dyDescent="0.25">
      <c r="A45" s="216">
        <v>43</v>
      </c>
      <c r="B45" s="219" t="s">
        <v>39</v>
      </c>
      <c r="C45" s="219" t="s">
        <v>51</v>
      </c>
      <c r="D45" s="216">
        <v>2008</v>
      </c>
      <c r="E45" s="216">
        <v>2022</v>
      </c>
      <c r="F45" s="216">
        <f t="shared" si="0"/>
        <v>14</v>
      </c>
      <c r="G45" s="164">
        <v>448000</v>
      </c>
      <c r="H45" s="164">
        <v>215000</v>
      </c>
    </row>
    <row r="46" spans="1:8" x14ac:dyDescent="0.25">
      <c r="A46" s="216">
        <v>44</v>
      </c>
      <c r="B46" s="219" t="s">
        <v>40</v>
      </c>
      <c r="C46" s="219" t="s">
        <v>51</v>
      </c>
      <c r="D46" s="216">
        <v>2007</v>
      </c>
      <c r="E46" s="216">
        <v>2022</v>
      </c>
      <c r="F46" s="216">
        <f t="shared" si="0"/>
        <v>15</v>
      </c>
      <c r="G46" s="164">
        <v>214000</v>
      </c>
      <c r="H46" s="164">
        <v>155000</v>
      </c>
    </row>
    <row r="47" spans="1:8" x14ac:dyDescent="0.25">
      <c r="A47" s="216">
        <v>45</v>
      </c>
      <c r="B47" s="219" t="s">
        <v>18</v>
      </c>
      <c r="C47" s="219" t="s">
        <v>51</v>
      </c>
      <c r="D47" s="216">
        <v>2008</v>
      </c>
      <c r="E47" s="216">
        <v>2022</v>
      </c>
      <c r="F47" s="216">
        <f t="shared" si="0"/>
        <v>14</v>
      </c>
      <c r="G47" s="164">
        <v>537000</v>
      </c>
      <c r="H47" s="164">
        <v>327000</v>
      </c>
    </row>
    <row r="48" spans="1:8" x14ac:dyDescent="0.25">
      <c r="A48" s="216">
        <v>46</v>
      </c>
      <c r="B48" s="219" t="s">
        <v>133</v>
      </c>
      <c r="C48" s="217" t="s">
        <v>199</v>
      </c>
      <c r="D48" s="216">
        <v>2022</v>
      </c>
      <c r="E48" s="216">
        <v>2022</v>
      </c>
      <c r="F48" s="216">
        <f t="shared" si="0"/>
        <v>0</v>
      </c>
      <c r="G48" s="164">
        <v>202000</v>
      </c>
      <c r="H48" s="164">
        <v>100000</v>
      </c>
    </row>
    <row r="49" spans="1:8" x14ac:dyDescent="0.25">
      <c r="A49" s="216">
        <v>47</v>
      </c>
      <c r="B49" s="219" t="s">
        <v>165</v>
      </c>
      <c r="C49" s="217" t="s">
        <v>199</v>
      </c>
      <c r="D49" s="216">
        <v>2022</v>
      </c>
      <c r="E49" s="216">
        <v>2022</v>
      </c>
      <c r="F49" s="216">
        <f t="shared" si="0"/>
        <v>0</v>
      </c>
      <c r="G49" s="164">
        <v>202000</v>
      </c>
      <c r="H49" s="164">
        <v>100000</v>
      </c>
    </row>
    <row r="50" spans="1:8" x14ac:dyDescent="0.25">
      <c r="A50" s="216">
        <v>48</v>
      </c>
      <c r="B50" s="221" t="s">
        <v>48</v>
      </c>
      <c r="C50" s="217"/>
      <c r="D50" s="216"/>
      <c r="E50" s="216"/>
      <c r="F50" s="216"/>
      <c r="G50" s="164"/>
      <c r="H50" s="164">
        <v>369000</v>
      </c>
    </row>
    <row r="51" spans="1:8" x14ac:dyDescent="0.25">
      <c r="A51" s="216">
        <v>49</v>
      </c>
      <c r="B51" s="219" t="s">
        <v>44</v>
      </c>
      <c r="C51" s="217"/>
      <c r="D51" s="216"/>
      <c r="E51" s="216"/>
      <c r="F51" s="216"/>
      <c r="G51" s="164"/>
      <c r="H51" s="164">
        <v>329000</v>
      </c>
    </row>
    <row r="52" spans="1:8" x14ac:dyDescent="0.25">
      <c r="A52" s="216">
        <v>50</v>
      </c>
      <c r="B52" s="219" t="s">
        <v>53</v>
      </c>
      <c r="C52" s="217"/>
      <c r="D52" s="216"/>
      <c r="E52" s="216"/>
      <c r="F52" s="216"/>
      <c r="G52" s="164"/>
      <c r="H52" s="164">
        <v>316000</v>
      </c>
    </row>
    <row r="53" spans="1:8" x14ac:dyDescent="0.25">
      <c r="A53" s="216">
        <v>51</v>
      </c>
      <c r="B53" s="217" t="s">
        <v>45</v>
      </c>
      <c r="C53" s="219" t="s">
        <v>130</v>
      </c>
      <c r="D53" s="216"/>
      <c r="E53" s="216"/>
      <c r="F53" s="216"/>
      <c r="G53" s="164">
        <v>207000</v>
      </c>
      <c r="H53" s="164">
        <v>320000</v>
      </c>
    </row>
    <row r="54" spans="1:8" x14ac:dyDescent="0.25">
      <c r="A54" s="216">
        <v>52</v>
      </c>
      <c r="B54" s="217" t="s">
        <v>46</v>
      </c>
      <c r="C54" s="219" t="s">
        <v>130</v>
      </c>
      <c r="D54" s="216"/>
      <c r="E54" s="216"/>
      <c r="F54" s="216"/>
      <c r="G54" s="164">
        <v>207000</v>
      </c>
      <c r="H54" s="164">
        <v>320000</v>
      </c>
    </row>
    <row r="55" spans="1:8" x14ac:dyDescent="0.25">
      <c r="A55" s="216">
        <v>53</v>
      </c>
      <c r="B55" s="217" t="s">
        <v>47</v>
      </c>
      <c r="C55" s="219" t="s">
        <v>130</v>
      </c>
      <c r="D55" s="216"/>
      <c r="E55" s="216"/>
      <c r="F55" s="216"/>
      <c r="G55" s="164">
        <v>207000</v>
      </c>
      <c r="H55" s="164">
        <v>321000</v>
      </c>
    </row>
    <row r="56" spans="1:8" x14ac:dyDescent="0.25">
      <c r="A56" s="216">
        <v>54</v>
      </c>
      <c r="B56" s="217" t="s">
        <v>175</v>
      </c>
      <c r="C56" s="217" t="s">
        <v>200</v>
      </c>
      <c r="D56" s="218">
        <v>2004</v>
      </c>
      <c r="E56" s="216">
        <v>2022</v>
      </c>
      <c r="F56" s="216">
        <f>E56-D56</f>
        <v>18</v>
      </c>
      <c r="G56" s="164">
        <v>169000</v>
      </c>
      <c r="H56" s="164">
        <v>150000</v>
      </c>
    </row>
    <row r="57" spans="1:8" x14ac:dyDescent="0.25">
      <c r="A57" s="216">
        <v>55</v>
      </c>
      <c r="B57" s="217" t="s">
        <v>176</v>
      </c>
      <c r="C57" s="217" t="s">
        <v>200</v>
      </c>
      <c r="D57" s="218">
        <v>2006</v>
      </c>
      <c r="E57" s="216">
        <v>2022</v>
      </c>
      <c r="F57" s="216">
        <f>E57-D57</f>
        <v>16</v>
      </c>
      <c r="G57" s="164">
        <v>166000</v>
      </c>
      <c r="H57" s="164">
        <v>194000</v>
      </c>
    </row>
    <row r="58" spans="1:8" x14ac:dyDescent="0.25">
      <c r="A58" s="216">
        <v>56</v>
      </c>
      <c r="B58" s="217" t="s">
        <v>177</v>
      </c>
      <c r="C58" s="217" t="s">
        <v>200</v>
      </c>
      <c r="D58" s="218">
        <v>2008</v>
      </c>
      <c r="E58" s="216">
        <v>2022</v>
      </c>
      <c r="F58" s="216">
        <f>E58-D58</f>
        <v>14</v>
      </c>
      <c r="G58" s="164">
        <v>167000</v>
      </c>
      <c r="H58" s="164">
        <v>204000</v>
      </c>
    </row>
    <row r="59" spans="1:8" x14ac:dyDescent="0.25">
      <c r="A59" s="216">
        <v>57</v>
      </c>
      <c r="B59" s="217" t="s">
        <v>178</v>
      </c>
      <c r="C59" s="217"/>
      <c r="D59" s="218"/>
      <c r="E59" s="216"/>
      <c r="F59" s="216"/>
      <c r="G59" s="222"/>
      <c r="H59" s="164">
        <v>155000</v>
      </c>
    </row>
    <row r="60" spans="1:8" x14ac:dyDescent="0.25">
      <c r="A60" s="214"/>
      <c r="B60" s="214"/>
      <c r="C60" s="214"/>
      <c r="D60" s="214"/>
      <c r="E60" s="214"/>
      <c r="F60" s="214"/>
      <c r="G60" s="215">
        <f>SUM(G2:G59)</f>
        <v>23498500</v>
      </c>
      <c r="H60" s="215">
        <f>SUM(H2:H59)</f>
        <v>14214000</v>
      </c>
    </row>
  </sheetData>
  <pageMargins left="0.70866141732283472" right="0.70866141732283472" top="0.74803149606299213" bottom="0.74803149606299213" header="0.31496062992125984" footer="0.31496062992125984"/>
  <pageSetup paperSize="5" scale="66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GAJI</vt:lpstr>
      <vt:lpstr>Sheet1</vt:lpstr>
      <vt:lpstr>REF</vt:lpstr>
      <vt:lpstr>Sheet2</vt:lpstr>
      <vt:lpstr>PAJAK BOS</vt:lpstr>
      <vt:lpstr>LB.TK</vt:lpstr>
      <vt:lpstr>LB. BUKU</vt:lpstr>
      <vt:lpstr>LB. BUKU (2)</vt:lpstr>
      <vt:lpstr>BUKU-CTK</vt:lpstr>
      <vt:lpstr>BUKU-print</vt:lpstr>
      <vt:lpstr>BAKU</vt:lpstr>
      <vt:lpstr>LATE</vt:lpstr>
      <vt:lpstr>LATE2</vt:lpstr>
      <vt:lpstr>'BUKU-CTK'!Print_Area</vt:lpstr>
      <vt:lpstr>'BUKU-print'!Print_Area</vt:lpstr>
      <vt:lpstr>GAJI!Print_Area</vt:lpstr>
      <vt:lpstr>'LB. BUKU'!Print_Area</vt:lpstr>
      <vt:lpstr>'LB. BUKU (2)'!Print_Area</vt:lpstr>
      <vt:lpstr>LB.TK!Print_Area</vt:lpstr>
      <vt:lpstr>GAJI!Print_Titles</vt:lpstr>
      <vt:lpstr>LB.TK!Print_Titles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2022-10-11T02:59:00Z</dcterms:modified>
</cp:coreProperties>
</file>