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IK\Downloads\"/>
    </mc:Choice>
  </mc:AlternateContent>
  <xr:revisionPtr revIDLastSave="0" documentId="8_{E23EAB82-3AEC-427E-AEF6-5BBCA1B63716}" xr6:coauthVersionLast="45" xr6:coauthVersionMax="45" xr10:uidLastSave="{00000000-0000-0000-0000-000000000000}"/>
  <bookViews>
    <workbookView xWindow="-120" yWindow="-120" windowWidth="29040" windowHeight="16440" xr2:uid="{19BD75C3-FAAF-4AC0-BDAF-B36C00ED4CB8}"/>
  </bookViews>
  <sheets>
    <sheet name="pimpinan" sheetId="1" r:id="rId1"/>
    <sheet name="guru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2" l="1"/>
  <c r="K25" i="2"/>
  <c r="G25" i="2"/>
  <c r="N24" i="2"/>
  <c r="M24" i="2"/>
  <c r="Q24" i="2" s="1"/>
  <c r="F24" i="2"/>
  <c r="N23" i="2"/>
  <c r="M23" i="2"/>
  <c r="Q23" i="2" s="1"/>
  <c r="F23" i="2"/>
  <c r="N22" i="2"/>
  <c r="M22" i="2"/>
  <c r="Q22" i="2" s="1"/>
  <c r="F22" i="2"/>
  <c r="N21" i="2"/>
  <c r="M21" i="2"/>
  <c r="Q21" i="2" s="1"/>
  <c r="F21" i="2"/>
  <c r="N20" i="2"/>
  <c r="M20" i="2"/>
  <c r="Q20" i="2" s="1"/>
  <c r="F20" i="2"/>
  <c r="N19" i="2"/>
  <c r="M19" i="2"/>
  <c r="Q19" i="2" s="1"/>
  <c r="F19" i="2"/>
  <c r="N18" i="2"/>
  <c r="M18" i="2"/>
  <c r="Q18" i="2" s="1"/>
  <c r="F18" i="2"/>
  <c r="N17" i="2"/>
  <c r="M17" i="2"/>
  <c r="Q17" i="2" s="1"/>
  <c r="F17" i="2"/>
  <c r="N16" i="2"/>
  <c r="M16" i="2"/>
  <c r="Q16" i="2" s="1"/>
  <c r="F16" i="2"/>
  <c r="N15" i="2"/>
  <c r="M15" i="2"/>
  <c r="Q15" i="2" s="1"/>
  <c r="F15" i="2"/>
  <c r="N14" i="2"/>
  <c r="M14" i="2"/>
  <c r="Q14" i="2" s="1"/>
  <c r="F14" i="2"/>
  <c r="N13" i="2"/>
  <c r="M13" i="2"/>
  <c r="Q13" i="2" s="1"/>
  <c r="F13" i="2"/>
  <c r="N12" i="2"/>
  <c r="M12" i="2"/>
  <c r="Q12" i="2" s="1"/>
  <c r="F12" i="2"/>
  <c r="N11" i="2"/>
  <c r="M11" i="2"/>
  <c r="Q11" i="2" s="1"/>
  <c r="F11" i="2"/>
  <c r="N10" i="2"/>
  <c r="N25" i="2" s="1"/>
  <c r="M10" i="2"/>
  <c r="Q10" i="2" s="1"/>
  <c r="F10" i="2"/>
  <c r="S23" i="1"/>
  <c r="M23" i="1"/>
  <c r="L23" i="1"/>
  <c r="K23" i="1"/>
  <c r="Q22" i="1"/>
  <c r="N22" i="1"/>
  <c r="T22" i="1" s="1"/>
  <c r="Q21" i="1"/>
  <c r="P21" i="1"/>
  <c r="N21" i="1"/>
  <c r="T21" i="1" s="1"/>
  <c r="Q20" i="1"/>
  <c r="N20" i="1"/>
  <c r="T20" i="1" s="1"/>
  <c r="Q19" i="1"/>
  <c r="P19" i="1"/>
  <c r="N19" i="1"/>
  <c r="T19" i="1" s="1"/>
  <c r="R18" i="1"/>
  <c r="Q18" i="1"/>
  <c r="T18" i="1" s="1"/>
  <c r="T17" i="1"/>
  <c r="Q17" i="1"/>
  <c r="Q16" i="1"/>
  <c r="P16" i="1"/>
  <c r="N16" i="1"/>
  <c r="T16" i="1" s="1"/>
  <c r="R15" i="1"/>
  <c r="Q15" i="1"/>
  <c r="P15" i="1"/>
  <c r="N15" i="1"/>
  <c r="T15" i="1" s="1"/>
  <c r="R14" i="1"/>
  <c r="Q14" i="1"/>
  <c r="P14" i="1"/>
  <c r="N14" i="1"/>
  <c r="T14" i="1" s="1"/>
  <c r="R13" i="1"/>
  <c r="Q13" i="1"/>
  <c r="P13" i="1"/>
  <c r="N13" i="1"/>
  <c r="T13" i="1" s="1"/>
  <c r="R12" i="1"/>
  <c r="Q12" i="1"/>
  <c r="P12" i="1"/>
  <c r="N12" i="1"/>
  <c r="T12" i="1" s="1"/>
  <c r="R11" i="1"/>
  <c r="R23" i="1" s="1"/>
  <c r="Q11" i="1"/>
  <c r="Q23" i="1" s="1"/>
  <c r="P11" i="1"/>
  <c r="P23" i="1" s="1"/>
  <c r="N11" i="1"/>
  <c r="N23" i="1" s="1"/>
  <c r="Q25" i="2" l="1"/>
  <c r="M25" i="2"/>
  <c r="T11" i="1"/>
  <c r="T23" i="1" s="1"/>
  <c r="H23" i="1"/>
</calcChain>
</file>

<file path=xl/sharedStrings.xml><?xml version="1.0" encoding="utf-8"?>
<sst xmlns="http://schemas.openxmlformats.org/spreadsheetml/2006/main" count="107" uniqueCount="84">
  <si>
    <t>REKAPITULASI HR. PIMPINAN</t>
  </si>
  <si>
    <t>SMP WACHID HASYIM 1 SURABAYA</t>
  </si>
  <si>
    <t>TAHUN PELAJARAN  2022/2023</t>
  </si>
  <si>
    <t>BAGIAN BULAN :  SEPTEMBER 2022</t>
  </si>
  <si>
    <t xml:space="preserve"> </t>
  </si>
  <si>
    <t>NO</t>
  </si>
  <si>
    <t>NAMA</t>
  </si>
  <si>
    <t>JABATAN</t>
  </si>
  <si>
    <t>THN</t>
  </si>
  <si>
    <t>TAPEL</t>
  </si>
  <si>
    <t>M.K</t>
  </si>
  <si>
    <t>J.JAM</t>
  </si>
  <si>
    <t>PKT</t>
  </si>
  <si>
    <t>Nominal</t>
  </si>
  <si>
    <t>GAJI POKOK</t>
  </si>
  <si>
    <t>T.KHUSUS</t>
  </si>
  <si>
    <t>T.JABATAN</t>
  </si>
  <si>
    <t>JML JAM MENGAJAR</t>
  </si>
  <si>
    <t>KEHADIRAN</t>
  </si>
  <si>
    <t>PRES.KERJA &amp; KEAKTIFAN HDR (95%)</t>
  </si>
  <si>
    <t>JUMLAH</t>
  </si>
  <si>
    <t>%</t>
  </si>
  <si>
    <t>MSK</t>
  </si>
  <si>
    <t>BARU</t>
  </si>
  <si>
    <t>MGJ</t>
  </si>
  <si>
    <t>BAKU</t>
  </si>
  <si>
    <t>NOMINAL</t>
  </si>
  <si>
    <t>PIKET PIMP</t>
  </si>
  <si>
    <t>LITERASI/PIKET</t>
  </si>
  <si>
    <t>PERUBAHAN</t>
  </si>
  <si>
    <t>LAMA</t>
  </si>
  <si>
    <t>AINUL YAQIN, S.Si</t>
  </si>
  <si>
    <t>Kepala SMP</t>
  </si>
  <si>
    <t>Dra. NINING P</t>
  </si>
  <si>
    <t>Wakasek &amp; Bendahara</t>
  </si>
  <si>
    <t>TAUFIQ HIDAYAT, S.Si</t>
  </si>
  <si>
    <t>Ka.Ur.Kurikulum</t>
  </si>
  <si>
    <t>ZAINUL ARIFIN, SE</t>
  </si>
  <si>
    <t>Ka.Ur. Sarpras</t>
  </si>
  <si>
    <t>CHOIRIYAH, S.Pd.</t>
  </si>
  <si>
    <t>Ka.Ur.Kesiswaan</t>
  </si>
  <si>
    <t>KUNCAHYANING F.S,M.Pd.</t>
  </si>
  <si>
    <t>Ka. Ur. Humas</t>
  </si>
  <si>
    <t>LUTFIYAH KUSUMA, SE</t>
  </si>
  <si>
    <t>Ka.TU SMP</t>
  </si>
  <si>
    <t>GATOT SUGIYANTO, S.Pd.</t>
  </si>
  <si>
    <t>Guru</t>
  </si>
  <si>
    <t>DWI ISTRIANA, S.Psi</t>
  </si>
  <si>
    <t>BP/SMP</t>
  </si>
  <si>
    <t>-</t>
  </si>
  <si>
    <t>QURROTUL AINI, S.Pd</t>
  </si>
  <si>
    <t>CHOIRUR ROBIAH, S.Psi</t>
  </si>
  <si>
    <t>NANDA</t>
  </si>
  <si>
    <t>Jumlah :</t>
  </si>
  <si>
    <t>REKAPITULASI HR. GURU SERTIFIKASI</t>
  </si>
  <si>
    <t>SMP  WACHID HASYIM 1 SURABAYA</t>
  </si>
  <si>
    <t>TAHUN PELAJARAN 2022/2023</t>
  </si>
  <si>
    <t>BAGIAN BULAN :  AGUSTUS 2022</t>
  </si>
  <si>
    <t>MK</t>
  </si>
  <si>
    <t>HDR</t>
  </si>
  <si>
    <t>KELEBIHAN</t>
  </si>
  <si>
    <t>TUNJANGAN</t>
  </si>
  <si>
    <t>JML JAM HADIR</t>
  </si>
  <si>
    <t>JML RP</t>
  </si>
  <si>
    <t>BR</t>
  </si>
  <si>
    <t>JJM</t>
  </si>
  <si>
    <t>(W.KLS/P.OSIS)</t>
  </si>
  <si>
    <t>NGAJI</t>
  </si>
  <si>
    <t>Drs. KUNTO BW</t>
  </si>
  <si>
    <t>Dra. Hj.KUSTANTRI</t>
  </si>
  <si>
    <t>Dra. YAYUK MURTINI</t>
  </si>
  <si>
    <t>ACH. FADLAN, S.Ag.</t>
  </si>
  <si>
    <t>SITI RACHMAH, S.Pd.</t>
  </si>
  <si>
    <t>ANNA LATIFAH.S.Pd</t>
  </si>
  <si>
    <t>SUMIATI, S.Pd.</t>
  </si>
  <si>
    <t>SRI UTARI, S.Pd.</t>
  </si>
  <si>
    <t>GANDUNG SUPRI H, S.Pd</t>
  </si>
  <si>
    <t>YULIA RAHMAH, S.Pd.</t>
  </si>
  <si>
    <t>PAMUDJI, S.Pd.</t>
  </si>
  <si>
    <t>NURULITA S.Si</t>
  </si>
  <si>
    <t>RINA SULFIANA, S.Si</t>
  </si>
  <si>
    <t>NURIL FARAHANI, S.Si</t>
  </si>
  <si>
    <t>ALIF NUR FAIZAH</t>
  </si>
  <si>
    <t>JUMLAH 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</si>
</sst>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Rp-421]* #,##0_);_([$Rp-421]* \(#,##0\);_([$Rp-421]* &quot;-&quot;_);_(@_)"/>
    <numFmt numFmtId="165" formatCode="_(&quot;Rp&quot;* #,##0_);_(&quot;Rp&quot;* \(#,##0\);_(&quot;Rp&quot;* &quot;-&quot;_);_(@_)"/>
    <numFmt numFmtId="166" formatCode="0.0"/>
    <numFmt numFmtId="167" formatCode="#,##0_);\!\(#,##0\!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</font>
    <font>
      <b/>
      <u/>
      <sz val="16"/>
      <name val="Arial Narrow"/>
    </font>
    <font>
      <b/>
      <u/>
      <sz val="14"/>
      <name val="Arial Narrow"/>
    </font>
    <font>
      <b/>
      <sz val="14"/>
      <name val="Arial Narrow"/>
    </font>
    <font>
      <sz val="14"/>
      <name val="Arial Narrow"/>
    </font>
    <font>
      <sz val="12"/>
      <name val="Arial Narrow"/>
    </font>
    <font>
      <b/>
      <sz val="12"/>
      <name val="Arial Narrow"/>
    </font>
    <font>
      <b/>
      <sz val="11"/>
      <name val="Arial Narrow"/>
    </font>
    <font>
      <b/>
      <sz val="9"/>
      <name val="Arial Narrow"/>
    </font>
    <font>
      <sz val="13"/>
      <name val="Arial Narrow"/>
    </font>
    <font>
      <b/>
      <sz val="13"/>
      <name val="Arial Narrow"/>
    </font>
    <font>
      <b/>
      <u/>
      <sz val="11"/>
      <name val="Arial Narrow"/>
    </font>
    <font>
      <sz val="11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vertical="center"/>
    </xf>
    <xf numFmtId="165" fontId="11" fillId="0" borderId="16" xfId="0" applyNumberFormat="1" applyFont="1" applyBorder="1" applyAlignment="1">
      <alignment vertical="center"/>
    </xf>
    <xf numFmtId="165" fontId="11" fillId="0" borderId="15" xfId="0" applyNumberFormat="1" applyFont="1" applyBorder="1" applyAlignment="1">
      <alignment vertical="center"/>
    </xf>
    <xf numFmtId="164" fontId="11" fillId="2" borderId="16" xfId="0" applyNumberFormat="1" applyFont="1" applyFill="1" applyBorder="1" applyAlignment="1">
      <alignment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vertical="center"/>
    </xf>
    <xf numFmtId="164" fontId="11" fillId="2" borderId="15" xfId="0" applyNumberFormat="1" applyFont="1" applyFill="1" applyBorder="1" applyAlignment="1">
      <alignment vertical="center"/>
    </xf>
    <xf numFmtId="0" fontId="11" fillId="0" borderId="15" xfId="0" applyFont="1" applyBorder="1" applyAlignment="1">
      <alignment horizontal="left" vertical="center"/>
    </xf>
    <xf numFmtId="166" fontId="11" fillId="0" borderId="16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2" borderId="15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5" xfId="0" quotePrefix="1" applyFont="1" applyFill="1" applyBorder="1" applyAlignment="1">
      <alignment horizontal="center" vertical="center"/>
    </xf>
    <xf numFmtId="1" fontId="11" fillId="2" borderId="15" xfId="0" applyNumberFormat="1" applyFont="1" applyFill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4" fontId="11" fillId="0" borderId="19" xfId="0" applyNumberFormat="1" applyFont="1" applyBorder="1" applyAlignment="1">
      <alignment vertical="center"/>
    </xf>
    <xf numFmtId="165" fontId="11" fillId="0" borderId="19" xfId="0" applyNumberFormat="1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center" vertical="center"/>
    </xf>
    <xf numFmtId="164" fontId="12" fillId="0" borderId="22" xfId="0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/>
    <xf numFmtId="164" fontId="14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9" fontId="9" fillId="0" borderId="3" xfId="1" applyFont="1" applyBorder="1" applyAlignment="1" applyProtection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2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9" fontId="9" fillId="0" borderId="10" xfId="1" applyFont="1" applyBorder="1" applyAlignment="1" applyProtection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vertical="center"/>
    </xf>
    <xf numFmtId="164" fontId="14" fillId="0" borderId="16" xfId="0" applyNumberFormat="1" applyFont="1" applyBorder="1" applyAlignment="1">
      <alignment vertical="center"/>
    </xf>
    <xf numFmtId="167" fontId="14" fillId="0" borderId="27" xfId="0" applyNumberFormat="1" applyFont="1" applyBorder="1" applyAlignment="1">
      <alignment horizontal="center" vertical="center"/>
    </xf>
    <xf numFmtId="9" fontId="14" fillId="0" borderId="16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167" fontId="14" fillId="0" borderId="15" xfId="0" applyNumberFormat="1" applyFont="1" applyBorder="1" applyAlignment="1">
      <alignment horizontal="center" vertical="center"/>
    </xf>
    <xf numFmtId="9" fontId="14" fillId="0" borderId="15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164" fontId="14" fillId="0" borderId="26" xfId="0" applyNumberFormat="1" applyFont="1" applyBorder="1" applyAlignment="1">
      <alignment vertical="center"/>
    </xf>
    <xf numFmtId="167" fontId="14" fillId="0" borderId="26" xfId="0" applyNumberFormat="1" applyFont="1" applyBorder="1" applyAlignment="1">
      <alignment horizontal="center" vertical="center"/>
    </xf>
    <xf numFmtId="9" fontId="14" fillId="0" borderId="26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164" fontId="9" fillId="0" borderId="31" xfId="0" applyNumberFormat="1" applyFont="1" applyBorder="1" applyAlignment="1">
      <alignment vertical="center"/>
    </xf>
    <xf numFmtId="0" fontId="9" fillId="0" borderId="32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9" fontId="9" fillId="0" borderId="3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E61A-A0DE-4994-A050-8DC0C82BA3AA}">
  <dimension ref="B4:V23"/>
  <sheetViews>
    <sheetView tabSelected="1" topLeftCell="B1" workbookViewId="0">
      <selection activeCell="B4" sqref="B4:V23"/>
    </sheetView>
  </sheetViews>
  <sheetFormatPr defaultRowHeight="15" x14ac:dyDescent="0.25"/>
  <cols>
    <col min="2" max="2" width="5.85546875" customWidth="1"/>
    <col min="3" max="3" width="27" bestFit="1" customWidth="1"/>
    <col min="4" max="4" width="16.42578125" bestFit="1" customWidth="1"/>
    <col min="5" max="5" width="5.5703125" bestFit="1" customWidth="1"/>
    <col min="6" max="6" width="7.140625" bestFit="1" customWidth="1"/>
    <col min="7" max="7" width="4.42578125" bestFit="1" customWidth="1"/>
    <col min="8" max="8" width="6.28515625" bestFit="1" customWidth="1"/>
    <col min="9" max="9" width="5" bestFit="1" customWidth="1"/>
    <col min="10" max="10" width="11.28515625" bestFit="1" customWidth="1"/>
    <col min="11" max="11" width="14.42578125" bestFit="1" customWidth="1"/>
    <col min="12" max="12" width="11.5703125" bestFit="1" customWidth="1"/>
    <col min="13" max="13" width="14.42578125" bestFit="1" customWidth="1"/>
    <col min="14" max="14" width="12.5703125" bestFit="1" customWidth="1"/>
    <col min="15" max="15" width="11.28515625" bestFit="1" customWidth="1"/>
    <col min="16" max="16" width="14.42578125" bestFit="1" customWidth="1"/>
    <col min="17" max="17" width="15.5703125" bestFit="1" customWidth="1"/>
    <col min="18" max="18" width="17" bestFit="1" customWidth="1"/>
    <col min="19" max="19" width="18.140625" customWidth="1"/>
    <col min="20" max="20" width="15.5703125" bestFit="1" customWidth="1"/>
    <col min="21" max="21" width="14.28515625" bestFit="1" customWidth="1"/>
    <col min="22" max="22" width="4.42578125" bestFit="1" customWidth="1"/>
  </cols>
  <sheetData>
    <row r="4" spans="2:22" ht="20.25" x14ac:dyDescent="0.2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0.25" x14ac:dyDescent="0.25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20.25" x14ac:dyDescent="0.25"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ht="18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 ht="18.75" thickBot="1" x14ac:dyDescent="0.3">
      <c r="B8" s="4" t="s">
        <v>3</v>
      </c>
      <c r="C8" s="4"/>
      <c r="D8" s="5"/>
      <c r="E8" s="6"/>
      <c r="F8" s="6"/>
      <c r="G8" s="6"/>
      <c r="H8" s="7"/>
      <c r="I8" s="6" t="s">
        <v>4</v>
      </c>
      <c r="J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6"/>
    </row>
    <row r="9" spans="2:22" ht="16.5" x14ac:dyDescent="0.25">
      <c r="B9" s="9" t="s">
        <v>5</v>
      </c>
      <c r="C9" s="10" t="s">
        <v>6</v>
      </c>
      <c r="D9" s="10" t="s">
        <v>7</v>
      </c>
      <c r="E9" s="11" t="s">
        <v>8</v>
      </c>
      <c r="F9" s="11" t="s">
        <v>9</v>
      </c>
      <c r="G9" s="12" t="s">
        <v>10</v>
      </c>
      <c r="H9" s="13" t="s">
        <v>11</v>
      </c>
      <c r="I9" s="14" t="s">
        <v>12</v>
      </c>
      <c r="J9" s="10" t="s">
        <v>13</v>
      </c>
      <c r="K9" s="15" t="s">
        <v>14</v>
      </c>
      <c r="L9" s="15" t="s">
        <v>15</v>
      </c>
      <c r="M9" s="15" t="s">
        <v>16</v>
      </c>
      <c r="N9" s="16" t="s">
        <v>17</v>
      </c>
      <c r="O9" s="17"/>
      <c r="P9" s="18"/>
      <c r="Q9" s="16" t="s">
        <v>18</v>
      </c>
      <c r="R9" s="17"/>
      <c r="S9" s="19" t="s">
        <v>19</v>
      </c>
      <c r="T9" s="20" t="s">
        <v>20</v>
      </c>
      <c r="U9" s="20" t="s">
        <v>20</v>
      </c>
      <c r="V9" s="10" t="s">
        <v>21</v>
      </c>
    </row>
    <row r="10" spans="2:22" ht="17.25" thickBot="1" x14ac:dyDescent="0.3">
      <c r="B10" s="21"/>
      <c r="C10" s="22"/>
      <c r="D10" s="22"/>
      <c r="E10" s="23" t="s">
        <v>22</v>
      </c>
      <c r="F10" s="23" t="s">
        <v>23</v>
      </c>
      <c r="G10" s="24"/>
      <c r="H10" s="25" t="s">
        <v>24</v>
      </c>
      <c r="I10" s="26"/>
      <c r="J10" s="22"/>
      <c r="K10" s="27"/>
      <c r="L10" s="27"/>
      <c r="M10" s="27"/>
      <c r="N10" s="28" t="s">
        <v>25</v>
      </c>
      <c r="O10" s="28" t="s">
        <v>26</v>
      </c>
      <c r="P10" s="28" t="s">
        <v>18</v>
      </c>
      <c r="Q10" s="28" t="s">
        <v>27</v>
      </c>
      <c r="R10" s="28" t="s">
        <v>28</v>
      </c>
      <c r="S10" s="29"/>
      <c r="T10" s="30" t="s">
        <v>29</v>
      </c>
      <c r="U10" s="30" t="s">
        <v>30</v>
      </c>
      <c r="V10" s="22"/>
    </row>
    <row r="11" spans="2:22" ht="18" thickTop="1" x14ac:dyDescent="0.25">
      <c r="B11" s="31">
        <v>1</v>
      </c>
      <c r="C11" s="32" t="s">
        <v>31</v>
      </c>
      <c r="D11" s="33" t="s">
        <v>32</v>
      </c>
      <c r="E11" s="34">
        <v>2004</v>
      </c>
      <c r="F11" s="34">
        <v>2021</v>
      </c>
      <c r="G11" s="34">
        <v>18</v>
      </c>
      <c r="H11" s="34">
        <v>8</v>
      </c>
      <c r="I11" s="35">
        <v>42</v>
      </c>
      <c r="J11" s="36">
        <v>56000</v>
      </c>
      <c r="K11" s="36">
        <v>540000</v>
      </c>
      <c r="L11" s="36">
        <v>0</v>
      </c>
      <c r="M11" s="36">
        <v>450000</v>
      </c>
      <c r="N11" s="37">
        <f>SUM(6*4000)</f>
        <v>24000</v>
      </c>
      <c r="O11" s="37">
        <v>66000</v>
      </c>
      <c r="P11" s="37">
        <f t="shared" ref="P11:P16" si="0">H11*O11</f>
        <v>528000</v>
      </c>
      <c r="Q11" s="38">
        <f>I11*J11</f>
        <v>2352000</v>
      </c>
      <c r="R11" s="36">
        <f>SUM(0*4000)</f>
        <v>0</v>
      </c>
      <c r="S11" s="39">
        <v>50000</v>
      </c>
      <c r="T11" s="36">
        <f>K11+L11+M11+N11+P11+Q11+S11</f>
        <v>3944000</v>
      </c>
      <c r="U11" s="36">
        <v>3835500</v>
      </c>
      <c r="V11" s="34">
        <v>100</v>
      </c>
    </row>
    <row r="12" spans="2:22" ht="69" x14ac:dyDescent="0.25">
      <c r="B12" s="31">
        <v>2</v>
      </c>
      <c r="C12" s="32" t="s">
        <v>33</v>
      </c>
      <c r="D12" s="40" t="s">
        <v>34</v>
      </c>
      <c r="E12" s="41">
        <v>1993</v>
      </c>
      <c r="F12" s="34">
        <v>2021</v>
      </c>
      <c r="G12" s="34">
        <v>29</v>
      </c>
      <c r="H12" s="42">
        <v>10</v>
      </c>
      <c r="I12" s="35">
        <v>38</v>
      </c>
      <c r="J12" s="36">
        <v>56000</v>
      </c>
      <c r="K12" s="43">
        <v>487500</v>
      </c>
      <c r="L12" s="43">
        <v>0</v>
      </c>
      <c r="M12" s="43">
        <v>325000</v>
      </c>
      <c r="N12" s="37">
        <f>SUM(12*6000)</f>
        <v>72000</v>
      </c>
      <c r="O12" s="37">
        <v>56000</v>
      </c>
      <c r="P12" s="37">
        <f t="shared" si="0"/>
        <v>560000</v>
      </c>
      <c r="Q12" s="38">
        <f t="shared" ref="Q12:Q16" si="1">I12*J12</f>
        <v>2128000</v>
      </c>
      <c r="R12" s="43">
        <f>SUM(0*4000)</f>
        <v>0</v>
      </c>
      <c r="S12" s="44">
        <v>50000</v>
      </c>
      <c r="T12" s="36">
        <f t="shared" ref="T12:T15" si="2">K12+L12+M12+N12+P12+Q12+S12</f>
        <v>3622500</v>
      </c>
      <c r="U12" s="36">
        <v>3558000</v>
      </c>
      <c r="V12" s="34">
        <v>100</v>
      </c>
    </row>
    <row r="13" spans="2:22" ht="17.25" x14ac:dyDescent="0.25">
      <c r="B13" s="31">
        <v>3</v>
      </c>
      <c r="C13" s="32" t="s">
        <v>35</v>
      </c>
      <c r="D13" s="45" t="s">
        <v>36</v>
      </c>
      <c r="E13" s="42">
        <v>2008</v>
      </c>
      <c r="F13" s="34">
        <v>2021</v>
      </c>
      <c r="G13" s="34">
        <v>14</v>
      </c>
      <c r="H13" s="42">
        <v>10</v>
      </c>
      <c r="I13" s="46">
        <v>38</v>
      </c>
      <c r="J13" s="36">
        <v>56000</v>
      </c>
      <c r="K13" s="43">
        <v>487500</v>
      </c>
      <c r="L13" s="43">
        <v>0</v>
      </c>
      <c r="M13" s="43">
        <v>200000</v>
      </c>
      <c r="N13" s="37">
        <f>SUM(12*3500)</f>
        <v>42000</v>
      </c>
      <c r="O13" s="37">
        <v>46000</v>
      </c>
      <c r="P13" s="37">
        <f t="shared" si="0"/>
        <v>460000</v>
      </c>
      <c r="Q13" s="38">
        <f t="shared" si="1"/>
        <v>2128000</v>
      </c>
      <c r="R13" s="36">
        <f t="shared" ref="R13:R18" si="3">SUM(0*4000)</f>
        <v>0</v>
      </c>
      <c r="S13" s="44">
        <v>50000</v>
      </c>
      <c r="T13" s="36">
        <f t="shared" si="2"/>
        <v>3367500</v>
      </c>
      <c r="U13" s="36">
        <v>3229500</v>
      </c>
      <c r="V13" s="34">
        <v>88</v>
      </c>
    </row>
    <row r="14" spans="2:22" ht="17.25" x14ac:dyDescent="0.25">
      <c r="B14" s="31">
        <v>4</v>
      </c>
      <c r="C14" s="32" t="s">
        <v>37</v>
      </c>
      <c r="D14" s="47" t="s">
        <v>38</v>
      </c>
      <c r="E14" s="48">
        <v>1998</v>
      </c>
      <c r="F14" s="34">
        <v>2021</v>
      </c>
      <c r="G14" s="34">
        <v>24</v>
      </c>
      <c r="H14" s="42">
        <v>6</v>
      </c>
      <c r="I14" s="35">
        <v>38</v>
      </c>
      <c r="J14" s="36">
        <v>66000</v>
      </c>
      <c r="K14" s="43">
        <v>487500</v>
      </c>
      <c r="L14" s="43">
        <v>0</v>
      </c>
      <c r="M14" s="43">
        <v>200000</v>
      </c>
      <c r="N14" s="37">
        <f>SUM(12*5500)</f>
        <v>66000</v>
      </c>
      <c r="O14" s="37">
        <v>46000</v>
      </c>
      <c r="P14" s="37">
        <f t="shared" si="0"/>
        <v>276000</v>
      </c>
      <c r="Q14" s="38">
        <f t="shared" si="1"/>
        <v>2508000</v>
      </c>
      <c r="R14" s="36">
        <f t="shared" si="3"/>
        <v>0</v>
      </c>
      <c r="S14" s="44">
        <v>50000</v>
      </c>
      <c r="T14" s="36">
        <f t="shared" si="2"/>
        <v>3587500</v>
      </c>
      <c r="U14" s="36">
        <v>3246500</v>
      </c>
      <c r="V14" s="34">
        <v>100</v>
      </c>
    </row>
    <row r="15" spans="2:22" ht="17.25" x14ac:dyDescent="0.25">
      <c r="B15" s="31">
        <v>5</v>
      </c>
      <c r="C15" s="32" t="s">
        <v>39</v>
      </c>
      <c r="D15" s="47" t="s">
        <v>40</v>
      </c>
      <c r="E15" s="48">
        <v>1998</v>
      </c>
      <c r="F15" s="34">
        <v>2021</v>
      </c>
      <c r="G15" s="34">
        <v>24</v>
      </c>
      <c r="H15" s="42">
        <v>8</v>
      </c>
      <c r="I15" s="35">
        <v>38</v>
      </c>
      <c r="J15" s="36">
        <v>56000</v>
      </c>
      <c r="K15" s="43">
        <v>487500</v>
      </c>
      <c r="L15" s="43">
        <v>0</v>
      </c>
      <c r="M15" s="43">
        <v>200000</v>
      </c>
      <c r="N15" s="37">
        <f>SUM(12*5000)</f>
        <v>60000</v>
      </c>
      <c r="O15" s="37">
        <v>46000</v>
      </c>
      <c r="P15" s="37">
        <f t="shared" si="0"/>
        <v>368000</v>
      </c>
      <c r="Q15" s="38">
        <f t="shared" si="1"/>
        <v>2128000</v>
      </c>
      <c r="R15" s="36">
        <f t="shared" si="3"/>
        <v>0</v>
      </c>
      <c r="S15" s="44">
        <v>50000</v>
      </c>
      <c r="T15" s="36">
        <f t="shared" si="2"/>
        <v>3293500</v>
      </c>
      <c r="U15" s="36">
        <v>3183500</v>
      </c>
      <c r="V15" s="34">
        <v>100</v>
      </c>
    </row>
    <row r="16" spans="2:22" ht="17.25" x14ac:dyDescent="0.25">
      <c r="B16" s="31">
        <v>6</v>
      </c>
      <c r="C16" s="32" t="s">
        <v>41</v>
      </c>
      <c r="D16" s="47" t="s">
        <v>42</v>
      </c>
      <c r="E16" s="48"/>
      <c r="F16" s="34"/>
      <c r="G16" s="34">
        <v>9</v>
      </c>
      <c r="H16" s="42">
        <v>15</v>
      </c>
      <c r="I16" s="35">
        <v>32</v>
      </c>
      <c r="J16" s="36">
        <v>66000</v>
      </c>
      <c r="K16" s="43">
        <v>330000</v>
      </c>
      <c r="L16" s="43">
        <v>0</v>
      </c>
      <c r="M16" s="43">
        <v>200000</v>
      </c>
      <c r="N16" s="37">
        <f>SUM(12*2500)</f>
        <v>30000</v>
      </c>
      <c r="O16" s="37">
        <v>46000</v>
      </c>
      <c r="P16" s="37">
        <f t="shared" si="0"/>
        <v>690000</v>
      </c>
      <c r="Q16" s="38">
        <f t="shared" si="1"/>
        <v>2112000</v>
      </c>
      <c r="R16" s="36">
        <v>0</v>
      </c>
      <c r="S16" s="44">
        <v>50000</v>
      </c>
      <c r="T16" s="36">
        <f>K16+L16+M16+N16+P16+Q16+R16+S16</f>
        <v>3412000</v>
      </c>
      <c r="U16" s="36">
        <v>3480500</v>
      </c>
      <c r="V16" s="34">
        <v>100</v>
      </c>
    </row>
    <row r="17" spans="2:22" ht="17.25" x14ac:dyDescent="0.25">
      <c r="B17" s="31">
        <v>7</v>
      </c>
      <c r="C17" s="49" t="s">
        <v>43</v>
      </c>
      <c r="D17" s="50" t="s">
        <v>44</v>
      </c>
      <c r="E17" s="51">
        <v>2006</v>
      </c>
      <c r="F17" s="52">
        <v>2021</v>
      </c>
      <c r="G17" s="52">
        <v>1</v>
      </c>
      <c r="H17" s="53">
        <v>0</v>
      </c>
      <c r="I17" s="54">
        <v>26</v>
      </c>
      <c r="J17" s="39">
        <v>65500</v>
      </c>
      <c r="K17" s="44">
        <v>267500</v>
      </c>
      <c r="L17" s="44">
        <v>0</v>
      </c>
      <c r="M17" s="44">
        <v>150000</v>
      </c>
      <c r="N17" s="44">
        <v>0</v>
      </c>
      <c r="O17" s="37">
        <v>0</v>
      </c>
      <c r="P17" s="44">
        <v>0</v>
      </c>
      <c r="Q17" s="38">
        <f>I17*J17</f>
        <v>1703000</v>
      </c>
      <c r="R17" s="36">
        <v>0</v>
      </c>
      <c r="S17" s="44">
        <v>120000</v>
      </c>
      <c r="T17" s="36">
        <f>K17+L17+M17+Q17+R17+S17</f>
        <v>2240500</v>
      </c>
      <c r="U17" s="36">
        <v>2240500</v>
      </c>
      <c r="V17" s="34">
        <v>100</v>
      </c>
    </row>
    <row r="18" spans="2:22" ht="17.25" x14ac:dyDescent="0.25">
      <c r="B18" s="31">
        <v>8</v>
      </c>
      <c r="C18" s="49" t="s">
        <v>45</v>
      </c>
      <c r="D18" s="50" t="s">
        <v>46</v>
      </c>
      <c r="E18" s="51"/>
      <c r="F18" s="52"/>
      <c r="G18" s="52">
        <v>25</v>
      </c>
      <c r="H18" s="53">
        <v>6</v>
      </c>
      <c r="I18" s="54">
        <v>26</v>
      </c>
      <c r="J18" s="39">
        <v>56000</v>
      </c>
      <c r="K18" s="44">
        <v>217500</v>
      </c>
      <c r="L18" s="44">
        <v>0</v>
      </c>
      <c r="M18" s="44">
        <v>150000</v>
      </c>
      <c r="N18" s="44">
        <v>30000</v>
      </c>
      <c r="O18" s="44">
        <v>61000</v>
      </c>
      <c r="P18" s="44">
        <v>330000</v>
      </c>
      <c r="Q18" s="38">
        <f>I18*O18</f>
        <v>1586000</v>
      </c>
      <c r="R18" s="36">
        <f t="shared" si="3"/>
        <v>0</v>
      </c>
      <c r="S18" s="44">
        <v>120000</v>
      </c>
      <c r="T18" s="36">
        <f>K18+L18+M18+N18+P18+Q18+S18</f>
        <v>2433500</v>
      </c>
      <c r="U18" s="36">
        <v>2433500</v>
      </c>
      <c r="V18" s="34">
        <v>100</v>
      </c>
    </row>
    <row r="19" spans="2:22" ht="17.25" x14ac:dyDescent="0.25">
      <c r="B19" s="31">
        <v>9</v>
      </c>
      <c r="C19" s="32" t="s">
        <v>47</v>
      </c>
      <c r="D19" s="45" t="s">
        <v>48</v>
      </c>
      <c r="E19" s="42">
        <v>1999</v>
      </c>
      <c r="F19" s="34">
        <v>2021</v>
      </c>
      <c r="G19" s="34">
        <v>23</v>
      </c>
      <c r="H19" s="42">
        <v>4</v>
      </c>
      <c r="I19" s="55">
        <v>29</v>
      </c>
      <c r="J19" s="36">
        <v>56000</v>
      </c>
      <c r="K19" s="43">
        <v>0</v>
      </c>
      <c r="L19" s="43">
        <v>0</v>
      </c>
      <c r="M19" s="43">
        <v>0</v>
      </c>
      <c r="N19" s="43">
        <f>30*5000</f>
        <v>150000</v>
      </c>
      <c r="O19" s="43">
        <v>56000</v>
      </c>
      <c r="P19" s="43">
        <f>H19*O19</f>
        <v>224000</v>
      </c>
      <c r="Q19" s="38">
        <f t="shared" ref="Q19:Q22" si="4">I19*J19</f>
        <v>1624000</v>
      </c>
      <c r="R19" s="36">
        <v>28000</v>
      </c>
      <c r="S19" s="43" t="s">
        <v>49</v>
      </c>
      <c r="T19" s="36">
        <f>K19+L19+M19+N19+P19+Q19+R19</f>
        <v>2026000</v>
      </c>
      <c r="U19" s="36"/>
      <c r="V19" s="34">
        <v>96</v>
      </c>
    </row>
    <row r="20" spans="2:22" ht="17.25" x14ac:dyDescent="0.25">
      <c r="B20" s="31">
        <v>10</v>
      </c>
      <c r="C20" s="32" t="s">
        <v>50</v>
      </c>
      <c r="D20" s="45" t="s">
        <v>48</v>
      </c>
      <c r="E20" s="42">
        <v>2008</v>
      </c>
      <c r="F20" s="34">
        <v>2021</v>
      </c>
      <c r="G20" s="34">
        <v>14</v>
      </c>
      <c r="H20" s="42">
        <v>0</v>
      </c>
      <c r="I20" s="55">
        <v>29</v>
      </c>
      <c r="J20" s="36">
        <v>66000</v>
      </c>
      <c r="K20" s="43">
        <v>0</v>
      </c>
      <c r="L20" s="43">
        <v>0</v>
      </c>
      <c r="M20" s="43">
        <v>0</v>
      </c>
      <c r="N20" s="43">
        <f>30*3500</f>
        <v>105000</v>
      </c>
      <c r="O20" s="43">
        <v>0</v>
      </c>
      <c r="P20" s="43">
        <v>0</v>
      </c>
      <c r="Q20" s="38">
        <f t="shared" si="4"/>
        <v>1914000</v>
      </c>
      <c r="R20" s="36">
        <v>126000</v>
      </c>
      <c r="S20" s="43" t="s">
        <v>49</v>
      </c>
      <c r="T20" s="36">
        <f t="shared" ref="T20:T22" si="5">K20+L20+M20+N20+P20+Q20+R20</f>
        <v>2145000</v>
      </c>
      <c r="U20" s="36"/>
      <c r="V20" s="34">
        <v>100</v>
      </c>
    </row>
    <row r="21" spans="2:22" ht="17.25" x14ac:dyDescent="0.25">
      <c r="B21" s="31">
        <v>11</v>
      </c>
      <c r="C21" s="32" t="s">
        <v>51</v>
      </c>
      <c r="D21" s="45" t="s">
        <v>48</v>
      </c>
      <c r="E21" s="42">
        <v>2010</v>
      </c>
      <c r="F21" s="34">
        <v>2021</v>
      </c>
      <c r="G21" s="34">
        <v>12</v>
      </c>
      <c r="H21" s="42">
        <v>4</v>
      </c>
      <c r="I21" s="55">
        <v>29</v>
      </c>
      <c r="J21" s="36">
        <v>66000</v>
      </c>
      <c r="K21" s="43">
        <v>0</v>
      </c>
      <c r="L21" s="43">
        <v>0</v>
      </c>
      <c r="M21" s="43">
        <v>0</v>
      </c>
      <c r="N21" s="43">
        <f>30*3000</f>
        <v>90000</v>
      </c>
      <c r="O21" s="43">
        <v>66000</v>
      </c>
      <c r="P21" s="43">
        <f>H21*O21</f>
        <v>264000</v>
      </c>
      <c r="Q21" s="38">
        <f t="shared" si="4"/>
        <v>1914000</v>
      </c>
      <c r="R21" s="36">
        <v>119000</v>
      </c>
      <c r="S21" s="43" t="s">
        <v>49</v>
      </c>
      <c r="T21" s="36">
        <f t="shared" si="5"/>
        <v>2387000</v>
      </c>
      <c r="U21" s="36"/>
      <c r="V21" s="34">
        <v>100</v>
      </c>
    </row>
    <row r="22" spans="2:22" ht="18" thickBot="1" x14ac:dyDescent="0.3">
      <c r="B22" s="31">
        <v>12</v>
      </c>
      <c r="C22" s="56" t="s">
        <v>52</v>
      </c>
      <c r="D22" s="45" t="s">
        <v>48</v>
      </c>
      <c r="E22" s="57"/>
      <c r="F22" s="57"/>
      <c r="G22" s="57">
        <v>0</v>
      </c>
      <c r="H22" s="57">
        <v>0</v>
      </c>
      <c r="I22" s="58">
        <v>28.5</v>
      </c>
      <c r="J22" s="59">
        <v>66000</v>
      </c>
      <c r="K22" s="59">
        <v>0</v>
      </c>
      <c r="L22" s="59">
        <v>0</v>
      </c>
      <c r="M22" s="59">
        <v>0</v>
      </c>
      <c r="N22" s="43">
        <f>17*2000</f>
        <v>34000</v>
      </c>
      <c r="O22" s="59">
        <v>0</v>
      </c>
      <c r="P22" s="59">
        <v>0</v>
      </c>
      <c r="Q22" s="60">
        <f t="shared" si="4"/>
        <v>1881000</v>
      </c>
      <c r="R22" s="36">
        <v>112000</v>
      </c>
      <c r="S22" s="43" t="s">
        <v>49</v>
      </c>
      <c r="T22" s="36">
        <f t="shared" si="5"/>
        <v>2027000</v>
      </c>
      <c r="U22" s="59"/>
      <c r="V22" s="57">
        <v>96</v>
      </c>
    </row>
    <row r="23" spans="2:22" ht="18.75" thickTop="1" thickBot="1" x14ac:dyDescent="0.3">
      <c r="B23" s="61" t="s">
        <v>53</v>
      </c>
      <c r="C23" s="62"/>
      <c r="D23" s="63"/>
      <c r="E23" s="63"/>
      <c r="F23" s="63"/>
      <c r="G23" s="63"/>
      <c r="H23" s="63">
        <f ca="1">SUM(H11:H23)</f>
        <v>109</v>
      </c>
      <c r="I23" s="63" t="s">
        <v>4</v>
      </c>
      <c r="J23" s="63"/>
      <c r="K23" s="64">
        <f>SUM(K11:K22)</f>
        <v>3305000</v>
      </c>
      <c r="L23" s="64">
        <f t="shared" ref="L23:N23" si="6">SUM(L11:L22)</f>
        <v>0</v>
      </c>
      <c r="M23" s="64">
        <f t="shared" si="6"/>
        <v>1875000</v>
      </c>
      <c r="N23" s="64">
        <f t="shared" si="6"/>
        <v>703000</v>
      </c>
      <c r="O23" s="64"/>
      <c r="P23" s="64">
        <f>SUM(P11:P22)</f>
        <v>3700000</v>
      </c>
      <c r="Q23" s="64">
        <f t="shared" ref="Q23:S23" si="7">SUM(Q11:Q22)</f>
        <v>23978000</v>
      </c>
      <c r="R23" s="64">
        <f t="shared" si="7"/>
        <v>385000</v>
      </c>
      <c r="S23" s="64">
        <f t="shared" si="7"/>
        <v>540000</v>
      </c>
      <c r="T23" s="64">
        <f>SUM(T11:T22)</f>
        <v>34486000</v>
      </c>
      <c r="U23" s="64"/>
      <c r="V23" s="63"/>
    </row>
  </sheetData>
  <mergeCells count="17">
    <mergeCell ref="B23:C23"/>
    <mergeCell ref="L9:L10"/>
    <mergeCell ref="M9:M10"/>
    <mergeCell ref="N9:P9"/>
    <mergeCell ref="Q9:R9"/>
    <mergeCell ref="S9:S10"/>
    <mergeCell ref="V9:V10"/>
    <mergeCell ref="B4:V4"/>
    <mergeCell ref="B5:V5"/>
    <mergeCell ref="B6:V6"/>
    <mergeCell ref="B9:B10"/>
    <mergeCell ref="C9:C10"/>
    <mergeCell ref="D9:D10"/>
    <mergeCell ref="G9:G10"/>
    <mergeCell ref="I9:I10"/>
    <mergeCell ref="J9:J10"/>
    <mergeCell ref="K9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582-F63D-4EDF-8ED3-14FBEF91EA36}">
  <dimension ref="B3:R25"/>
  <sheetViews>
    <sheetView workbookViewId="0">
      <selection activeCell="H31" sqref="H31"/>
    </sheetView>
  </sheetViews>
  <sheetFormatPr defaultRowHeight="15" x14ac:dyDescent="0.25"/>
  <cols>
    <col min="9" max="9" width="15.7109375" customWidth="1"/>
    <col min="11" max="11" width="15.42578125" customWidth="1"/>
    <col min="13" max="13" width="13" customWidth="1"/>
    <col min="14" max="14" width="13.28515625" customWidth="1"/>
    <col min="16" max="16" width="14.28515625" customWidth="1"/>
    <col min="17" max="17" width="13.140625" customWidth="1"/>
  </cols>
  <sheetData>
    <row r="3" spans="2:18" ht="16.5" x14ac:dyDescent="0.3">
      <c r="B3" s="65" t="s">
        <v>54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2:18" ht="15.75" x14ac:dyDescent="0.25">
      <c r="B4" s="66" t="s">
        <v>55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2:18" ht="16.5" x14ac:dyDescent="0.3">
      <c r="B5" s="67" t="s">
        <v>56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2:18" ht="16.5" x14ac:dyDescent="0.3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2:18" ht="17.25" thickBot="1" x14ac:dyDescent="0.35">
      <c r="B7" s="69" t="s">
        <v>57</v>
      </c>
      <c r="C7" s="70"/>
      <c r="D7" s="71"/>
      <c r="E7" s="71"/>
      <c r="F7" s="70"/>
      <c r="G7" s="70"/>
      <c r="H7" s="70"/>
      <c r="I7" s="70"/>
      <c r="J7" s="72"/>
      <c r="K7" s="70"/>
      <c r="L7" s="72"/>
      <c r="M7" s="70"/>
      <c r="N7" s="73"/>
      <c r="O7" s="73"/>
      <c r="P7" s="70"/>
      <c r="Q7" s="70"/>
      <c r="R7" s="70"/>
    </row>
    <row r="8" spans="2:18" ht="16.5" x14ac:dyDescent="0.25">
      <c r="B8" s="74" t="s">
        <v>5</v>
      </c>
      <c r="C8" s="75" t="s">
        <v>6</v>
      </c>
      <c r="D8" s="13" t="s">
        <v>8</v>
      </c>
      <c r="E8" s="13" t="s">
        <v>9</v>
      </c>
      <c r="F8" s="75" t="s">
        <v>58</v>
      </c>
      <c r="G8" s="75" t="s">
        <v>11</v>
      </c>
      <c r="H8" s="75" t="s">
        <v>59</v>
      </c>
      <c r="I8" s="76" t="s">
        <v>26</v>
      </c>
      <c r="J8" s="77" t="s">
        <v>60</v>
      </c>
      <c r="K8" s="78" t="s">
        <v>61</v>
      </c>
      <c r="L8" s="79" t="s">
        <v>26</v>
      </c>
      <c r="M8" s="80" t="s">
        <v>62</v>
      </c>
      <c r="N8" s="80"/>
      <c r="O8" s="80"/>
      <c r="P8" s="80"/>
      <c r="Q8" s="81" t="s">
        <v>63</v>
      </c>
      <c r="R8" s="82" t="s">
        <v>21</v>
      </c>
    </row>
    <row r="9" spans="2:18" ht="17.25" thickBot="1" x14ac:dyDescent="0.3">
      <c r="B9" s="83"/>
      <c r="C9" s="84"/>
      <c r="D9" s="25" t="s">
        <v>22</v>
      </c>
      <c r="E9" s="25" t="s">
        <v>64</v>
      </c>
      <c r="F9" s="84"/>
      <c r="G9" s="84"/>
      <c r="H9" s="84"/>
      <c r="I9" s="85"/>
      <c r="J9" s="25" t="s">
        <v>65</v>
      </c>
      <c r="K9" s="86" t="s">
        <v>66</v>
      </c>
      <c r="L9" s="87" t="s">
        <v>25</v>
      </c>
      <c r="M9" s="88" t="s">
        <v>25</v>
      </c>
      <c r="N9" s="89" t="s">
        <v>18</v>
      </c>
      <c r="O9" s="89" t="s">
        <v>67</v>
      </c>
      <c r="P9" s="90" t="s">
        <v>28</v>
      </c>
      <c r="Q9" s="91"/>
      <c r="R9" s="92"/>
    </row>
    <row r="10" spans="2:18" ht="17.25" thickTop="1" x14ac:dyDescent="0.25">
      <c r="B10" s="93">
        <v>1</v>
      </c>
      <c r="C10" s="94" t="s">
        <v>68</v>
      </c>
      <c r="D10" s="95">
        <v>1986</v>
      </c>
      <c r="E10" s="95">
        <v>2021</v>
      </c>
      <c r="F10" s="95">
        <f>E10-D10</f>
        <v>35</v>
      </c>
      <c r="G10" s="95">
        <v>23</v>
      </c>
      <c r="H10" s="96">
        <v>23</v>
      </c>
      <c r="I10" s="97">
        <v>56000</v>
      </c>
      <c r="J10" s="95" t="s">
        <v>4</v>
      </c>
      <c r="K10" s="98"/>
      <c r="L10" s="98">
        <v>7500</v>
      </c>
      <c r="M10" s="98">
        <f>SUM(23*7500)</f>
        <v>172500</v>
      </c>
      <c r="N10" s="98">
        <f>SUM(22.5*56000)</f>
        <v>1260000</v>
      </c>
      <c r="O10" s="99">
        <v>0</v>
      </c>
      <c r="P10" s="98">
        <v>119000</v>
      </c>
      <c r="Q10" s="98">
        <f t="shared" ref="Q10:Q24" si="0">K10+M10+N10+P10</f>
        <v>1551500</v>
      </c>
      <c r="R10" s="100">
        <v>0.97</v>
      </c>
    </row>
    <row r="11" spans="2:18" ht="16.5" x14ac:dyDescent="0.25">
      <c r="B11" s="93">
        <v>2</v>
      </c>
      <c r="C11" s="101" t="s">
        <v>69</v>
      </c>
      <c r="D11" s="95">
        <v>1993</v>
      </c>
      <c r="E11" s="95">
        <v>2021</v>
      </c>
      <c r="F11" s="95">
        <f t="shared" ref="F11:F24" si="1">E11-D11</f>
        <v>28</v>
      </c>
      <c r="G11" s="95">
        <v>25</v>
      </c>
      <c r="H11" s="95">
        <v>25</v>
      </c>
      <c r="I11" s="97">
        <v>56000</v>
      </c>
      <c r="J11" s="102">
        <v>1</v>
      </c>
      <c r="K11" s="97">
        <v>100000</v>
      </c>
      <c r="L11" s="98">
        <v>6000</v>
      </c>
      <c r="M11" s="98">
        <f>SUM(24*6000)+(1*6000)</f>
        <v>150000</v>
      </c>
      <c r="N11" s="97">
        <f>SUM(22.5*56000)+(1*66000)</f>
        <v>1326000</v>
      </c>
      <c r="O11" s="103">
        <v>0</v>
      </c>
      <c r="P11" s="97">
        <v>140000</v>
      </c>
      <c r="Q11" s="98">
        <f t="shared" si="0"/>
        <v>1716000</v>
      </c>
      <c r="R11" s="104">
        <v>0.94</v>
      </c>
    </row>
    <row r="12" spans="2:18" ht="16.5" x14ac:dyDescent="0.25">
      <c r="B12" s="105">
        <v>3</v>
      </c>
      <c r="C12" s="101" t="s">
        <v>70</v>
      </c>
      <c r="D12" s="102">
        <v>1994</v>
      </c>
      <c r="E12" s="95">
        <v>2021</v>
      </c>
      <c r="F12" s="95">
        <f t="shared" si="1"/>
        <v>27</v>
      </c>
      <c r="G12" s="102">
        <v>25</v>
      </c>
      <c r="H12" s="95">
        <v>25</v>
      </c>
      <c r="I12" s="97">
        <v>56000</v>
      </c>
      <c r="J12" s="102">
        <v>1</v>
      </c>
      <c r="K12" s="97">
        <v>100000</v>
      </c>
      <c r="L12" s="98">
        <v>6000</v>
      </c>
      <c r="M12" s="98">
        <f>SUM(24*6000)+(1*6000)</f>
        <v>150000</v>
      </c>
      <c r="N12" s="97">
        <f>SUM(23.6*56000)+(1*66000)</f>
        <v>1387600</v>
      </c>
      <c r="O12" s="103">
        <v>0</v>
      </c>
      <c r="P12" s="97">
        <v>189000</v>
      </c>
      <c r="Q12" s="98">
        <f t="shared" si="0"/>
        <v>1826600</v>
      </c>
      <c r="R12" s="104">
        <v>1</v>
      </c>
    </row>
    <row r="13" spans="2:18" ht="16.5" x14ac:dyDescent="0.25">
      <c r="B13" s="105">
        <v>4</v>
      </c>
      <c r="C13" s="101" t="s">
        <v>71</v>
      </c>
      <c r="D13" s="102">
        <v>1995</v>
      </c>
      <c r="E13" s="95">
        <v>2021</v>
      </c>
      <c r="F13" s="95">
        <f t="shared" si="1"/>
        <v>26</v>
      </c>
      <c r="G13" s="95">
        <v>32</v>
      </c>
      <c r="H13" s="95">
        <v>32</v>
      </c>
      <c r="I13" s="97">
        <v>56000</v>
      </c>
      <c r="J13" s="102">
        <v>8</v>
      </c>
      <c r="K13" s="97">
        <v>100000</v>
      </c>
      <c r="L13" s="98">
        <v>6000</v>
      </c>
      <c r="M13" s="98">
        <f>SUM(24*6000)+(6*6000)</f>
        <v>180000</v>
      </c>
      <c r="N13" s="97">
        <f>SUM(23*56000)+(6*66000)+(2*66000)</f>
        <v>1816000</v>
      </c>
      <c r="O13" s="103">
        <v>0</v>
      </c>
      <c r="P13" s="97">
        <v>63000</v>
      </c>
      <c r="Q13" s="98">
        <f t="shared" si="0"/>
        <v>2159000</v>
      </c>
      <c r="R13" s="104">
        <v>0.96</v>
      </c>
    </row>
    <row r="14" spans="2:18" ht="16.5" x14ac:dyDescent="0.25">
      <c r="B14" s="105">
        <v>5</v>
      </c>
      <c r="C14" s="101" t="s">
        <v>72</v>
      </c>
      <c r="D14" s="102">
        <v>1996</v>
      </c>
      <c r="E14" s="95">
        <v>2021</v>
      </c>
      <c r="F14" s="95">
        <f t="shared" si="1"/>
        <v>25</v>
      </c>
      <c r="G14" s="102">
        <v>32</v>
      </c>
      <c r="H14" s="95">
        <v>32</v>
      </c>
      <c r="I14" s="97">
        <v>56000</v>
      </c>
      <c r="J14" s="102">
        <v>12</v>
      </c>
      <c r="K14" s="97">
        <v>100000</v>
      </c>
      <c r="L14" s="98">
        <v>5500</v>
      </c>
      <c r="M14" s="98">
        <f>SUM(24*5500)+(6*5500)</f>
        <v>165000</v>
      </c>
      <c r="N14" s="97">
        <f>SUM(24*56000)+(6*66000)+(2*66000)</f>
        <v>1872000</v>
      </c>
      <c r="O14" s="103">
        <v>0</v>
      </c>
      <c r="P14" s="97">
        <v>175000</v>
      </c>
      <c r="Q14" s="98">
        <f t="shared" si="0"/>
        <v>2312000</v>
      </c>
      <c r="R14" s="104">
        <v>1</v>
      </c>
    </row>
    <row r="15" spans="2:18" ht="16.5" x14ac:dyDescent="0.25">
      <c r="B15" s="105">
        <v>6</v>
      </c>
      <c r="C15" s="101" t="s">
        <v>73</v>
      </c>
      <c r="D15" s="102">
        <v>1998</v>
      </c>
      <c r="E15" s="95">
        <v>2021</v>
      </c>
      <c r="F15" s="95">
        <f t="shared" si="1"/>
        <v>23</v>
      </c>
      <c r="G15" s="102">
        <v>33</v>
      </c>
      <c r="H15" s="95">
        <v>33</v>
      </c>
      <c r="I15" s="97">
        <v>56000</v>
      </c>
      <c r="J15" s="102">
        <v>9</v>
      </c>
      <c r="K15" s="97">
        <v>100000</v>
      </c>
      <c r="L15" s="97">
        <v>5500</v>
      </c>
      <c r="M15" s="97">
        <f>SUM(24*5500)+(4*5500)</f>
        <v>154000</v>
      </c>
      <c r="N15" s="97">
        <f>SUM(19.5*56000)+(6*66000)+(3*66000)</f>
        <v>1686000</v>
      </c>
      <c r="O15" s="103">
        <v>0</v>
      </c>
      <c r="P15" s="97">
        <v>133000</v>
      </c>
      <c r="Q15" s="98">
        <f t="shared" si="0"/>
        <v>2073000</v>
      </c>
      <c r="R15" s="104">
        <v>0.83</v>
      </c>
    </row>
    <row r="16" spans="2:18" ht="16.5" x14ac:dyDescent="0.25">
      <c r="B16" s="105">
        <v>7</v>
      </c>
      <c r="C16" s="101" t="s">
        <v>74</v>
      </c>
      <c r="D16" s="102">
        <v>1999</v>
      </c>
      <c r="E16" s="95">
        <v>2021</v>
      </c>
      <c r="F16" s="95">
        <f t="shared" si="1"/>
        <v>22</v>
      </c>
      <c r="G16" s="102">
        <v>30</v>
      </c>
      <c r="H16" s="106">
        <v>30</v>
      </c>
      <c r="I16" s="97">
        <v>56000</v>
      </c>
      <c r="J16" s="102">
        <v>6</v>
      </c>
      <c r="K16" s="97"/>
      <c r="L16" s="97">
        <v>5000</v>
      </c>
      <c r="M16" s="97">
        <f>SUM(24*5000)+(3*5000)</f>
        <v>135000</v>
      </c>
      <c r="N16" s="97">
        <f>SUM(20.5*56000)+(6*66000)</f>
        <v>1544000</v>
      </c>
      <c r="O16" s="103">
        <v>0</v>
      </c>
      <c r="P16" s="97">
        <v>0</v>
      </c>
      <c r="Q16" s="98">
        <f t="shared" si="0"/>
        <v>1679000</v>
      </c>
      <c r="R16" s="104">
        <v>0.84</v>
      </c>
    </row>
    <row r="17" spans="2:18" ht="16.5" x14ac:dyDescent="0.25">
      <c r="B17" s="105">
        <v>8</v>
      </c>
      <c r="C17" s="101" t="s">
        <v>75</v>
      </c>
      <c r="D17" s="102">
        <v>1999</v>
      </c>
      <c r="E17" s="95">
        <v>2021</v>
      </c>
      <c r="F17" s="95">
        <f t="shared" si="1"/>
        <v>22</v>
      </c>
      <c r="G17" s="102">
        <v>35</v>
      </c>
      <c r="H17" s="95">
        <v>35</v>
      </c>
      <c r="I17" s="97">
        <v>56000</v>
      </c>
      <c r="J17" s="102">
        <v>6</v>
      </c>
      <c r="K17" s="97">
        <v>100000</v>
      </c>
      <c r="L17" s="97">
        <v>5000</v>
      </c>
      <c r="M17" s="97">
        <f>SUM(24*5000)+(6*5000)</f>
        <v>150000</v>
      </c>
      <c r="N17" s="97">
        <f>SUM(23.5*56000)+(6*66000)+(5*66000)</f>
        <v>2042000</v>
      </c>
      <c r="O17" s="103">
        <v>0</v>
      </c>
      <c r="P17" s="97">
        <v>154000</v>
      </c>
      <c r="Q17" s="98">
        <f t="shared" si="0"/>
        <v>2446000</v>
      </c>
      <c r="R17" s="104">
        <v>0.98</v>
      </c>
    </row>
    <row r="18" spans="2:18" ht="16.5" x14ac:dyDescent="0.25">
      <c r="B18" s="105">
        <v>9</v>
      </c>
      <c r="C18" s="101" t="s">
        <v>76</v>
      </c>
      <c r="D18" s="102">
        <v>1999</v>
      </c>
      <c r="E18" s="95">
        <v>2021</v>
      </c>
      <c r="F18" s="95">
        <f t="shared" si="1"/>
        <v>22</v>
      </c>
      <c r="G18" s="102">
        <v>32</v>
      </c>
      <c r="H18" s="95">
        <v>32</v>
      </c>
      <c r="I18" s="97">
        <v>56000</v>
      </c>
      <c r="J18" s="102">
        <v>8</v>
      </c>
      <c r="K18" s="97">
        <v>100000</v>
      </c>
      <c r="L18" s="97">
        <v>5000</v>
      </c>
      <c r="M18" s="97">
        <f>SUM(24*5000)+(4*5000)</f>
        <v>140000</v>
      </c>
      <c r="N18" s="97">
        <f>SUM(22.6*56000)+(6*66000)+(2*66000)</f>
        <v>1793600</v>
      </c>
      <c r="O18" s="103">
        <v>0</v>
      </c>
      <c r="P18" s="97">
        <v>56000</v>
      </c>
      <c r="Q18" s="98">
        <f t="shared" si="0"/>
        <v>2089600</v>
      </c>
      <c r="R18" s="104">
        <v>0.94</v>
      </c>
    </row>
    <row r="19" spans="2:18" ht="16.5" x14ac:dyDescent="0.25">
      <c r="B19" s="105">
        <v>10</v>
      </c>
      <c r="C19" s="101" t="s">
        <v>77</v>
      </c>
      <c r="D19" s="102">
        <v>1999</v>
      </c>
      <c r="E19" s="95">
        <v>2021</v>
      </c>
      <c r="F19" s="95">
        <f t="shared" si="1"/>
        <v>22</v>
      </c>
      <c r="G19" s="102">
        <v>28</v>
      </c>
      <c r="H19" s="106">
        <v>28</v>
      </c>
      <c r="I19" s="97">
        <v>56000</v>
      </c>
      <c r="J19" s="102">
        <v>4</v>
      </c>
      <c r="K19" s="97">
        <v>100000</v>
      </c>
      <c r="L19" s="97">
        <v>5000</v>
      </c>
      <c r="M19" s="97">
        <f>SUM(24*5000)+(4*5000)</f>
        <v>140000</v>
      </c>
      <c r="N19" s="97">
        <f>SUM(22.2*56000)+(4*66000)</f>
        <v>1507200</v>
      </c>
      <c r="O19" s="103">
        <v>0</v>
      </c>
      <c r="P19" s="97">
        <v>91000</v>
      </c>
      <c r="Q19" s="98">
        <f t="shared" si="0"/>
        <v>1838200</v>
      </c>
      <c r="R19" s="104">
        <v>0.94</v>
      </c>
    </row>
    <row r="20" spans="2:18" ht="16.5" x14ac:dyDescent="0.25">
      <c r="B20" s="105">
        <v>11</v>
      </c>
      <c r="C20" s="94" t="s">
        <v>78</v>
      </c>
      <c r="D20" s="95">
        <v>2001</v>
      </c>
      <c r="E20" s="95">
        <v>2021</v>
      </c>
      <c r="F20" s="95">
        <f t="shared" si="1"/>
        <v>20</v>
      </c>
      <c r="G20" s="95">
        <v>30</v>
      </c>
      <c r="H20" s="95">
        <v>30</v>
      </c>
      <c r="I20" s="97">
        <v>56000</v>
      </c>
      <c r="J20" s="102">
        <v>6</v>
      </c>
      <c r="K20" s="97">
        <v>175000</v>
      </c>
      <c r="L20" s="98">
        <v>5000</v>
      </c>
      <c r="M20" s="98">
        <f>SUM(24*5000)+(6*5000)</f>
        <v>150000</v>
      </c>
      <c r="N20" s="97">
        <f>SUM(24*56000)+(6*66000)</f>
        <v>1740000</v>
      </c>
      <c r="O20" s="103">
        <v>0</v>
      </c>
      <c r="P20" s="97">
        <v>119000</v>
      </c>
      <c r="Q20" s="98">
        <f t="shared" si="0"/>
        <v>2184000</v>
      </c>
      <c r="R20" s="104">
        <v>1</v>
      </c>
    </row>
    <row r="21" spans="2:18" ht="16.5" x14ac:dyDescent="0.25">
      <c r="B21" s="105">
        <v>12</v>
      </c>
      <c r="C21" s="101" t="s">
        <v>79</v>
      </c>
      <c r="D21" s="102">
        <v>2004</v>
      </c>
      <c r="E21" s="95">
        <v>2021</v>
      </c>
      <c r="F21" s="95">
        <f t="shared" si="1"/>
        <v>17</v>
      </c>
      <c r="G21" s="102">
        <v>30</v>
      </c>
      <c r="H21" s="95">
        <v>30</v>
      </c>
      <c r="I21" s="97">
        <v>56000</v>
      </c>
      <c r="J21" s="102">
        <v>6</v>
      </c>
      <c r="K21" s="97">
        <v>100000</v>
      </c>
      <c r="L21" s="97">
        <v>4500</v>
      </c>
      <c r="M21" s="97">
        <f>SUM(24*4500)+(6*4500)</f>
        <v>135000</v>
      </c>
      <c r="N21" s="97">
        <f>SUM(21.5*56000)+(6*66000)</f>
        <v>1600000</v>
      </c>
      <c r="O21" s="103">
        <v>0</v>
      </c>
      <c r="P21" s="97">
        <v>84000</v>
      </c>
      <c r="Q21" s="98">
        <f t="shared" si="0"/>
        <v>1919000</v>
      </c>
      <c r="R21" s="104">
        <v>0.87</v>
      </c>
    </row>
    <row r="22" spans="2:18" ht="16.5" x14ac:dyDescent="0.25">
      <c r="B22" s="105">
        <v>13</v>
      </c>
      <c r="C22" s="101" t="s">
        <v>80</v>
      </c>
      <c r="D22" s="102">
        <v>2006</v>
      </c>
      <c r="E22" s="95">
        <v>2021</v>
      </c>
      <c r="F22" s="95">
        <f t="shared" si="1"/>
        <v>15</v>
      </c>
      <c r="G22" s="102">
        <v>35</v>
      </c>
      <c r="H22" s="95">
        <v>35</v>
      </c>
      <c r="I22" s="97">
        <v>56000</v>
      </c>
      <c r="J22" s="102">
        <v>11</v>
      </c>
      <c r="K22" s="97">
        <v>100000</v>
      </c>
      <c r="L22" s="97">
        <v>4000</v>
      </c>
      <c r="M22" s="97">
        <f>SUM(24*4000)+(1*4000)</f>
        <v>100000</v>
      </c>
      <c r="N22" s="97">
        <f>SUM(18.7*56000)+(11*66000)</f>
        <v>1773200</v>
      </c>
      <c r="O22" s="103">
        <v>0</v>
      </c>
      <c r="P22" s="97">
        <v>49000</v>
      </c>
      <c r="Q22" s="98">
        <f t="shared" si="0"/>
        <v>2022200</v>
      </c>
      <c r="R22" s="104">
        <v>0.79</v>
      </c>
    </row>
    <row r="23" spans="2:18" ht="16.5" x14ac:dyDescent="0.25">
      <c r="B23" s="105">
        <v>14</v>
      </c>
      <c r="C23" s="101" t="s">
        <v>81</v>
      </c>
      <c r="D23" s="102">
        <v>2007</v>
      </c>
      <c r="E23" s="95">
        <v>2021</v>
      </c>
      <c r="F23" s="95">
        <f t="shared" si="1"/>
        <v>14</v>
      </c>
      <c r="G23" s="102">
        <v>35</v>
      </c>
      <c r="H23" s="95">
        <v>35</v>
      </c>
      <c r="I23" s="97">
        <v>56000</v>
      </c>
      <c r="J23" s="102">
        <v>11</v>
      </c>
      <c r="K23" s="97">
        <v>100000</v>
      </c>
      <c r="L23" s="97">
        <v>4000</v>
      </c>
      <c r="M23" s="97">
        <f>SUM(24*4000)+(6*4000)</f>
        <v>120000</v>
      </c>
      <c r="N23" s="97">
        <f>SUM(23.5*56000)+(11*66000)</f>
        <v>2042000</v>
      </c>
      <c r="O23" s="103">
        <v>0</v>
      </c>
      <c r="P23" s="97">
        <v>147000</v>
      </c>
      <c r="Q23" s="98">
        <f t="shared" si="0"/>
        <v>2409000</v>
      </c>
      <c r="R23" s="104">
        <v>0.98</v>
      </c>
    </row>
    <row r="24" spans="2:18" ht="17.25" thickBot="1" x14ac:dyDescent="0.3">
      <c r="B24" s="107">
        <v>15</v>
      </c>
      <c r="C24" s="108" t="s">
        <v>82</v>
      </c>
      <c r="D24" s="109">
        <v>2007</v>
      </c>
      <c r="E24" s="109">
        <v>2021</v>
      </c>
      <c r="F24" s="109">
        <f t="shared" si="1"/>
        <v>14</v>
      </c>
      <c r="G24" s="109">
        <v>28</v>
      </c>
      <c r="H24" s="109">
        <v>28</v>
      </c>
      <c r="I24" s="110">
        <v>56000</v>
      </c>
      <c r="J24" s="109">
        <v>4</v>
      </c>
      <c r="K24" s="110">
        <v>100000</v>
      </c>
      <c r="L24" s="110">
        <v>4000</v>
      </c>
      <c r="M24" s="110">
        <f>SUM(24*4000)+(6*4000)</f>
        <v>120000</v>
      </c>
      <c r="N24" s="110">
        <f>SUM(22*56000)+(4*66000)</f>
        <v>1496000</v>
      </c>
      <c r="O24" s="111">
        <v>0</v>
      </c>
      <c r="P24" s="110">
        <v>77000</v>
      </c>
      <c r="Q24" s="110">
        <f t="shared" si="0"/>
        <v>1793000</v>
      </c>
      <c r="R24" s="112">
        <v>0.93</v>
      </c>
    </row>
    <row r="25" spans="2:18" ht="17.25" thickBot="1" x14ac:dyDescent="0.3">
      <c r="B25" s="113"/>
      <c r="C25" s="114" t="s">
        <v>83</v>
      </c>
      <c r="D25" s="115"/>
      <c r="E25" s="115"/>
      <c r="F25" s="115"/>
      <c r="G25" s="115">
        <f>SUM(G10:G24)</f>
        <v>453</v>
      </c>
      <c r="H25" s="115"/>
      <c r="I25" s="115"/>
      <c r="J25" s="115"/>
      <c r="K25" s="116">
        <f>SUM(K10:K24)</f>
        <v>1375000</v>
      </c>
      <c r="L25" s="116"/>
      <c r="M25" s="116">
        <f>SUM(M10:M24)</f>
        <v>2161500</v>
      </c>
      <c r="N25" s="116">
        <f>SUM(N10:N24)</f>
        <v>24885600</v>
      </c>
      <c r="O25" s="117">
        <v>0</v>
      </c>
      <c r="P25" s="118">
        <f>SUM(P10:P24)</f>
        <v>1596000</v>
      </c>
      <c r="Q25" s="116">
        <f>SUM(Q10:Q24)</f>
        <v>30018100</v>
      </c>
      <c r="R25" s="119"/>
    </row>
  </sheetData>
  <mergeCells count="12">
    <mergeCell ref="Q8:Q9"/>
    <mergeCell ref="R8:R9"/>
    <mergeCell ref="B3:R3"/>
    <mergeCell ref="B4:R4"/>
    <mergeCell ref="B5:R5"/>
    <mergeCell ref="B8:B9"/>
    <mergeCell ref="C8:C9"/>
    <mergeCell ref="F8:F9"/>
    <mergeCell ref="G8:G9"/>
    <mergeCell ref="H8:H9"/>
    <mergeCell ref="I8:I9"/>
    <mergeCell ref="M8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80ED-F96B-42C8-B0D7-B9D7D7381E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pimpinan</vt:lpstr>
      <vt:lpstr>guru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KLINIK</dc:creator>
  <cp:lastModifiedBy>KLINIK</cp:lastModifiedBy>
  <dcterms:created xsi:type="dcterms:W3CDTF">2022-10-11T03:39:44Z</dcterms:created>
  <dcterms:modified xsi:type="dcterms:W3CDTF">2022-10-11T03:42:01Z</dcterms:modified>
</cp:coreProperties>
</file>