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5ceea7991146d1/Desktop/"/>
    </mc:Choice>
  </mc:AlternateContent>
  <xr:revisionPtr revIDLastSave="0" documentId="8_{DFC39F50-E303-4761-82DE-2148C3EFCBF5}" xr6:coauthVersionLast="47" xr6:coauthVersionMax="47" xr10:uidLastSave="{00000000-0000-0000-0000-000000000000}"/>
  <bookViews>
    <workbookView xWindow="-9622" yWindow="2438" windowWidth="18225" windowHeight="11422" firstSheet="3" activeTab="3" xr2:uid="{971AF709-05DA-4E21-9188-979A6104D6A2}"/>
  </bookViews>
  <sheets>
    <sheet name="Sheet4" sheetId="4" r:id="rId1"/>
    <sheet name="2020-2021 Team Stats" sheetId="2" state="hidden" r:id="rId2"/>
    <sheet name="Score Calculations" sheetId="5" state="hidden" r:id="rId3"/>
    <sheet name="2021-2022 March Madness " sheetId="7" r:id="rId4"/>
  </sheets>
  <calcPr calcId="191029"/>
  <pivotCaches>
    <pivotCache cacheId="9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B15" i="7" l="1" a="1"/>
  <c r="DB15" i="7" s="1"/>
  <c r="DA15" i="7" a="1"/>
  <c r="DA15" i="7" s="1"/>
  <c r="CZ15" i="7" a="1"/>
  <c r="CZ15" i="7" s="1"/>
  <c r="BN65" i="7" s="1"/>
  <c r="CY15" i="7" a="1"/>
  <c r="CY15" i="7" s="1"/>
  <c r="CX15" i="7" a="1"/>
  <c r="CX15" i="7" s="1"/>
  <c r="BL44" i="7" s="1"/>
  <c r="CW15" i="7" a="1"/>
  <c r="CW15" i="7" s="1"/>
  <c r="BK52" i="7" s="1"/>
  <c r="CV15" i="7" a="1"/>
  <c r="CV15" i="7" s="1"/>
  <c r="BJ69" i="7" s="1"/>
  <c r="CU15" i="7" a="1"/>
  <c r="CU15" i="7" s="1"/>
  <c r="CT15" i="7" a="1"/>
  <c r="CT15" i="7" s="1"/>
  <c r="BH17" i="7" s="1"/>
  <c r="CS15" i="7" a="1"/>
  <c r="CS15" i="7" s="1"/>
  <c r="BG27" i="7" s="1"/>
  <c r="CR15" i="7" a="1"/>
  <c r="CR15" i="7" s="1"/>
  <c r="BF38" i="7" s="1"/>
  <c r="CP15" i="7" a="1"/>
  <c r="CP15" i="7" s="1"/>
  <c r="BD13" i="7" s="1"/>
  <c r="CO15" i="7" a="1"/>
  <c r="CO15" i="7" s="1"/>
  <c r="BC64" i="7" s="1"/>
  <c r="CN15" i="7" a="1"/>
  <c r="CN15" i="7" s="1"/>
  <c r="BB5" i="7" s="1"/>
  <c r="CM15" i="7" a="1"/>
  <c r="CM15" i="7" s="1"/>
  <c r="CL15" i="7" a="1"/>
  <c r="CL15" i="7" s="1"/>
  <c r="AZ40" i="7" s="1"/>
  <c r="CK15" i="7" a="1"/>
  <c r="CK15" i="7" s="1"/>
  <c r="CJ15" i="7" a="1"/>
  <c r="CJ15" i="7" s="1"/>
  <c r="AX23" i="7" s="1"/>
  <c r="CI15" i="7" a="1"/>
  <c r="CI15" i="7" s="1"/>
  <c r="CH15" i="7" a="1"/>
  <c r="CH15" i="7" s="1"/>
  <c r="AV42" i="7" s="1"/>
  <c r="CG15" i="7" a="1"/>
  <c r="CG15" i="7" s="1"/>
  <c r="AU41" i="7" s="1"/>
  <c r="CF15" i="7" a="1"/>
  <c r="CF15" i="7" s="1"/>
  <c r="AT3" i="7" s="1"/>
  <c r="CE15" i="7" a="1"/>
  <c r="CE15" i="7" s="1"/>
  <c r="CD15" i="7" a="1"/>
  <c r="CD15" i="7" s="1"/>
  <c r="AR32" i="7" s="1"/>
  <c r="CC15" i="7" a="1"/>
  <c r="CC15" i="7" s="1"/>
  <c r="AQ65" i="7" s="1"/>
  <c r="CB15" i="7" a="1"/>
  <c r="CB15" i="7" s="1"/>
  <c r="AP59" i="7" s="1"/>
  <c r="CA15" i="7" a="1"/>
  <c r="CA15" i="7" s="1"/>
  <c r="BZ15" i="7" a="1"/>
  <c r="BZ15" i="7" s="1"/>
  <c r="AN3" i="7" s="1"/>
  <c r="BY15" i="7" a="1"/>
  <c r="BY15" i="7" s="1"/>
  <c r="AM6" i="7" s="1"/>
  <c r="CQ11" i="7" a="1"/>
  <c r="CQ11" i="7" s="1"/>
  <c r="CQ15" i="7" s="1" a="1"/>
  <c r="CQ15" i="7" s="1"/>
  <c r="BE12" i="7" s="1"/>
  <c r="CP14" i="2" a="1"/>
  <c r="CP14" i="2" s="1"/>
  <c r="CP18" i="2" s="1" a="1"/>
  <c r="CP18" i="2" s="1"/>
  <c r="CQ18" i="2" a="1"/>
  <c r="CQ18" i="2" s="1"/>
  <c r="BP68" i="2"/>
  <c r="BP64" i="2"/>
  <c r="BP65" i="2"/>
  <c r="BP58" i="2"/>
  <c r="BP62" i="2"/>
  <c r="BP61" i="2"/>
  <c r="BP51" i="2"/>
  <c r="BP54" i="2"/>
  <c r="BP57" i="2"/>
  <c r="BP45" i="2"/>
  <c r="BP48" i="2"/>
  <c r="BP39" i="2"/>
  <c r="BP42" i="2"/>
  <c r="BP36" i="2"/>
  <c r="BP34" i="2"/>
  <c r="BP41" i="2"/>
  <c r="BP29" i="2"/>
  <c r="BP37" i="2"/>
  <c r="BP28" i="2"/>
  <c r="BP26" i="2"/>
  <c r="BP23" i="2"/>
  <c r="BP25" i="2"/>
  <c r="BP22" i="2"/>
  <c r="BP15" i="2"/>
  <c r="BP17" i="2"/>
  <c r="BP16" i="2"/>
  <c r="BP13" i="2"/>
  <c r="BP10" i="2"/>
  <c r="BP9" i="2"/>
  <c r="BP5" i="2"/>
  <c r="BO70" i="2"/>
  <c r="BO69" i="2"/>
  <c r="BO67" i="2"/>
  <c r="BO58" i="2"/>
  <c r="BO62" i="2"/>
  <c r="BO59" i="2"/>
  <c r="BO51" i="2"/>
  <c r="BO54" i="2"/>
  <c r="BO52" i="2"/>
  <c r="BO49" i="2"/>
  <c r="BO39" i="2"/>
  <c r="BO46" i="2"/>
  <c r="BO34" i="2"/>
  <c r="BO41" i="2"/>
  <c r="BO32" i="2"/>
  <c r="BO35" i="2"/>
  <c r="BO28" i="2"/>
  <c r="BO27" i="2"/>
  <c r="BO22" i="2"/>
  <c r="BO18" i="2"/>
  <c r="BO20" i="2"/>
  <c r="BO16" i="2"/>
  <c r="BO13" i="2"/>
  <c r="BO12" i="2"/>
  <c r="BO5" i="2"/>
  <c r="BO6" i="2"/>
  <c r="BO71" i="2"/>
  <c r="BM69" i="2"/>
  <c r="BM67" i="2"/>
  <c r="BM66" i="2"/>
  <c r="BM68" i="2"/>
  <c r="BM64" i="2"/>
  <c r="BM65" i="2"/>
  <c r="BM63" i="2"/>
  <c r="BM58" i="2"/>
  <c r="BM62" i="2"/>
  <c r="BM59" i="2"/>
  <c r="BM60" i="2"/>
  <c r="BM53" i="2"/>
  <c r="BM61" i="2"/>
  <c r="BM55" i="2"/>
  <c r="BM56" i="2"/>
  <c r="BM51" i="2"/>
  <c r="BM54" i="2"/>
  <c r="BM52" i="2"/>
  <c r="BM47" i="2"/>
  <c r="BM57" i="2"/>
  <c r="BM45" i="2"/>
  <c r="BM48" i="2"/>
  <c r="BM50" i="2"/>
  <c r="BM49" i="2"/>
  <c r="BM39" i="2"/>
  <c r="BM46" i="2"/>
  <c r="BM43" i="2"/>
  <c r="BM44" i="2"/>
  <c r="BM42" i="2"/>
  <c r="BM36" i="2"/>
  <c r="BM40" i="2"/>
  <c r="BM34" i="2"/>
  <c r="BM41" i="2"/>
  <c r="BM32" i="2"/>
  <c r="BM30" i="2"/>
  <c r="BM29" i="2"/>
  <c r="BM33" i="2"/>
  <c r="BM37" i="2"/>
  <c r="BM38" i="2"/>
  <c r="BM35" i="2"/>
  <c r="BM28" i="2"/>
  <c r="BM27" i="2"/>
  <c r="BM31" i="2"/>
  <c r="BM26" i="2"/>
  <c r="BM23" i="2"/>
  <c r="BM25" i="2"/>
  <c r="BM24" i="2"/>
  <c r="BM22" i="2"/>
  <c r="BM18" i="2"/>
  <c r="BM20" i="2"/>
  <c r="BM21" i="2"/>
  <c r="BM15" i="2"/>
  <c r="BM19" i="2"/>
  <c r="BM17" i="2"/>
  <c r="BM14" i="2"/>
  <c r="BM16" i="2"/>
  <c r="BM13" i="2"/>
  <c r="BM12" i="2"/>
  <c r="BM11" i="2"/>
  <c r="BM10" i="2"/>
  <c r="BM9" i="2"/>
  <c r="BM8" i="2"/>
  <c r="BM7" i="2"/>
  <c r="BM5" i="2"/>
  <c r="BM6" i="2"/>
  <c r="BD70" i="2"/>
  <c r="BD69" i="2"/>
  <c r="BD66" i="2"/>
  <c r="BD65" i="2"/>
  <c r="BD58" i="2"/>
  <c r="BD62" i="2"/>
  <c r="BD59" i="2"/>
  <c r="BD60" i="2"/>
  <c r="BD55" i="2"/>
  <c r="BD54" i="2"/>
  <c r="BD52" i="2"/>
  <c r="BD47" i="2"/>
  <c r="BD57" i="2"/>
  <c r="BD48" i="2"/>
  <c r="BD39" i="2"/>
  <c r="BD43" i="2"/>
  <c r="BD44" i="2"/>
  <c r="BD36" i="2"/>
  <c r="BD34" i="2"/>
  <c r="BD41" i="2"/>
  <c r="BD30" i="2"/>
  <c r="BD37" i="2"/>
  <c r="BD35" i="2"/>
  <c r="BD28" i="2"/>
  <c r="BD27" i="2"/>
  <c r="BD31" i="2"/>
  <c r="BD25" i="2"/>
  <c r="BD18" i="2"/>
  <c r="BD20" i="2"/>
  <c r="BD21" i="2"/>
  <c r="BD15" i="2"/>
  <c r="BD17" i="2"/>
  <c r="BD13" i="2"/>
  <c r="BD11" i="2"/>
  <c r="BD10" i="2"/>
  <c r="BD8" i="2"/>
  <c r="BD5" i="2"/>
  <c r="BD6" i="2"/>
  <c r="BC70" i="2"/>
  <c r="BC69" i="2"/>
  <c r="BC66" i="2"/>
  <c r="BC64" i="2"/>
  <c r="BC65" i="2"/>
  <c r="BC63" i="2"/>
  <c r="BC58" i="2"/>
  <c r="BC62" i="2"/>
  <c r="BC60" i="2"/>
  <c r="BC61" i="2"/>
  <c r="BC55" i="2"/>
  <c r="BC56" i="2"/>
  <c r="BC51" i="2"/>
  <c r="BC54" i="2"/>
  <c r="BC47" i="2"/>
  <c r="BC45" i="2"/>
  <c r="BC48" i="2"/>
  <c r="BC50" i="2"/>
  <c r="BC49" i="2"/>
  <c r="BC39" i="2"/>
  <c r="BC43" i="2"/>
  <c r="BC42" i="2"/>
  <c r="BC36" i="2"/>
  <c r="BC40" i="2"/>
  <c r="BC34" i="2"/>
  <c r="BC41" i="2"/>
  <c r="BC30" i="2"/>
  <c r="BC33" i="2"/>
  <c r="BC37" i="2"/>
  <c r="BC38" i="2"/>
  <c r="BC35" i="2"/>
  <c r="BC28" i="2"/>
  <c r="BC31" i="2"/>
  <c r="BC23" i="2"/>
  <c r="BC25" i="2"/>
  <c r="BC24" i="2"/>
  <c r="BC22" i="2"/>
  <c r="BC18" i="2"/>
  <c r="BC21" i="2"/>
  <c r="BC19" i="2"/>
  <c r="BC17" i="2"/>
  <c r="BC14" i="2"/>
  <c r="BC16" i="2"/>
  <c r="BC13" i="2"/>
  <c r="BC11" i="2"/>
  <c r="BC9" i="2"/>
  <c r="BC8" i="2"/>
  <c r="BC7" i="2"/>
  <c r="BC5" i="2"/>
  <c r="BC6" i="2"/>
  <c r="BA70" i="2"/>
  <c r="BA69" i="2"/>
  <c r="BA67" i="2"/>
  <c r="BA66" i="2"/>
  <c r="BA58" i="2"/>
  <c r="BA62" i="2"/>
  <c r="BA59" i="2"/>
  <c r="BA60" i="2"/>
  <c r="BA51" i="2"/>
  <c r="BA54" i="2"/>
  <c r="BA52" i="2"/>
  <c r="BA47" i="2"/>
  <c r="BA49" i="2"/>
  <c r="BA39" i="2"/>
  <c r="BA46" i="2"/>
  <c r="BA43" i="2"/>
  <c r="BA34" i="2"/>
  <c r="BA41" i="2"/>
  <c r="BA32" i="2"/>
  <c r="BA30" i="2"/>
  <c r="BA35" i="2"/>
  <c r="BA28" i="2"/>
  <c r="BA27" i="2"/>
  <c r="BA31" i="2"/>
  <c r="BA22" i="2"/>
  <c r="BA18" i="2"/>
  <c r="BA20" i="2"/>
  <c r="BA21" i="2"/>
  <c r="BA16" i="2"/>
  <c r="BA13" i="2"/>
  <c r="BA12" i="2"/>
  <c r="BA11" i="2"/>
  <c r="BA5" i="2"/>
  <c r="BA6" i="2"/>
  <c r="BA71" i="2"/>
  <c r="AZ70" i="2"/>
  <c r="AZ67" i="2"/>
  <c r="AZ68" i="2"/>
  <c r="AZ64" i="2"/>
  <c r="AZ65" i="2"/>
  <c r="AZ63" i="2"/>
  <c r="AZ58" i="2"/>
  <c r="AZ59" i="2"/>
  <c r="AZ53" i="2"/>
  <c r="AZ61" i="2"/>
  <c r="AZ55" i="2"/>
  <c r="AZ56" i="2"/>
  <c r="AZ51" i="2"/>
  <c r="AZ52" i="2"/>
  <c r="AZ57" i="2"/>
  <c r="AZ45" i="2"/>
  <c r="AZ48" i="2"/>
  <c r="AZ50" i="2"/>
  <c r="AZ49" i="2"/>
  <c r="AZ46" i="2"/>
  <c r="AZ44" i="2"/>
  <c r="AZ42" i="2"/>
  <c r="AZ36" i="2"/>
  <c r="AZ40" i="2"/>
  <c r="AZ34" i="2"/>
  <c r="AZ32" i="2"/>
  <c r="AZ29" i="2"/>
  <c r="AZ33" i="2"/>
  <c r="AZ37" i="2"/>
  <c r="AZ38" i="2"/>
  <c r="AZ35" i="2"/>
  <c r="AZ27" i="2"/>
  <c r="AZ26" i="2"/>
  <c r="AZ23" i="2"/>
  <c r="AZ25" i="2"/>
  <c r="AZ24" i="2"/>
  <c r="AZ22" i="2"/>
  <c r="AZ20" i="2"/>
  <c r="AZ15" i="2"/>
  <c r="AZ19" i="2"/>
  <c r="AZ17" i="2"/>
  <c r="AZ14" i="2"/>
  <c r="AZ16" i="2"/>
  <c r="AZ12" i="2"/>
  <c r="AZ10" i="2"/>
  <c r="AZ9" i="2"/>
  <c r="AZ8" i="2"/>
  <c r="AZ7" i="2"/>
  <c r="AZ5" i="2"/>
  <c r="AZ71" i="2"/>
  <c r="AY69" i="2"/>
  <c r="AY67" i="2"/>
  <c r="AY66" i="2"/>
  <c r="AY68" i="2"/>
  <c r="AY64" i="2"/>
  <c r="AY63" i="2"/>
  <c r="AY62" i="2"/>
  <c r="AY59" i="2"/>
  <c r="AY60" i="2"/>
  <c r="AY53" i="2"/>
  <c r="AY61" i="2"/>
  <c r="AY56" i="2"/>
  <c r="AY54" i="2"/>
  <c r="AY52" i="2"/>
  <c r="AY47" i="2"/>
  <c r="AY57" i="2"/>
  <c r="AY45" i="2"/>
  <c r="AY50" i="2"/>
  <c r="AY39" i="2"/>
  <c r="AY46" i="2"/>
  <c r="AY43" i="2"/>
  <c r="AY44" i="2"/>
  <c r="AY42" i="2"/>
  <c r="AY40" i="2"/>
  <c r="AY41" i="2"/>
  <c r="AY32" i="2"/>
  <c r="AY30" i="2"/>
  <c r="AY29" i="2"/>
  <c r="AY33" i="2"/>
  <c r="AY38" i="2"/>
  <c r="AY28" i="2"/>
  <c r="AY27" i="2"/>
  <c r="AY31" i="2"/>
  <c r="AY26" i="2"/>
  <c r="AY23" i="2"/>
  <c r="AY24" i="2"/>
  <c r="AY18" i="2"/>
  <c r="AY20" i="2"/>
  <c r="AY21" i="2"/>
  <c r="AY15" i="2"/>
  <c r="AY19" i="2"/>
  <c r="AY14" i="2"/>
  <c r="AY13" i="2"/>
  <c r="AY12" i="2"/>
  <c r="AY11" i="2"/>
  <c r="AY10" i="2"/>
  <c r="AY9" i="2"/>
  <c r="AY7" i="2"/>
  <c r="AY6" i="2"/>
  <c r="AY71" i="2"/>
  <c r="AW63" i="2"/>
  <c r="AW55" i="2"/>
  <c r="AW56" i="2"/>
  <c r="AW48" i="2"/>
  <c r="AW38" i="2"/>
  <c r="AW25" i="2"/>
  <c r="AW24" i="2"/>
  <c r="AW17" i="2"/>
  <c r="AU70" i="2"/>
  <c r="AU58" i="2"/>
  <c r="AU51" i="2"/>
  <c r="AU49" i="2"/>
  <c r="AU34" i="2"/>
  <c r="AU35" i="2"/>
  <c r="AU22" i="2"/>
  <c r="AU16" i="2"/>
  <c r="AU5" i="2"/>
  <c r="AO69" i="2"/>
  <c r="AO62" i="2"/>
  <c r="AO54" i="2"/>
  <c r="AO48" i="2"/>
  <c r="AO39" i="2"/>
  <c r="AO41" i="2"/>
  <c r="AO37" i="2"/>
  <c r="AO28" i="2"/>
  <c r="AO18" i="2"/>
  <c r="AO13" i="2"/>
  <c r="AO6" i="2"/>
  <c r="AN35" i="2"/>
  <c r="AN22" i="2"/>
  <c r="BZ18" i="2" a="1"/>
  <c r="BZ18" i="2"/>
  <c r="AO66" i="2" s="1"/>
  <c r="CA18" i="2" a="1"/>
  <c r="CA18" i="2" s="1"/>
  <c r="CB18" i="2" a="1"/>
  <c r="CB18" i="2" s="1"/>
  <c r="CC18" i="2" a="1"/>
  <c r="CC18" i="2" s="1"/>
  <c r="AR69" i="2" s="1"/>
  <c r="CD18" i="2" a="1"/>
  <c r="CD18" i="2" s="1"/>
  <c r="CE18" i="2" a="1"/>
  <c r="CE18" i="2" s="1"/>
  <c r="CF18" i="2" a="1"/>
  <c r="CF18" i="2" s="1"/>
  <c r="AU67" i="2" s="1"/>
  <c r="CG18" i="2" a="1"/>
  <c r="CG18" i="2" s="1"/>
  <c r="AV64" i="2" s="1"/>
  <c r="CH18" i="2" a="1"/>
  <c r="CH18" i="2"/>
  <c r="AW70" i="2" s="1"/>
  <c r="CI18" i="2" a="1"/>
  <c r="CI18" i="2" s="1"/>
  <c r="CJ18" i="2" a="1"/>
  <c r="CJ18" i="2" s="1"/>
  <c r="AY65" i="2" s="1"/>
  <c r="CK18" i="2" a="1"/>
  <c r="CK18" i="2" s="1"/>
  <c r="AZ69" i="2" s="1"/>
  <c r="CL18" i="2" a="1"/>
  <c r="CL18" i="2"/>
  <c r="BA68" i="2" s="1"/>
  <c r="CM18" i="2" a="1"/>
  <c r="CM18" i="2" s="1"/>
  <c r="CN18" i="2" a="1"/>
  <c r="CN18" i="2" s="1"/>
  <c r="BC67" i="2" s="1"/>
  <c r="CO18" i="2" a="1"/>
  <c r="CO18" i="2" s="1"/>
  <c r="BD64" i="2" s="1"/>
  <c r="CR18" i="2" a="1"/>
  <c r="CR18" i="2" s="1"/>
  <c r="BG68" i="2" s="1"/>
  <c r="CS18" i="2" a="1"/>
  <c r="CS18" i="2" s="1"/>
  <c r="BH70" i="2" s="1"/>
  <c r="CT18" i="2" a="1"/>
  <c r="CT18" i="2" s="1"/>
  <c r="BI67" i="2" s="1"/>
  <c r="CU18" i="2" a="1"/>
  <c r="CU18" i="2" s="1"/>
  <c r="BJ64" i="2" s="1"/>
  <c r="CV18" i="2" a="1"/>
  <c r="CV18" i="2" s="1"/>
  <c r="BK70" i="2" s="1"/>
  <c r="CW18" i="2" a="1"/>
  <c r="CW18" i="2" s="1"/>
  <c r="BL67" i="2" s="1"/>
  <c r="CX18" i="2" a="1"/>
  <c r="CX18" i="2" s="1"/>
  <c r="BM71" i="2" s="1"/>
  <c r="CY18" i="2" a="1"/>
  <c r="CY18" i="2" s="1"/>
  <c r="CZ18" i="2" a="1"/>
  <c r="CZ18" i="2" s="1"/>
  <c r="BO66" i="2" s="1"/>
  <c r="DA18" i="2" a="1"/>
  <c r="DA18" i="2" s="1"/>
  <c r="BP63" i="2" s="1"/>
  <c r="BY18" i="2" a="1"/>
  <c r="BY18" i="2"/>
  <c r="AN67" i="2" s="1"/>
  <c r="BX18" i="2" a="1"/>
  <c r="BX18" i="2" s="1"/>
  <c r="BQ4" i="2"/>
  <c r="BM70" i="2"/>
  <c r="AQ67" i="2"/>
  <c r="AQ66" i="2"/>
  <c r="AQ47" i="2"/>
  <c r="AQ70" i="2"/>
  <c r="AQ69" i="2"/>
  <c r="AQ68" i="2"/>
  <c r="AQ65" i="2"/>
  <c r="AQ59" i="2"/>
  <c r="AQ60" i="2"/>
  <c r="AQ64" i="2"/>
  <c r="AQ11" i="2"/>
  <c r="AQ28" i="2"/>
  <c r="AQ15" i="2"/>
  <c r="AQ25" i="2"/>
  <c r="AQ48" i="2"/>
  <c r="AQ51" i="2"/>
  <c r="AQ44" i="2"/>
  <c r="AQ18" i="2"/>
  <c r="AQ49" i="2"/>
  <c r="AQ24" i="2"/>
  <c r="AQ22" i="2"/>
  <c r="AQ50" i="2"/>
  <c r="AQ40" i="2"/>
  <c r="AQ8" i="2"/>
  <c r="AQ32" i="2"/>
  <c r="AQ58" i="2"/>
  <c r="AQ34" i="2"/>
  <c r="AQ61" i="2"/>
  <c r="AQ45" i="2"/>
  <c r="AQ46" i="2"/>
  <c r="AQ41" i="2"/>
  <c r="AQ21" i="2"/>
  <c r="AQ54" i="2"/>
  <c r="AQ12" i="2"/>
  <c r="AQ55" i="2"/>
  <c r="AQ26" i="2"/>
  <c r="AQ63" i="2"/>
  <c r="AQ57" i="2"/>
  <c r="AQ14" i="2"/>
  <c r="AQ39" i="2"/>
  <c r="AQ13" i="2"/>
  <c r="AQ30" i="2"/>
  <c r="AQ56" i="2"/>
  <c r="AQ52" i="2"/>
  <c r="AQ62" i="2"/>
  <c r="AQ43" i="2"/>
  <c r="AQ31" i="2"/>
  <c r="AQ29" i="2"/>
  <c r="AQ36" i="2"/>
  <c r="AQ38" i="2"/>
  <c r="AQ53" i="2"/>
  <c r="AQ27" i="2"/>
  <c r="AQ19" i="2"/>
  <c r="AQ20" i="2"/>
  <c r="AQ23" i="2"/>
  <c r="AQ37" i="2"/>
  <c r="AQ6" i="2"/>
  <c r="AQ35" i="2"/>
  <c r="AQ42" i="2"/>
  <c r="AQ17" i="2"/>
  <c r="AQ33" i="2"/>
  <c r="AQ7" i="2"/>
  <c r="AQ9" i="2"/>
  <c r="AQ10" i="2"/>
  <c r="AQ16" i="2"/>
  <c r="AQ5" i="2"/>
  <c r="AQ71" i="2"/>
  <c r="AM14" i="7" l="1"/>
  <c r="AM69" i="7"/>
  <c r="AM43" i="7"/>
  <c r="AM49" i="7"/>
  <c r="AM20" i="7"/>
  <c r="AM66" i="7"/>
  <c r="AM36" i="7"/>
  <c r="AM28" i="7"/>
  <c r="AM40" i="7"/>
  <c r="AM25" i="7"/>
  <c r="AM4" i="7"/>
  <c r="AM61" i="7"/>
  <c r="AM30" i="7"/>
  <c r="AM5" i="7"/>
  <c r="AM62" i="7"/>
  <c r="AM47" i="7"/>
  <c r="AM32" i="7"/>
  <c r="AM11" i="7"/>
  <c r="AM52" i="7"/>
  <c r="AM53" i="7"/>
  <c r="AM56" i="7"/>
  <c r="AM51" i="7"/>
  <c r="AM50" i="7"/>
  <c r="AM48" i="7"/>
  <c r="AM19" i="7"/>
  <c r="AM15" i="7"/>
  <c r="AM7" i="7"/>
  <c r="AM38" i="7"/>
  <c r="AM46" i="7"/>
  <c r="AM41" i="7"/>
  <c r="AM29" i="7"/>
  <c r="AM8" i="7"/>
  <c r="AM65" i="7"/>
  <c r="AM57" i="7"/>
  <c r="AM58" i="7"/>
  <c r="AM24" i="7"/>
  <c r="AM34" i="7"/>
  <c r="AM39" i="7"/>
  <c r="AM23" i="7"/>
  <c r="AM9" i="7"/>
  <c r="AM3" i="7"/>
  <c r="AM68" i="7"/>
  <c r="AM26" i="7"/>
  <c r="AM10" i="7"/>
  <c r="AM55" i="7"/>
  <c r="AM64" i="7"/>
  <c r="AM18" i="7"/>
  <c r="AM54" i="7"/>
  <c r="AM31" i="7"/>
  <c r="AM33" i="7"/>
  <c r="AM13" i="7"/>
  <c r="AM35" i="7"/>
  <c r="AM59" i="7"/>
  <c r="AM27" i="7"/>
  <c r="AM16" i="7"/>
  <c r="AM60" i="7"/>
  <c r="AM44" i="7"/>
  <c r="AM21" i="7"/>
  <c r="AM63" i="7"/>
  <c r="AM67" i="7"/>
  <c r="AM37" i="7"/>
  <c r="AM42" i="7"/>
  <c r="AM22" i="7"/>
  <c r="AM45" i="7"/>
  <c r="AM17" i="7"/>
  <c r="AM12" i="7"/>
  <c r="AN42" i="7"/>
  <c r="AN37" i="7"/>
  <c r="AN44" i="7"/>
  <c r="AT45" i="7"/>
  <c r="AV8" i="7"/>
  <c r="AV27" i="7"/>
  <c r="AV60" i="7"/>
  <c r="BB10" i="7"/>
  <c r="AT46" i="7"/>
  <c r="BC15" i="7"/>
  <c r="AT66" i="7"/>
  <c r="BC51" i="7"/>
  <c r="AT47" i="7"/>
  <c r="BC59" i="7"/>
  <c r="AP51" i="7"/>
  <c r="AP48" i="7"/>
  <c r="AN17" i="7"/>
  <c r="AN22" i="7"/>
  <c r="AP26" i="7"/>
  <c r="AP32" i="7"/>
  <c r="AV34" i="7"/>
  <c r="AN69" i="7"/>
  <c r="AN59" i="7"/>
  <c r="AP20" i="7"/>
  <c r="AP65" i="7"/>
  <c r="AT25" i="7"/>
  <c r="AV67" i="7"/>
  <c r="BD11" i="7"/>
  <c r="AN62" i="7"/>
  <c r="AP11" i="7"/>
  <c r="AP21" i="7"/>
  <c r="AQ24" i="7"/>
  <c r="AU4" i="7"/>
  <c r="AV44" i="7"/>
  <c r="BF60" i="7"/>
  <c r="AP27" i="7"/>
  <c r="AP39" i="7"/>
  <c r="AN18" i="7"/>
  <c r="AP69" i="7"/>
  <c r="AP43" i="7"/>
  <c r="AQ58" i="7"/>
  <c r="AV15" i="7"/>
  <c r="AV57" i="7"/>
  <c r="BJ14" i="7"/>
  <c r="AP50" i="7"/>
  <c r="AP16" i="7"/>
  <c r="AN26" i="7"/>
  <c r="AP10" i="7"/>
  <c r="AP35" i="7"/>
  <c r="AQ67" i="7"/>
  <c r="AV56" i="7"/>
  <c r="AX69" i="7"/>
  <c r="AW32" i="7"/>
  <c r="AW28" i="7"/>
  <c r="AW38" i="7"/>
  <c r="AW25" i="7"/>
  <c r="AW53" i="7"/>
  <c r="AW35" i="7"/>
  <c r="AW17" i="7"/>
  <c r="AW21" i="7"/>
  <c r="AW18" i="7"/>
  <c r="AW39" i="7"/>
  <c r="AW27" i="7"/>
  <c r="AW12" i="7"/>
  <c r="AW62" i="7"/>
  <c r="AR12" i="7"/>
  <c r="AQ15" i="7"/>
  <c r="AQ18" i="7"/>
  <c r="AQ55" i="7"/>
  <c r="AR53" i="7"/>
  <c r="AR42" i="7"/>
  <c r="AU53" i="7"/>
  <c r="AZ64" i="7"/>
  <c r="AN39" i="7"/>
  <c r="AN40" i="7"/>
  <c r="AP62" i="7"/>
  <c r="AP60" i="7"/>
  <c r="AP41" i="7"/>
  <c r="AQ9" i="7"/>
  <c r="AQ26" i="7"/>
  <c r="AQ5" i="7"/>
  <c r="AR14" i="7"/>
  <c r="AR34" i="7"/>
  <c r="AT51" i="7"/>
  <c r="AU9" i="7"/>
  <c r="AV9" i="7"/>
  <c r="AV63" i="7"/>
  <c r="AX17" i="7"/>
  <c r="BB11" i="7"/>
  <c r="BC16" i="7"/>
  <c r="AQ7" i="7"/>
  <c r="AQ33" i="7"/>
  <c r="AQ23" i="7"/>
  <c r="AR61" i="7"/>
  <c r="AR52" i="7"/>
  <c r="AU49" i="7"/>
  <c r="AX19" i="7"/>
  <c r="BB29" i="7"/>
  <c r="AR7" i="7"/>
  <c r="AQ8" i="7"/>
  <c r="AQ34" i="7"/>
  <c r="AQ44" i="7"/>
  <c r="AR24" i="7"/>
  <c r="AR5" i="7"/>
  <c r="AU6" i="7"/>
  <c r="AX26" i="7"/>
  <c r="BB13" i="7"/>
  <c r="BD56" i="7"/>
  <c r="BK9" i="7"/>
  <c r="AN19" i="7"/>
  <c r="AN34" i="7"/>
  <c r="AP15" i="7"/>
  <c r="AP4" i="7"/>
  <c r="AP55" i="7"/>
  <c r="AQ59" i="7"/>
  <c r="AQ38" i="7"/>
  <c r="AQ63" i="7"/>
  <c r="AQ40" i="7"/>
  <c r="AR6" i="7"/>
  <c r="AR23" i="7"/>
  <c r="AT37" i="7"/>
  <c r="AU28" i="7"/>
  <c r="AV58" i="7"/>
  <c r="AX58" i="7"/>
  <c r="BD34" i="7"/>
  <c r="BK38" i="7"/>
  <c r="AQ39" i="7"/>
  <c r="AQ57" i="7"/>
  <c r="AX45" i="7"/>
  <c r="BD59" i="7"/>
  <c r="AQ17" i="7"/>
  <c r="AQ68" i="7"/>
  <c r="AR36" i="7"/>
  <c r="AR3" i="7"/>
  <c r="AU67" i="7"/>
  <c r="BK66" i="7"/>
  <c r="AN29" i="7"/>
  <c r="AN13" i="7"/>
  <c r="AP29" i="7"/>
  <c r="AP45" i="7"/>
  <c r="AP28" i="7"/>
  <c r="AQ11" i="7"/>
  <c r="AQ49" i="7"/>
  <c r="AQ35" i="7"/>
  <c r="AQ22" i="7"/>
  <c r="AR18" i="7"/>
  <c r="AT56" i="7"/>
  <c r="AU40" i="7"/>
  <c r="AX44" i="7"/>
  <c r="BC8" i="7"/>
  <c r="BF45" i="7"/>
  <c r="AO41" i="7"/>
  <c r="AO28" i="7"/>
  <c r="AO52" i="7"/>
  <c r="AO20" i="7"/>
  <c r="AO6" i="7"/>
  <c r="AO62" i="7"/>
  <c r="AO29" i="7"/>
  <c r="AO53" i="7"/>
  <c r="AO59" i="7"/>
  <c r="AO16" i="7"/>
  <c r="AO50" i="7"/>
  <c r="AO54" i="7"/>
  <c r="AO45" i="7"/>
  <c r="AO4" i="7"/>
  <c r="AO30" i="7"/>
  <c r="AO69" i="7"/>
  <c r="AO22" i="7"/>
  <c r="AO40" i="7"/>
  <c r="AO25" i="7"/>
  <c r="AO68" i="7"/>
  <c r="AO47" i="7"/>
  <c r="AO49" i="7"/>
  <c r="AO38" i="7"/>
  <c r="AO46" i="7"/>
  <c r="AO17" i="7"/>
  <c r="AO48" i="7"/>
  <c r="AO55" i="7"/>
  <c r="AO58" i="7"/>
  <c r="AO39" i="7"/>
  <c r="AO9" i="7"/>
  <c r="AO42" i="7"/>
  <c r="AO61" i="7"/>
  <c r="AO65" i="7"/>
  <c r="AO13" i="7"/>
  <c r="AO66" i="7"/>
  <c r="AO32" i="7"/>
  <c r="AO60" i="7"/>
  <c r="AO44" i="7"/>
  <c r="AO35" i="7"/>
  <c r="AO33" i="7"/>
  <c r="AO27" i="7"/>
  <c r="AO15" i="7"/>
  <c r="AO36" i="7"/>
  <c r="AO31" i="7"/>
  <c r="AO10" i="7"/>
  <c r="AO56" i="7"/>
  <c r="AO67" i="7"/>
  <c r="AO43" i="7"/>
  <c r="AO26" i="7"/>
  <c r="AO8" i="7"/>
  <c r="AO11" i="7"/>
  <c r="AO57" i="7"/>
  <c r="AO12" i="7"/>
  <c r="AO23" i="7"/>
  <c r="AO63" i="7"/>
  <c r="AO18" i="7"/>
  <c r="AO24" i="7"/>
  <c r="AO14" i="7"/>
  <c r="AO5" i="7"/>
  <c r="AO34" i="7"/>
  <c r="AO7" i="7"/>
  <c r="AO19" i="7"/>
  <c r="AO3" i="7"/>
  <c r="AO64" i="7"/>
  <c r="AO21" i="7"/>
  <c r="AO37" i="7"/>
  <c r="AO51" i="7"/>
  <c r="AS3" i="7"/>
  <c r="AS67" i="7"/>
  <c r="AS37" i="7"/>
  <c r="AS34" i="7"/>
  <c r="AS33" i="7"/>
  <c r="AS66" i="7"/>
  <c r="AS24" i="7"/>
  <c r="AS9" i="7"/>
  <c r="AS65" i="7"/>
  <c r="AS23" i="7"/>
  <c r="AS55" i="7"/>
  <c r="AS42" i="7"/>
  <c r="AS26" i="7"/>
  <c r="AS51" i="7"/>
  <c r="AS7" i="7"/>
  <c r="AS15" i="7"/>
  <c r="AS32" i="7"/>
  <c r="AS5" i="7"/>
  <c r="AS35" i="7"/>
  <c r="AS21" i="7"/>
  <c r="AS18" i="7"/>
  <c r="AS39" i="7"/>
  <c r="AS61" i="7"/>
  <c r="AS11" i="7"/>
  <c r="AS41" i="7"/>
  <c r="AS13" i="7"/>
  <c r="AS45" i="7"/>
  <c r="AS27" i="7"/>
  <c r="AS46" i="7"/>
  <c r="AS22" i="7"/>
  <c r="AS4" i="7"/>
  <c r="AS60" i="7"/>
  <c r="AS29" i="7"/>
  <c r="AS25" i="7"/>
  <c r="AS64" i="7"/>
  <c r="AS16" i="7"/>
  <c r="AS43" i="7"/>
  <c r="AS47" i="7"/>
  <c r="AS62" i="7"/>
  <c r="AS56" i="7"/>
  <c r="AS12" i="7"/>
  <c r="AS68" i="7"/>
  <c r="AS6" i="7"/>
  <c r="AS19" i="7"/>
  <c r="AS28" i="7"/>
  <c r="AS17" i="7"/>
  <c r="AS57" i="7"/>
  <c r="AS31" i="7"/>
  <c r="AS40" i="7"/>
  <c r="AS52" i="7"/>
  <c r="AS58" i="7"/>
  <c r="AS30" i="7"/>
  <c r="AS14" i="7"/>
  <c r="AS44" i="7"/>
  <c r="AS54" i="7"/>
  <c r="AS36" i="7"/>
  <c r="AS38" i="7"/>
  <c r="AS53" i="7"/>
  <c r="AS59" i="7"/>
  <c r="AS8" i="7"/>
  <c r="AS63" i="7"/>
  <c r="AS10" i="7"/>
  <c r="AS50" i="7"/>
  <c r="AS49" i="7"/>
  <c r="AS48" i="7"/>
  <c r="AS20" i="7"/>
  <c r="AS69" i="7"/>
  <c r="BI59" i="7"/>
  <c r="BI16" i="7"/>
  <c r="BI50" i="7"/>
  <c r="BI54" i="7"/>
  <c r="BI45" i="7"/>
  <c r="BI4" i="7"/>
  <c r="BI30" i="7"/>
  <c r="BI69" i="7"/>
  <c r="BI19" i="7"/>
  <c r="BI57" i="7"/>
  <c r="BI44" i="7"/>
  <c r="BI13" i="7"/>
  <c r="BI63" i="7"/>
  <c r="BI58" i="7"/>
  <c r="BI64" i="7"/>
  <c r="BI8" i="7"/>
  <c r="BI56" i="7"/>
  <c r="BI31" i="7"/>
  <c r="BI48" i="7"/>
  <c r="BI12" i="7"/>
  <c r="BI43" i="7"/>
  <c r="BI60" i="7"/>
  <c r="BI36" i="7"/>
  <c r="BI27" i="7"/>
  <c r="BI10" i="7"/>
  <c r="BI14" i="7"/>
  <c r="BI41" i="7"/>
  <c r="BI28" i="7"/>
  <c r="BI52" i="7"/>
  <c r="BI20" i="7"/>
  <c r="BI6" i="7"/>
  <c r="BI62" i="7"/>
  <c r="BI29" i="7"/>
  <c r="BI53" i="7"/>
  <c r="BI40" i="7"/>
  <c r="BI68" i="7"/>
  <c r="BI49" i="7"/>
  <c r="BI46" i="7"/>
  <c r="BI23" i="7"/>
  <c r="BI42" i="7"/>
  <c r="BI51" i="7"/>
  <c r="BI15" i="7"/>
  <c r="BI3" i="7"/>
  <c r="BI37" i="7"/>
  <c r="BI33" i="7"/>
  <c r="BI24" i="7"/>
  <c r="BI35" i="7"/>
  <c r="BI38" i="7"/>
  <c r="BI32" i="7"/>
  <c r="BI47" i="7"/>
  <c r="BI9" i="7"/>
  <c r="BI67" i="7"/>
  <c r="BI26" i="7"/>
  <c r="BI11" i="7"/>
  <c r="BI22" i="7"/>
  <c r="BI66" i="7"/>
  <c r="BI65" i="7"/>
  <c r="BI39" i="7"/>
  <c r="BI25" i="7"/>
  <c r="BI61" i="7"/>
  <c r="BI55" i="7"/>
  <c r="BI17" i="7"/>
  <c r="BI34" i="7"/>
  <c r="BI7" i="7"/>
  <c r="BI5" i="7"/>
  <c r="BI21" i="7"/>
  <c r="BI18" i="7"/>
  <c r="BA32" i="7"/>
  <c r="BA5" i="7"/>
  <c r="BA35" i="7"/>
  <c r="BA65" i="7"/>
  <c r="BA12" i="7"/>
  <c r="BA52" i="7"/>
  <c r="BA20" i="7"/>
  <c r="BA6" i="7"/>
  <c r="BA62" i="7"/>
  <c r="BA29" i="7"/>
  <c r="BA53" i="7"/>
  <c r="BA16" i="7"/>
  <c r="BA25" i="7"/>
  <c r="BA63" i="7"/>
  <c r="BA58" i="7"/>
  <c r="BA64" i="7"/>
  <c r="BA8" i="7"/>
  <c r="BA56" i="7"/>
  <c r="BA31" i="7"/>
  <c r="BA59" i="7"/>
  <c r="BA40" i="7"/>
  <c r="BA13" i="7"/>
  <c r="BA34" i="7"/>
  <c r="BA33" i="7"/>
  <c r="BA66" i="7"/>
  <c r="BA24" i="7"/>
  <c r="BA9" i="7"/>
  <c r="BA48" i="7"/>
  <c r="BA55" i="7"/>
  <c r="BA47" i="7"/>
  <c r="BA27" i="7"/>
  <c r="BA15" i="7"/>
  <c r="BA41" i="7"/>
  <c r="BA43" i="7"/>
  <c r="BA26" i="7"/>
  <c r="BA30" i="7"/>
  <c r="BA11" i="7"/>
  <c r="BA67" i="7"/>
  <c r="BA68" i="7"/>
  <c r="BA36" i="7"/>
  <c r="BA7" i="7"/>
  <c r="BA19" i="7"/>
  <c r="BA23" i="7"/>
  <c r="BA42" i="7"/>
  <c r="BA4" i="7"/>
  <c r="BA61" i="7"/>
  <c r="BA17" i="7"/>
  <c r="BA22" i="7"/>
  <c r="BA28" i="7"/>
  <c r="BA21" i="7"/>
  <c r="BA49" i="7"/>
  <c r="BA10" i="7"/>
  <c r="BA44" i="7"/>
  <c r="BA39" i="7"/>
  <c r="BA50" i="7"/>
  <c r="BA38" i="7"/>
  <c r="BA37" i="7"/>
  <c r="BA69" i="7"/>
  <c r="BA3" i="7"/>
  <c r="BA46" i="7"/>
  <c r="BA57" i="7"/>
  <c r="BA54" i="7"/>
  <c r="BA18" i="7"/>
  <c r="BA60" i="7"/>
  <c r="BA45" i="7"/>
  <c r="BA51" i="7"/>
  <c r="BA14" i="7"/>
  <c r="AY22" i="7"/>
  <c r="AY40" i="7"/>
  <c r="AY25" i="7"/>
  <c r="AY68" i="7"/>
  <c r="AY47" i="7"/>
  <c r="AY49" i="7"/>
  <c r="AY38" i="7"/>
  <c r="AY46" i="7"/>
  <c r="AY17" i="7"/>
  <c r="AY65" i="7"/>
  <c r="AY23" i="7"/>
  <c r="AY55" i="7"/>
  <c r="AY42" i="7"/>
  <c r="AY26" i="7"/>
  <c r="AY51" i="7"/>
  <c r="AY7" i="7"/>
  <c r="AY15" i="7"/>
  <c r="AY32" i="7"/>
  <c r="AY5" i="7"/>
  <c r="AY57" i="7"/>
  <c r="AY28" i="7"/>
  <c r="AY63" i="7"/>
  <c r="AY18" i="7"/>
  <c r="AY62" i="7"/>
  <c r="AY3" i="7"/>
  <c r="AY50" i="7"/>
  <c r="AY34" i="7"/>
  <c r="AY36" i="7"/>
  <c r="AY30" i="7"/>
  <c r="AY9" i="7"/>
  <c r="AY41" i="7"/>
  <c r="AY37" i="7"/>
  <c r="AY60" i="7"/>
  <c r="AY4" i="7"/>
  <c r="AY24" i="7"/>
  <c r="AY14" i="7"/>
  <c r="AY16" i="7"/>
  <c r="AY35" i="7"/>
  <c r="AY20" i="7"/>
  <c r="AY64" i="7"/>
  <c r="AY61" i="7"/>
  <c r="AY53" i="7"/>
  <c r="AY44" i="7"/>
  <c r="AY43" i="7"/>
  <c r="AY45" i="7"/>
  <c r="AY66" i="7"/>
  <c r="AY10" i="7"/>
  <c r="AY19" i="7"/>
  <c r="AY12" i="7"/>
  <c r="AY39" i="7"/>
  <c r="AY13" i="7"/>
  <c r="AY27" i="7"/>
  <c r="AY52" i="7"/>
  <c r="AY8" i="7"/>
  <c r="AY58" i="7"/>
  <c r="BH32" i="7"/>
  <c r="BH5" i="7"/>
  <c r="BH35" i="7"/>
  <c r="BH21" i="7"/>
  <c r="BH18" i="7"/>
  <c r="BH39" i="7"/>
  <c r="BH61" i="7"/>
  <c r="BH11" i="7"/>
  <c r="BH41" i="7"/>
  <c r="BH28" i="7"/>
  <c r="BH52" i="7"/>
  <c r="BH20" i="7"/>
  <c r="BH6" i="7"/>
  <c r="BH62" i="7"/>
  <c r="BH29" i="7"/>
  <c r="BH53" i="7"/>
  <c r="BH3" i="7"/>
  <c r="BH67" i="7"/>
  <c r="BH37" i="7"/>
  <c r="BH34" i="7"/>
  <c r="BH33" i="7"/>
  <c r="BH66" i="7"/>
  <c r="BH24" i="7"/>
  <c r="BH9" i="7"/>
  <c r="BH65" i="7"/>
  <c r="BH23" i="7"/>
  <c r="BH55" i="7"/>
  <c r="BH42" i="7"/>
  <c r="BH26" i="7"/>
  <c r="BH51" i="7"/>
  <c r="BH7" i="7"/>
  <c r="BH15" i="7"/>
  <c r="BH48" i="7"/>
  <c r="BH43" i="7"/>
  <c r="BH36" i="7"/>
  <c r="BH10" i="7"/>
  <c r="BH40" i="7"/>
  <c r="BH68" i="7"/>
  <c r="BH49" i="7"/>
  <c r="BH46" i="7"/>
  <c r="BH59" i="7"/>
  <c r="BH50" i="7"/>
  <c r="BH45" i="7"/>
  <c r="BH30" i="7"/>
  <c r="BH19" i="7"/>
  <c r="BH16" i="7"/>
  <c r="BH47" i="7"/>
  <c r="BH56" i="7"/>
  <c r="BH25" i="7"/>
  <c r="BH64" i="7"/>
  <c r="BH31" i="7"/>
  <c r="BH13" i="7"/>
  <c r="BH27" i="7"/>
  <c r="BH12" i="7"/>
  <c r="BH69" i="7"/>
  <c r="BH54" i="7"/>
  <c r="BH14" i="7"/>
  <c r="BH60" i="7"/>
  <c r="BH58" i="7"/>
  <c r="BH22" i="7"/>
  <c r="BH4" i="7"/>
  <c r="BH57" i="7"/>
  <c r="BH44" i="7"/>
  <c r="AY31" i="7"/>
  <c r="AZ49" i="7"/>
  <c r="AT59" i="7"/>
  <c r="AT16" i="7"/>
  <c r="AT50" i="7"/>
  <c r="AT22" i="7"/>
  <c r="AT40" i="7"/>
  <c r="AT57" i="7"/>
  <c r="AT44" i="7"/>
  <c r="AT13" i="7"/>
  <c r="AT67" i="7"/>
  <c r="AT35" i="7"/>
  <c r="AT21" i="7"/>
  <c r="AT18" i="7"/>
  <c r="AT39" i="7"/>
  <c r="AT61" i="7"/>
  <c r="AT11" i="7"/>
  <c r="AT23" i="7"/>
  <c r="AT43" i="7"/>
  <c r="AT60" i="7"/>
  <c r="AT36" i="7"/>
  <c r="AT27" i="7"/>
  <c r="AT10" i="7"/>
  <c r="AT14" i="7"/>
  <c r="AT17" i="7"/>
  <c r="AT5" i="7"/>
  <c r="AT52" i="7"/>
  <c r="AT20" i="7"/>
  <c r="AT6" i="7"/>
  <c r="AT62" i="7"/>
  <c r="AT29" i="7"/>
  <c r="AT53" i="7"/>
  <c r="BO57" i="7"/>
  <c r="BO44" i="7"/>
  <c r="BO13" i="7"/>
  <c r="BO63" i="7"/>
  <c r="BO58" i="7"/>
  <c r="BO64" i="7"/>
  <c r="BO8" i="7"/>
  <c r="BO56" i="7"/>
  <c r="BO31" i="7"/>
  <c r="BO65" i="7"/>
  <c r="BO23" i="7"/>
  <c r="BO55" i="7"/>
  <c r="BO42" i="7"/>
  <c r="BO26" i="7"/>
  <c r="BO51" i="7"/>
  <c r="BO7" i="7"/>
  <c r="BO15" i="7"/>
  <c r="BO59" i="7"/>
  <c r="BO16" i="7"/>
  <c r="BO50" i="7"/>
  <c r="BO54" i="7"/>
  <c r="BO45" i="7"/>
  <c r="BO4" i="7"/>
  <c r="BO30" i="7"/>
  <c r="BO69" i="7"/>
  <c r="BO19" i="7"/>
  <c r="BO22" i="7"/>
  <c r="BO40" i="7"/>
  <c r="BO25" i="7"/>
  <c r="BO68" i="7"/>
  <c r="BO47" i="7"/>
  <c r="BO49" i="7"/>
  <c r="BO38" i="7"/>
  <c r="BO46" i="7"/>
  <c r="BO17" i="7"/>
  <c r="BO67" i="7"/>
  <c r="BO34" i="7"/>
  <c r="BO66" i="7"/>
  <c r="BO9" i="7"/>
  <c r="BO5" i="7"/>
  <c r="BO21" i="7"/>
  <c r="BO39" i="7"/>
  <c r="BO11" i="7"/>
  <c r="BO12" i="7"/>
  <c r="BO60" i="7"/>
  <c r="BO27" i="7"/>
  <c r="BO14" i="7"/>
  <c r="BO3" i="7"/>
  <c r="BO37" i="7"/>
  <c r="BO33" i="7"/>
  <c r="BO24" i="7"/>
  <c r="BO32" i="7"/>
  <c r="BO35" i="7"/>
  <c r="BO18" i="7"/>
  <c r="BO61" i="7"/>
  <c r="BO6" i="7"/>
  <c r="BO28" i="7"/>
  <c r="BO29" i="7"/>
  <c r="BO43" i="7"/>
  <c r="BO53" i="7"/>
  <c r="BO41" i="7"/>
  <c r="BO52" i="7"/>
  <c r="BO36" i="7"/>
  <c r="BO62" i="7"/>
  <c r="BO10" i="7"/>
  <c r="AN61" i="7"/>
  <c r="AN33" i="7"/>
  <c r="AN16" i="7"/>
  <c r="AT64" i="7"/>
  <c r="BE34" i="7"/>
  <c r="BH38" i="7"/>
  <c r="BP32" i="7"/>
  <c r="BP5" i="7"/>
  <c r="BP35" i="7"/>
  <c r="BP21" i="7"/>
  <c r="BP18" i="7"/>
  <c r="BP39" i="7"/>
  <c r="BP61" i="7"/>
  <c r="BP11" i="7"/>
  <c r="BP41" i="7"/>
  <c r="BP28" i="7"/>
  <c r="BP52" i="7"/>
  <c r="BP20" i="7"/>
  <c r="BP6" i="7"/>
  <c r="BP62" i="7"/>
  <c r="BP29" i="7"/>
  <c r="BP53" i="7"/>
  <c r="BP3" i="7"/>
  <c r="BP67" i="7"/>
  <c r="BP37" i="7"/>
  <c r="BP34" i="7"/>
  <c r="BP33" i="7"/>
  <c r="BP66" i="7"/>
  <c r="BP24" i="7"/>
  <c r="BP9" i="7"/>
  <c r="BP65" i="7"/>
  <c r="BP23" i="7"/>
  <c r="BP55" i="7"/>
  <c r="BP42" i="7"/>
  <c r="BP26" i="7"/>
  <c r="BP51" i="7"/>
  <c r="BP7" i="7"/>
  <c r="BP15" i="7"/>
  <c r="BP12" i="7"/>
  <c r="BP60" i="7"/>
  <c r="BP27" i="7"/>
  <c r="BP14" i="7"/>
  <c r="BP59" i="7"/>
  <c r="BP50" i="7"/>
  <c r="BP45" i="7"/>
  <c r="BP30" i="7"/>
  <c r="BP19" i="7"/>
  <c r="BP22" i="7"/>
  <c r="BP25" i="7"/>
  <c r="BP47" i="7"/>
  <c r="BP38" i="7"/>
  <c r="BP17" i="7"/>
  <c r="BP48" i="7"/>
  <c r="BP43" i="7"/>
  <c r="BP36" i="7"/>
  <c r="BP10" i="7"/>
  <c r="BP16" i="7"/>
  <c r="BP54" i="7"/>
  <c r="BP4" i="7"/>
  <c r="BP69" i="7"/>
  <c r="BP68" i="7"/>
  <c r="BP31" i="7"/>
  <c r="BP49" i="7"/>
  <c r="BP57" i="7"/>
  <c r="BP64" i="7"/>
  <c r="BP44" i="7"/>
  <c r="BP13" i="7"/>
  <c r="BP58" i="7"/>
  <c r="BP8" i="7"/>
  <c r="BP46" i="7"/>
  <c r="BP40" i="7"/>
  <c r="BP63" i="7"/>
  <c r="AN11" i="7"/>
  <c r="AN7" i="7"/>
  <c r="AN58" i="7"/>
  <c r="AN68" i="7"/>
  <c r="AN41" i="7"/>
  <c r="AR62" i="7"/>
  <c r="AR43" i="7"/>
  <c r="AV32" i="7"/>
  <c r="AV5" i="7"/>
  <c r="AV35" i="7"/>
  <c r="AV21" i="7"/>
  <c r="AV18" i="7"/>
  <c r="AV39" i="7"/>
  <c r="AV61" i="7"/>
  <c r="AV11" i="7"/>
  <c r="AV41" i="7"/>
  <c r="AV28" i="7"/>
  <c r="AV52" i="7"/>
  <c r="AV20" i="7"/>
  <c r="AV6" i="7"/>
  <c r="AV62" i="7"/>
  <c r="AV29" i="7"/>
  <c r="AV53" i="7"/>
  <c r="AV59" i="7"/>
  <c r="AV16" i="7"/>
  <c r="AV50" i="7"/>
  <c r="AV54" i="7"/>
  <c r="AV45" i="7"/>
  <c r="AV4" i="7"/>
  <c r="AV30" i="7"/>
  <c r="AV69" i="7"/>
  <c r="AV19" i="7"/>
  <c r="AV22" i="7"/>
  <c r="AV40" i="7"/>
  <c r="AV25" i="7"/>
  <c r="AV68" i="7"/>
  <c r="AV47" i="7"/>
  <c r="AV49" i="7"/>
  <c r="AV38" i="7"/>
  <c r="AV46" i="7"/>
  <c r="AV17" i="7"/>
  <c r="AV3" i="7"/>
  <c r="AV37" i="7"/>
  <c r="AV33" i="7"/>
  <c r="AV24" i="7"/>
  <c r="AV65" i="7"/>
  <c r="AV55" i="7"/>
  <c r="AV26" i="7"/>
  <c r="AV7" i="7"/>
  <c r="AV48" i="7"/>
  <c r="AV43" i="7"/>
  <c r="AV36" i="7"/>
  <c r="AV10" i="7"/>
  <c r="BB59" i="7"/>
  <c r="BB16" i="7"/>
  <c r="BB50" i="7"/>
  <c r="BB54" i="7"/>
  <c r="BB45" i="7"/>
  <c r="BB4" i="7"/>
  <c r="BB30" i="7"/>
  <c r="BB69" i="7"/>
  <c r="BB19" i="7"/>
  <c r="BB3" i="7"/>
  <c r="BB67" i="7"/>
  <c r="BB48" i="7"/>
  <c r="BB25" i="7"/>
  <c r="BB63" i="7"/>
  <c r="BB33" i="7"/>
  <c r="BB51" i="7"/>
  <c r="BB61" i="7"/>
  <c r="BB14" i="7"/>
  <c r="BB44" i="7"/>
  <c r="BB55" i="7"/>
  <c r="BB21" i="7"/>
  <c r="BB36" i="7"/>
  <c r="BB62" i="7"/>
  <c r="BB46" i="7"/>
  <c r="BB31" i="7"/>
  <c r="BB22" i="7"/>
  <c r="BB23" i="7"/>
  <c r="BB35" i="7"/>
  <c r="BB60" i="7"/>
  <c r="BB6" i="7"/>
  <c r="BB38" i="7"/>
  <c r="BB56" i="7"/>
  <c r="BB12" i="7"/>
  <c r="BB42" i="7"/>
  <c r="BB66" i="7"/>
  <c r="BB9" i="7"/>
  <c r="BB28" i="7"/>
  <c r="BB20" i="7"/>
  <c r="BB39" i="7"/>
  <c r="BB15" i="7"/>
  <c r="BB65" i="7"/>
  <c r="BB37" i="7"/>
  <c r="BB58" i="7"/>
  <c r="BB8" i="7"/>
  <c r="BB53" i="7"/>
  <c r="BB32" i="7"/>
  <c r="BB43" i="7"/>
  <c r="BB26" i="7"/>
  <c r="BB24" i="7"/>
  <c r="BB17" i="7"/>
  <c r="BB41" i="7"/>
  <c r="BB52" i="7"/>
  <c r="BB18" i="7"/>
  <c r="BB7" i="7"/>
  <c r="BB49" i="7"/>
  <c r="BB57" i="7"/>
  <c r="BB64" i="7"/>
  <c r="BB40" i="7"/>
  <c r="BB27" i="7"/>
  <c r="BJ3" i="7"/>
  <c r="BJ67" i="7"/>
  <c r="BJ37" i="7"/>
  <c r="BJ34" i="7"/>
  <c r="BJ33" i="7"/>
  <c r="BJ66" i="7"/>
  <c r="BJ24" i="7"/>
  <c r="BJ9" i="7"/>
  <c r="BJ32" i="7"/>
  <c r="BJ5" i="7"/>
  <c r="BJ35" i="7"/>
  <c r="BJ21" i="7"/>
  <c r="BJ18" i="7"/>
  <c r="BJ39" i="7"/>
  <c r="BJ61" i="7"/>
  <c r="BJ11" i="7"/>
  <c r="BJ22" i="7"/>
  <c r="BJ40" i="7"/>
  <c r="BJ25" i="7"/>
  <c r="BJ68" i="7"/>
  <c r="BJ47" i="7"/>
  <c r="BJ49" i="7"/>
  <c r="BJ38" i="7"/>
  <c r="BJ46" i="7"/>
  <c r="BJ17" i="7"/>
  <c r="BJ57" i="7"/>
  <c r="BJ44" i="7"/>
  <c r="BJ13" i="7"/>
  <c r="BJ63" i="7"/>
  <c r="BJ58" i="7"/>
  <c r="BJ64" i="7"/>
  <c r="BJ8" i="7"/>
  <c r="BJ56" i="7"/>
  <c r="BJ31" i="7"/>
  <c r="BJ23" i="7"/>
  <c r="BJ42" i="7"/>
  <c r="BJ51" i="7"/>
  <c r="BJ15" i="7"/>
  <c r="BJ28" i="7"/>
  <c r="BJ20" i="7"/>
  <c r="BJ62" i="7"/>
  <c r="BJ53" i="7"/>
  <c r="BJ48" i="7"/>
  <c r="BJ43" i="7"/>
  <c r="BJ36" i="7"/>
  <c r="BJ10" i="7"/>
  <c r="BJ12" i="7"/>
  <c r="BJ6" i="7"/>
  <c r="BJ19" i="7"/>
  <c r="BJ52" i="7"/>
  <c r="BJ30" i="7"/>
  <c r="BJ59" i="7"/>
  <c r="BJ54" i="7"/>
  <c r="BJ7" i="7"/>
  <c r="BJ60" i="7"/>
  <c r="BJ45" i="7"/>
  <c r="BJ65" i="7"/>
  <c r="BJ4" i="7"/>
  <c r="BJ41" i="7"/>
  <c r="BJ27" i="7"/>
  <c r="BJ16" i="7"/>
  <c r="BJ29" i="7"/>
  <c r="BJ50" i="7"/>
  <c r="BJ55" i="7"/>
  <c r="BJ26" i="7"/>
  <c r="AN15" i="7"/>
  <c r="AN24" i="7"/>
  <c r="AN64" i="7"/>
  <c r="AN47" i="7"/>
  <c r="AN54" i="7"/>
  <c r="AN28" i="7"/>
  <c r="AN32" i="7"/>
  <c r="AP19" i="7"/>
  <c r="AP61" i="7"/>
  <c r="AP6" i="7"/>
  <c r="AP42" i="7"/>
  <c r="AP12" i="7"/>
  <c r="AQ56" i="7"/>
  <c r="AQ51" i="7"/>
  <c r="AQ47" i="7"/>
  <c r="AQ37" i="7"/>
  <c r="AQ32" i="7"/>
  <c r="AR15" i="7"/>
  <c r="AR27" i="7"/>
  <c r="AR33" i="7"/>
  <c r="AR35" i="7"/>
  <c r="AR41" i="7"/>
  <c r="AT31" i="7"/>
  <c r="AT24" i="7"/>
  <c r="AT4" i="7"/>
  <c r="AT63" i="7"/>
  <c r="AT41" i="7"/>
  <c r="AU69" i="7"/>
  <c r="AU34" i="7"/>
  <c r="AV51" i="7"/>
  <c r="AV13" i="7"/>
  <c r="AW14" i="7"/>
  <c r="AW47" i="7"/>
  <c r="AW5" i="7"/>
  <c r="AX8" i="7"/>
  <c r="AX55" i="7"/>
  <c r="AY69" i="7"/>
  <c r="AY48" i="7"/>
  <c r="AZ34" i="7"/>
  <c r="BB47" i="7"/>
  <c r="BD37" i="7"/>
  <c r="BG10" i="7"/>
  <c r="BN3" i="7"/>
  <c r="AN25" i="7"/>
  <c r="AT69" i="7"/>
  <c r="BG17" i="7"/>
  <c r="AU57" i="7"/>
  <c r="AU44" i="7"/>
  <c r="AU13" i="7"/>
  <c r="AU63" i="7"/>
  <c r="AU58" i="7"/>
  <c r="AU64" i="7"/>
  <c r="AU8" i="7"/>
  <c r="AU56" i="7"/>
  <c r="AU31" i="7"/>
  <c r="AU65" i="7"/>
  <c r="AU23" i="7"/>
  <c r="AU55" i="7"/>
  <c r="AU42" i="7"/>
  <c r="AU26" i="7"/>
  <c r="AU51" i="7"/>
  <c r="AU7" i="7"/>
  <c r="AU15" i="7"/>
  <c r="AU32" i="7"/>
  <c r="AU5" i="7"/>
  <c r="AU35" i="7"/>
  <c r="AU21" i="7"/>
  <c r="AU18" i="7"/>
  <c r="AU39" i="7"/>
  <c r="AU61" i="7"/>
  <c r="AU11" i="7"/>
  <c r="AU48" i="7"/>
  <c r="AU12" i="7"/>
  <c r="AU43" i="7"/>
  <c r="AU60" i="7"/>
  <c r="AU36" i="7"/>
  <c r="AU27" i="7"/>
  <c r="AU10" i="7"/>
  <c r="AU14" i="7"/>
  <c r="AU59" i="7"/>
  <c r="AU50" i="7"/>
  <c r="AU45" i="7"/>
  <c r="AU30" i="7"/>
  <c r="AU19" i="7"/>
  <c r="AU22" i="7"/>
  <c r="AU25" i="7"/>
  <c r="AU47" i="7"/>
  <c r="AU38" i="7"/>
  <c r="AU17" i="7"/>
  <c r="AU3" i="7"/>
  <c r="AU37" i="7"/>
  <c r="AU33" i="7"/>
  <c r="AU24" i="7"/>
  <c r="AP22" i="7"/>
  <c r="AP40" i="7"/>
  <c r="AP25" i="7"/>
  <c r="AP68" i="7"/>
  <c r="AP47" i="7"/>
  <c r="AP49" i="7"/>
  <c r="AP38" i="7"/>
  <c r="AP46" i="7"/>
  <c r="AP31" i="7"/>
  <c r="AP57" i="7"/>
  <c r="AP44" i="7"/>
  <c r="AP13" i="7"/>
  <c r="AP63" i="7"/>
  <c r="AP58" i="7"/>
  <c r="AP64" i="7"/>
  <c r="AP8" i="7"/>
  <c r="AP56" i="7"/>
  <c r="AP3" i="7"/>
  <c r="AP67" i="7"/>
  <c r="AP37" i="7"/>
  <c r="AP34" i="7"/>
  <c r="AP33" i="7"/>
  <c r="AP66" i="7"/>
  <c r="AP24" i="7"/>
  <c r="AP9" i="7"/>
  <c r="BC3" i="7"/>
  <c r="BC67" i="7"/>
  <c r="BC37" i="7"/>
  <c r="BC34" i="7"/>
  <c r="BC33" i="7"/>
  <c r="BC66" i="7"/>
  <c r="BC24" i="7"/>
  <c r="BC9" i="7"/>
  <c r="BC48" i="7"/>
  <c r="BC12" i="7"/>
  <c r="BC43" i="7"/>
  <c r="BC60" i="7"/>
  <c r="BC36" i="7"/>
  <c r="BC27" i="7"/>
  <c r="BC10" i="7"/>
  <c r="BC14" i="7"/>
  <c r="BC40" i="7"/>
  <c r="BC55" i="7"/>
  <c r="BC20" i="7"/>
  <c r="BC49" i="7"/>
  <c r="BC7" i="7"/>
  <c r="BC53" i="7"/>
  <c r="BC57" i="7"/>
  <c r="BC5" i="7"/>
  <c r="BC54" i="7"/>
  <c r="BC58" i="7"/>
  <c r="BC39" i="7"/>
  <c r="BC69" i="7"/>
  <c r="BC31" i="7"/>
  <c r="BC65" i="7"/>
  <c r="BC28" i="7"/>
  <c r="BC68" i="7"/>
  <c r="BC26" i="7"/>
  <c r="BC62" i="7"/>
  <c r="BC46" i="7"/>
  <c r="BC23" i="7"/>
  <c r="BC21" i="7"/>
  <c r="BC30" i="7"/>
  <c r="BC19" i="7"/>
  <c r="BC50" i="7"/>
  <c r="BC45" i="7"/>
  <c r="BC38" i="7"/>
  <c r="BC17" i="7"/>
  <c r="BC22" i="7"/>
  <c r="BC13" i="7"/>
  <c r="BC18" i="7"/>
  <c r="BC61" i="7"/>
  <c r="BC32" i="7"/>
  <c r="BC35" i="7"/>
  <c r="BC6" i="7"/>
  <c r="BC29" i="7"/>
  <c r="BC41" i="7"/>
  <c r="BC52" i="7"/>
  <c r="BC4" i="7"/>
  <c r="BC56" i="7"/>
  <c r="BC25" i="7"/>
  <c r="BC11" i="7"/>
  <c r="BC63" i="7"/>
  <c r="BC42" i="7"/>
  <c r="BK48" i="7"/>
  <c r="BK12" i="7"/>
  <c r="BK43" i="7"/>
  <c r="BK60" i="7"/>
  <c r="BK36" i="7"/>
  <c r="BK27" i="7"/>
  <c r="BK10" i="7"/>
  <c r="BK14" i="7"/>
  <c r="BK59" i="7"/>
  <c r="BK16" i="7"/>
  <c r="BK50" i="7"/>
  <c r="BK54" i="7"/>
  <c r="BK45" i="7"/>
  <c r="BK4" i="7"/>
  <c r="BK30" i="7"/>
  <c r="BK69" i="7"/>
  <c r="BK19" i="7"/>
  <c r="BK65" i="7"/>
  <c r="BK23" i="7"/>
  <c r="BK55" i="7"/>
  <c r="BK42" i="7"/>
  <c r="BK26" i="7"/>
  <c r="BK51" i="7"/>
  <c r="BK7" i="7"/>
  <c r="BK15" i="7"/>
  <c r="BK32" i="7"/>
  <c r="BK5" i="7"/>
  <c r="BK35" i="7"/>
  <c r="BK21" i="7"/>
  <c r="BK18" i="7"/>
  <c r="BK39" i="7"/>
  <c r="BK61" i="7"/>
  <c r="BK11" i="7"/>
  <c r="BK28" i="7"/>
  <c r="BK20" i="7"/>
  <c r="BK62" i="7"/>
  <c r="BK53" i="7"/>
  <c r="BK57" i="7"/>
  <c r="BK13" i="7"/>
  <c r="BK58" i="7"/>
  <c r="BK8" i="7"/>
  <c r="BK31" i="7"/>
  <c r="BK40" i="7"/>
  <c r="BK68" i="7"/>
  <c r="BK49" i="7"/>
  <c r="BK46" i="7"/>
  <c r="BK3" i="7"/>
  <c r="BK34" i="7"/>
  <c r="BK29" i="7"/>
  <c r="BK67" i="7"/>
  <c r="BK6" i="7"/>
  <c r="BK17" i="7"/>
  <c r="BK25" i="7"/>
  <c r="BK64" i="7"/>
  <c r="BK44" i="7"/>
  <c r="BK24" i="7"/>
  <c r="BK37" i="7"/>
  <c r="BK56" i="7"/>
  <c r="BK63" i="7"/>
  <c r="BK47" i="7"/>
  <c r="BK33" i="7"/>
  <c r="BK22" i="7"/>
  <c r="AN9" i="7"/>
  <c r="AN8" i="7"/>
  <c r="AN49" i="7"/>
  <c r="AN45" i="7"/>
  <c r="AN52" i="7"/>
  <c r="AN5" i="7"/>
  <c r="AN65" i="7"/>
  <c r="AP53" i="7"/>
  <c r="AP7" i="7"/>
  <c r="AP36" i="7"/>
  <c r="AP54" i="7"/>
  <c r="AP5" i="7"/>
  <c r="AP17" i="7"/>
  <c r="AQ46" i="7"/>
  <c r="AQ66" i="7"/>
  <c r="AQ21" i="7"/>
  <c r="AQ13" i="7"/>
  <c r="AR9" i="7"/>
  <c r="AR39" i="7"/>
  <c r="AR20" i="7"/>
  <c r="AR55" i="7"/>
  <c r="AR48" i="7"/>
  <c r="AT19" i="7"/>
  <c r="AT8" i="7"/>
  <c r="AT26" i="7"/>
  <c r="AT68" i="7"/>
  <c r="AT48" i="7"/>
  <c r="AU29" i="7"/>
  <c r="AU68" i="7"/>
  <c r="AV31" i="7"/>
  <c r="AV66" i="7"/>
  <c r="AV12" i="7"/>
  <c r="AW11" i="7"/>
  <c r="AW20" i="7"/>
  <c r="AX38" i="7"/>
  <c r="AX28" i="7"/>
  <c r="AY29" i="7"/>
  <c r="AY59" i="7"/>
  <c r="BB34" i="7"/>
  <c r="BC47" i="7"/>
  <c r="BF24" i="7"/>
  <c r="BK41" i="7"/>
  <c r="BO20" i="7"/>
  <c r="BE41" i="7"/>
  <c r="BE28" i="7"/>
  <c r="BE52" i="7"/>
  <c r="BE20" i="7"/>
  <c r="BE6" i="7"/>
  <c r="BE62" i="7"/>
  <c r="BE29" i="7"/>
  <c r="BE53" i="7"/>
  <c r="BE22" i="7"/>
  <c r="BE40" i="7"/>
  <c r="BE25" i="7"/>
  <c r="BE68" i="7"/>
  <c r="BE47" i="7"/>
  <c r="BE49" i="7"/>
  <c r="BE38" i="7"/>
  <c r="BE46" i="7"/>
  <c r="BE17" i="7"/>
  <c r="BE65" i="7"/>
  <c r="BE23" i="7"/>
  <c r="BE55" i="7"/>
  <c r="BE42" i="7"/>
  <c r="BE26" i="7"/>
  <c r="BE51" i="7"/>
  <c r="BE7" i="7"/>
  <c r="BE15" i="7"/>
  <c r="BE48" i="7"/>
  <c r="BE37" i="7"/>
  <c r="BE45" i="7"/>
  <c r="BE39" i="7"/>
  <c r="BE56" i="7"/>
  <c r="BE67" i="7"/>
  <c r="BE54" i="7"/>
  <c r="BE18" i="7"/>
  <c r="BE8" i="7"/>
  <c r="BE14" i="7"/>
  <c r="BE59" i="7"/>
  <c r="BE5" i="7"/>
  <c r="BE63" i="7"/>
  <c r="BE36" i="7"/>
  <c r="BE24" i="7"/>
  <c r="BE19" i="7"/>
  <c r="BE16" i="7"/>
  <c r="BE21" i="7"/>
  <c r="BE30" i="7"/>
  <c r="BE44" i="7"/>
  <c r="BE60" i="7"/>
  <c r="BE61" i="7"/>
  <c r="BE50" i="7"/>
  <c r="BE33" i="7"/>
  <c r="BE69" i="7"/>
  <c r="BE13" i="7"/>
  <c r="BE4" i="7"/>
  <c r="BE9" i="7"/>
  <c r="BE57" i="7"/>
  <c r="BE35" i="7"/>
  <c r="BE64" i="7"/>
  <c r="BE11" i="7"/>
  <c r="BE27" i="7"/>
  <c r="BE3" i="7"/>
  <c r="BE10" i="7"/>
  <c r="BE32" i="7"/>
  <c r="BE31" i="7"/>
  <c r="BG57" i="7"/>
  <c r="BG65" i="7"/>
  <c r="BG59" i="7"/>
  <c r="BG16" i="7"/>
  <c r="BG22" i="7"/>
  <c r="BG3" i="7"/>
  <c r="BG5" i="7"/>
  <c r="BG35" i="7"/>
  <c r="BG21" i="7"/>
  <c r="BG18" i="7"/>
  <c r="BG39" i="7"/>
  <c r="BG61" i="7"/>
  <c r="BG11" i="7"/>
  <c r="BG48" i="7"/>
  <c r="BG28" i="7"/>
  <c r="BG52" i="7"/>
  <c r="BG20" i="7"/>
  <c r="BG6" i="7"/>
  <c r="BG62" i="7"/>
  <c r="BG29" i="7"/>
  <c r="BG53" i="7"/>
  <c r="BG44" i="7"/>
  <c r="BG13" i="7"/>
  <c r="BG63" i="7"/>
  <c r="BG58" i="7"/>
  <c r="BG64" i="7"/>
  <c r="BG8" i="7"/>
  <c r="BG56" i="7"/>
  <c r="BG31" i="7"/>
  <c r="BG23" i="7"/>
  <c r="BG68" i="7"/>
  <c r="BG36" i="7"/>
  <c r="BG24" i="7"/>
  <c r="BG19" i="7"/>
  <c r="BG25" i="7"/>
  <c r="BG60" i="7"/>
  <c r="BG66" i="7"/>
  <c r="BG69" i="7"/>
  <c r="BG32" i="7"/>
  <c r="BG37" i="7"/>
  <c r="BG45" i="7"/>
  <c r="BG51" i="7"/>
  <c r="BG46" i="7"/>
  <c r="BG55" i="7"/>
  <c r="BG4" i="7"/>
  <c r="BG15" i="7"/>
  <c r="BG43" i="7"/>
  <c r="BG49" i="7"/>
  <c r="BG14" i="7"/>
  <c r="BG41" i="7"/>
  <c r="BG34" i="7"/>
  <c r="BG30" i="7"/>
  <c r="BG40" i="7"/>
  <c r="BG42" i="7"/>
  <c r="BG38" i="7"/>
  <c r="BG67" i="7"/>
  <c r="BG47" i="7"/>
  <c r="BG7" i="7"/>
  <c r="BG50" i="7"/>
  <c r="BG54" i="7"/>
  <c r="BG33" i="7"/>
  <c r="BM65" i="7"/>
  <c r="BM23" i="7"/>
  <c r="BM55" i="7"/>
  <c r="BM42" i="7"/>
  <c r="BM26" i="7"/>
  <c r="BM51" i="7"/>
  <c r="BM7" i="7"/>
  <c r="BM15" i="7"/>
  <c r="BM48" i="7"/>
  <c r="BM12" i="7"/>
  <c r="BM43" i="7"/>
  <c r="BM60" i="7"/>
  <c r="BM36" i="7"/>
  <c r="BM27" i="7"/>
  <c r="BM10" i="7"/>
  <c r="BM14" i="7"/>
  <c r="BM57" i="7"/>
  <c r="BM44" i="7"/>
  <c r="BM13" i="7"/>
  <c r="BM63" i="7"/>
  <c r="BM58" i="7"/>
  <c r="BM64" i="7"/>
  <c r="BM8" i="7"/>
  <c r="BM56" i="7"/>
  <c r="BM31" i="7"/>
  <c r="BM3" i="7"/>
  <c r="BM67" i="7"/>
  <c r="BM37" i="7"/>
  <c r="BM34" i="7"/>
  <c r="BM33" i="7"/>
  <c r="BM66" i="7"/>
  <c r="BM24" i="7"/>
  <c r="BM9" i="7"/>
  <c r="BM32" i="7"/>
  <c r="BM35" i="7"/>
  <c r="BM18" i="7"/>
  <c r="BM61" i="7"/>
  <c r="BM41" i="7"/>
  <c r="BM52" i="7"/>
  <c r="BM16" i="7"/>
  <c r="BM54" i="7"/>
  <c r="BM4" i="7"/>
  <c r="BM69" i="7"/>
  <c r="BM5" i="7"/>
  <c r="BM21" i="7"/>
  <c r="BM28" i="7"/>
  <c r="BM20" i="7"/>
  <c r="BM62" i="7"/>
  <c r="BM53" i="7"/>
  <c r="BM47" i="7"/>
  <c r="BM11" i="7"/>
  <c r="BM40" i="7"/>
  <c r="BM39" i="7"/>
  <c r="BM50" i="7"/>
  <c r="BM30" i="7"/>
  <c r="BM25" i="7"/>
  <c r="BM19" i="7"/>
  <c r="BM68" i="7"/>
  <c r="BM17" i="7"/>
  <c r="BM6" i="7"/>
  <c r="BM49" i="7"/>
  <c r="BM38" i="7"/>
  <c r="BM59" i="7"/>
  <c r="BM22" i="7"/>
  <c r="AZ65" i="7"/>
  <c r="AZ23" i="7"/>
  <c r="AZ55" i="7"/>
  <c r="AZ42" i="7"/>
  <c r="AZ26" i="7"/>
  <c r="AZ51" i="7"/>
  <c r="AZ7" i="7"/>
  <c r="AZ15" i="7"/>
  <c r="AZ41" i="7"/>
  <c r="AZ28" i="7"/>
  <c r="AZ52" i="7"/>
  <c r="AZ20" i="7"/>
  <c r="AZ6" i="7"/>
  <c r="AZ62" i="7"/>
  <c r="AZ29" i="7"/>
  <c r="AZ53" i="7"/>
  <c r="AZ59" i="7"/>
  <c r="AZ16" i="7"/>
  <c r="AZ50" i="7"/>
  <c r="AZ54" i="7"/>
  <c r="AZ45" i="7"/>
  <c r="AZ4" i="7"/>
  <c r="AZ30" i="7"/>
  <c r="AZ69" i="7"/>
  <c r="AZ19" i="7"/>
  <c r="AZ32" i="7"/>
  <c r="AZ13" i="7"/>
  <c r="AZ60" i="7"/>
  <c r="AZ66" i="7"/>
  <c r="AZ46" i="7"/>
  <c r="AZ48" i="7"/>
  <c r="AZ37" i="7"/>
  <c r="AZ47" i="7"/>
  <c r="AZ39" i="7"/>
  <c r="AZ56" i="7"/>
  <c r="AZ44" i="7"/>
  <c r="AZ43" i="7"/>
  <c r="AZ33" i="7"/>
  <c r="AZ38" i="7"/>
  <c r="AZ11" i="7"/>
  <c r="AZ67" i="7"/>
  <c r="AZ68" i="7"/>
  <c r="AZ18" i="7"/>
  <c r="AZ8" i="7"/>
  <c r="AZ14" i="7"/>
  <c r="AZ22" i="7"/>
  <c r="AZ5" i="7"/>
  <c r="AZ63" i="7"/>
  <c r="AZ36" i="7"/>
  <c r="AZ24" i="7"/>
  <c r="AZ17" i="7"/>
  <c r="AZ12" i="7"/>
  <c r="AZ27" i="7"/>
  <c r="AZ25" i="7"/>
  <c r="AZ61" i="7"/>
  <c r="AZ35" i="7"/>
  <c r="AZ10" i="7"/>
  <c r="BH8" i="7"/>
  <c r="AN53" i="7"/>
  <c r="AT42" i="7"/>
  <c r="AY54" i="7"/>
  <c r="AN66" i="7"/>
  <c r="AN50" i="7"/>
  <c r="AR11" i="7"/>
  <c r="AR26" i="7"/>
  <c r="AR67" i="7"/>
  <c r="AT7" i="7"/>
  <c r="AT49" i="7"/>
  <c r="AT34" i="7"/>
  <c r="AT12" i="7"/>
  <c r="AU46" i="7"/>
  <c r="AU20" i="7"/>
  <c r="AU16" i="7"/>
  <c r="AX7" i="7"/>
  <c r="AX20" i="7"/>
  <c r="AY56" i="7"/>
  <c r="AY67" i="7"/>
  <c r="AZ21" i="7"/>
  <c r="BE43" i="7"/>
  <c r="BG9" i="7"/>
  <c r="BH63" i="7"/>
  <c r="AQ48" i="7"/>
  <c r="AQ12" i="7"/>
  <c r="AQ43" i="7"/>
  <c r="AQ60" i="7"/>
  <c r="AQ36" i="7"/>
  <c r="AQ27" i="7"/>
  <c r="AQ10" i="7"/>
  <c r="AQ14" i="7"/>
  <c r="AQ41" i="7"/>
  <c r="AQ28" i="7"/>
  <c r="AQ52" i="7"/>
  <c r="AQ20" i="7"/>
  <c r="AQ6" i="7"/>
  <c r="AQ62" i="7"/>
  <c r="AQ29" i="7"/>
  <c r="AQ53" i="7"/>
  <c r="AQ16" i="7"/>
  <c r="AQ50" i="7"/>
  <c r="AQ54" i="7"/>
  <c r="AQ45" i="7"/>
  <c r="AQ4" i="7"/>
  <c r="AQ30" i="7"/>
  <c r="AQ69" i="7"/>
  <c r="AQ19" i="7"/>
  <c r="AW59" i="7"/>
  <c r="AW16" i="7"/>
  <c r="AW50" i="7"/>
  <c r="AW54" i="7"/>
  <c r="AW45" i="7"/>
  <c r="AW4" i="7"/>
  <c r="AW30" i="7"/>
  <c r="AW69" i="7"/>
  <c r="AW19" i="7"/>
  <c r="AW57" i="7"/>
  <c r="AW44" i="7"/>
  <c r="AW13" i="7"/>
  <c r="AW63" i="7"/>
  <c r="AW58" i="7"/>
  <c r="AW64" i="7"/>
  <c r="AW8" i="7"/>
  <c r="AW56" i="7"/>
  <c r="AW31" i="7"/>
  <c r="AW3" i="7"/>
  <c r="AW67" i="7"/>
  <c r="AW37" i="7"/>
  <c r="AW34" i="7"/>
  <c r="AW33" i="7"/>
  <c r="AW66" i="7"/>
  <c r="AW24" i="7"/>
  <c r="AW9" i="7"/>
  <c r="AW65" i="7"/>
  <c r="AW23" i="7"/>
  <c r="AW55" i="7"/>
  <c r="AW42" i="7"/>
  <c r="AW26" i="7"/>
  <c r="AW51" i="7"/>
  <c r="AW7" i="7"/>
  <c r="AW15" i="7"/>
  <c r="AW48" i="7"/>
  <c r="AW43" i="7"/>
  <c r="AW36" i="7"/>
  <c r="AW10" i="7"/>
  <c r="AW41" i="7"/>
  <c r="AW52" i="7"/>
  <c r="AW6" i="7"/>
  <c r="AW29" i="7"/>
  <c r="AW40" i="7"/>
  <c r="AW68" i="7"/>
  <c r="AW49" i="7"/>
  <c r="AW46" i="7"/>
  <c r="BD65" i="7"/>
  <c r="BD23" i="7"/>
  <c r="BD55" i="7"/>
  <c r="BD42" i="7"/>
  <c r="BD26" i="7"/>
  <c r="BD51" i="7"/>
  <c r="BD7" i="7"/>
  <c r="BD48" i="7"/>
  <c r="BD12" i="7"/>
  <c r="BD43" i="7"/>
  <c r="BD60" i="7"/>
  <c r="BD36" i="7"/>
  <c r="BD27" i="7"/>
  <c r="BD10" i="7"/>
  <c r="BD14" i="7"/>
  <c r="BD22" i="7"/>
  <c r="BD40" i="7"/>
  <c r="BD25" i="7"/>
  <c r="BD68" i="7"/>
  <c r="BD47" i="7"/>
  <c r="BD49" i="7"/>
  <c r="BD38" i="7"/>
  <c r="BD46" i="7"/>
  <c r="BD17" i="7"/>
  <c r="BD3" i="7"/>
  <c r="BD50" i="7"/>
  <c r="BD21" i="7"/>
  <c r="BD64" i="7"/>
  <c r="BD29" i="7"/>
  <c r="BD31" i="7"/>
  <c r="BD16" i="7"/>
  <c r="BD35" i="7"/>
  <c r="BD58" i="7"/>
  <c r="BD62" i="7"/>
  <c r="BD9" i="7"/>
  <c r="BD44" i="7"/>
  <c r="BD52" i="7"/>
  <c r="BD33" i="7"/>
  <c r="BD30" i="7"/>
  <c r="BD15" i="7"/>
  <c r="BD57" i="7"/>
  <c r="BD54" i="7"/>
  <c r="BD66" i="7"/>
  <c r="BD53" i="7"/>
  <c r="BD32" i="7"/>
  <c r="BD63" i="7"/>
  <c r="BD39" i="7"/>
  <c r="BD19" i="7"/>
  <c r="BD67" i="7"/>
  <c r="BD20" i="7"/>
  <c r="BD24" i="7"/>
  <c r="BD5" i="7"/>
  <c r="BD45" i="7"/>
  <c r="BD61" i="7"/>
  <c r="BD28" i="7"/>
  <c r="BD18" i="7"/>
  <c r="BD69" i="7"/>
  <c r="BD6" i="7"/>
  <c r="BD4" i="7"/>
  <c r="BD8" i="7"/>
  <c r="BL22" i="7"/>
  <c r="BL40" i="7"/>
  <c r="BL25" i="7"/>
  <c r="BL68" i="7"/>
  <c r="BL47" i="7"/>
  <c r="BL49" i="7"/>
  <c r="BL38" i="7"/>
  <c r="BL46" i="7"/>
  <c r="BL17" i="7"/>
  <c r="BL3" i="7"/>
  <c r="BL67" i="7"/>
  <c r="BL37" i="7"/>
  <c r="BL34" i="7"/>
  <c r="BL33" i="7"/>
  <c r="BL66" i="7"/>
  <c r="BL24" i="7"/>
  <c r="BL9" i="7"/>
  <c r="BL41" i="7"/>
  <c r="BL28" i="7"/>
  <c r="BL52" i="7"/>
  <c r="BL20" i="7"/>
  <c r="BL6" i="7"/>
  <c r="BL62" i="7"/>
  <c r="BL29" i="7"/>
  <c r="BL53" i="7"/>
  <c r="BL59" i="7"/>
  <c r="BL16" i="7"/>
  <c r="BL50" i="7"/>
  <c r="BL54" i="7"/>
  <c r="BL45" i="7"/>
  <c r="BL4" i="7"/>
  <c r="BL30" i="7"/>
  <c r="BL69" i="7"/>
  <c r="BL19" i="7"/>
  <c r="BL57" i="7"/>
  <c r="BL13" i="7"/>
  <c r="BL58" i="7"/>
  <c r="BL8" i="7"/>
  <c r="BL31" i="7"/>
  <c r="BL32" i="7"/>
  <c r="BL35" i="7"/>
  <c r="BL18" i="7"/>
  <c r="BL61" i="7"/>
  <c r="BL23" i="7"/>
  <c r="BL42" i="7"/>
  <c r="BL51" i="7"/>
  <c r="BL15" i="7"/>
  <c r="BL55" i="7"/>
  <c r="BL39" i="7"/>
  <c r="BL65" i="7"/>
  <c r="BL21" i="7"/>
  <c r="BL10" i="7"/>
  <c r="BL48" i="7"/>
  <c r="BL60" i="7"/>
  <c r="BL56" i="7"/>
  <c r="BL36" i="7"/>
  <c r="BL64" i="7"/>
  <c r="BL5" i="7"/>
  <c r="BL7" i="7"/>
  <c r="BL12" i="7"/>
  <c r="BL11" i="7"/>
  <c r="BL43" i="7"/>
  <c r="BL14" i="7"/>
  <c r="BL26" i="7"/>
  <c r="BL27" i="7"/>
  <c r="AN56" i="7"/>
  <c r="AN38" i="7"/>
  <c r="AN4" i="7"/>
  <c r="AN20" i="7"/>
  <c r="AN35" i="7"/>
  <c r="AN23" i="7"/>
  <c r="AP14" i="7"/>
  <c r="AP30" i="7"/>
  <c r="AP18" i="7"/>
  <c r="AP52" i="7"/>
  <c r="AP23" i="7"/>
  <c r="AQ31" i="7"/>
  <c r="AQ61" i="7"/>
  <c r="AQ64" i="7"/>
  <c r="AQ42" i="7"/>
  <c r="AQ25" i="7"/>
  <c r="AQ3" i="7"/>
  <c r="AR29" i="7"/>
  <c r="AR51" i="7"/>
  <c r="AR60" i="7"/>
  <c r="AR37" i="7"/>
  <c r="AT15" i="7"/>
  <c r="AT38" i="7"/>
  <c r="AT33" i="7"/>
  <c r="AT54" i="7"/>
  <c r="AT32" i="7"/>
  <c r="AU62" i="7"/>
  <c r="AU54" i="7"/>
  <c r="AV14" i="7"/>
  <c r="AV64" i="7"/>
  <c r="AV23" i="7"/>
  <c r="AW61" i="7"/>
  <c r="AW60" i="7"/>
  <c r="AW22" i="7"/>
  <c r="AX30" i="7"/>
  <c r="AY6" i="7"/>
  <c r="AZ31" i="7"/>
  <c r="AZ3" i="7"/>
  <c r="BB68" i="7"/>
  <c r="BC44" i="7"/>
  <c r="BD41" i="7"/>
  <c r="BG26" i="7"/>
  <c r="BL63" i="7"/>
  <c r="BO48" i="7"/>
  <c r="BE66" i="7"/>
  <c r="BM46" i="7"/>
  <c r="BN41" i="7"/>
  <c r="BN28" i="7"/>
  <c r="BN52" i="7"/>
  <c r="BN20" i="7"/>
  <c r="BN6" i="7"/>
  <c r="BN62" i="7"/>
  <c r="BN29" i="7"/>
  <c r="BN53" i="7"/>
  <c r="BN22" i="7"/>
  <c r="BN40" i="7"/>
  <c r="BN25" i="7"/>
  <c r="BN68" i="7"/>
  <c r="BN47" i="7"/>
  <c r="BN49" i="7"/>
  <c r="BN38" i="7"/>
  <c r="BN46" i="7"/>
  <c r="BN17" i="7"/>
  <c r="BN32" i="7"/>
  <c r="BN5" i="7"/>
  <c r="BN35" i="7"/>
  <c r="BN21" i="7"/>
  <c r="BN18" i="7"/>
  <c r="BN39" i="7"/>
  <c r="BN61" i="7"/>
  <c r="BN11" i="7"/>
  <c r="BN48" i="7"/>
  <c r="BN12" i="7"/>
  <c r="BN43" i="7"/>
  <c r="BN60" i="7"/>
  <c r="BN36" i="7"/>
  <c r="BN27" i="7"/>
  <c r="BN10" i="7"/>
  <c r="BN14" i="7"/>
  <c r="BN16" i="7"/>
  <c r="BN54" i="7"/>
  <c r="BN4" i="7"/>
  <c r="BN69" i="7"/>
  <c r="BN44" i="7"/>
  <c r="BN63" i="7"/>
  <c r="BN64" i="7"/>
  <c r="BN56" i="7"/>
  <c r="BN67" i="7"/>
  <c r="BN34" i="7"/>
  <c r="BN66" i="7"/>
  <c r="BN9" i="7"/>
  <c r="BN59" i="7"/>
  <c r="BN50" i="7"/>
  <c r="BN45" i="7"/>
  <c r="BN30" i="7"/>
  <c r="BN19" i="7"/>
  <c r="BN57" i="7"/>
  <c r="BN13" i="7"/>
  <c r="BN58" i="7"/>
  <c r="BN8" i="7"/>
  <c r="BN31" i="7"/>
  <c r="BN37" i="7"/>
  <c r="BN15" i="7"/>
  <c r="BN33" i="7"/>
  <c r="BN26" i="7"/>
  <c r="BN23" i="7"/>
  <c r="BN55" i="7"/>
  <c r="BN51" i="7"/>
  <c r="BN24" i="7"/>
  <c r="BN7" i="7"/>
  <c r="BN42" i="7"/>
  <c r="AY21" i="7"/>
  <c r="BE58" i="7"/>
  <c r="BM29" i="7"/>
  <c r="AN48" i="7"/>
  <c r="AN12" i="7"/>
  <c r="AN43" i="7"/>
  <c r="AN60" i="7"/>
  <c r="AN36" i="7"/>
  <c r="AN27" i="7"/>
  <c r="AN10" i="7"/>
  <c r="AN14" i="7"/>
  <c r="AN51" i="7"/>
  <c r="AN63" i="7"/>
  <c r="AT28" i="7"/>
  <c r="AY11" i="7"/>
  <c r="AZ58" i="7"/>
  <c r="BM45" i="7"/>
  <c r="AR59" i="7"/>
  <c r="AR16" i="7"/>
  <c r="AR50" i="7"/>
  <c r="AR54" i="7"/>
  <c r="AR45" i="7"/>
  <c r="AR4" i="7"/>
  <c r="AR30" i="7"/>
  <c r="AR69" i="7"/>
  <c r="AR19" i="7"/>
  <c r="AR22" i="7"/>
  <c r="AR40" i="7"/>
  <c r="AR25" i="7"/>
  <c r="AR68" i="7"/>
  <c r="AR47" i="7"/>
  <c r="AR49" i="7"/>
  <c r="AR38" i="7"/>
  <c r="AR46" i="7"/>
  <c r="AR17" i="7"/>
  <c r="AR57" i="7"/>
  <c r="AR44" i="7"/>
  <c r="AR13" i="7"/>
  <c r="AR63" i="7"/>
  <c r="AR58" i="7"/>
  <c r="AR64" i="7"/>
  <c r="AR8" i="7"/>
  <c r="AR56" i="7"/>
  <c r="AR31" i="7"/>
  <c r="AX48" i="7"/>
  <c r="AX12" i="7"/>
  <c r="AX43" i="7"/>
  <c r="AX60" i="7"/>
  <c r="AX22" i="7"/>
  <c r="AX40" i="7"/>
  <c r="AX25" i="7"/>
  <c r="AX68" i="7"/>
  <c r="AX47" i="7"/>
  <c r="AX3" i="7"/>
  <c r="AX5" i="7"/>
  <c r="AX54" i="7"/>
  <c r="AX33" i="7"/>
  <c r="AX66" i="7"/>
  <c r="AX24" i="7"/>
  <c r="AX9" i="7"/>
  <c r="AX32" i="7"/>
  <c r="AX50" i="7"/>
  <c r="AX34" i="7"/>
  <c r="AX18" i="7"/>
  <c r="AX39" i="7"/>
  <c r="AX61" i="7"/>
  <c r="AX11" i="7"/>
  <c r="AX41" i="7"/>
  <c r="AX13" i="7"/>
  <c r="AX42" i="7"/>
  <c r="AX36" i="7"/>
  <c r="AX27" i="7"/>
  <c r="AX10" i="7"/>
  <c r="AX14" i="7"/>
  <c r="AX16" i="7"/>
  <c r="AX37" i="7"/>
  <c r="AX21" i="7"/>
  <c r="AX6" i="7"/>
  <c r="AX62" i="7"/>
  <c r="AX29" i="7"/>
  <c r="AX53" i="7"/>
  <c r="AX59" i="7"/>
  <c r="AX35" i="7"/>
  <c r="AX49" i="7"/>
  <c r="AX46" i="7"/>
  <c r="AX57" i="7"/>
  <c r="AX52" i="7"/>
  <c r="AX64" i="7"/>
  <c r="AX56" i="7"/>
  <c r="AX65" i="7"/>
  <c r="AX63" i="7"/>
  <c r="AX51" i="7"/>
  <c r="AX15" i="7"/>
  <c r="BF57" i="7"/>
  <c r="BF44" i="7"/>
  <c r="BF13" i="7"/>
  <c r="BF63" i="7"/>
  <c r="BF58" i="7"/>
  <c r="BF64" i="7"/>
  <c r="BF8" i="7"/>
  <c r="BF56" i="7"/>
  <c r="BF31" i="7"/>
  <c r="BF65" i="7"/>
  <c r="BF23" i="7"/>
  <c r="BF55" i="7"/>
  <c r="BF42" i="7"/>
  <c r="BF26" i="7"/>
  <c r="BF51" i="7"/>
  <c r="BF7" i="7"/>
  <c r="BF15" i="7"/>
  <c r="BF41" i="7"/>
  <c r="BF28" i="7"/>
  <c r="BF52" i="7"/>
  <c r="BF20" i="7"/>
  <c r="BF6" i="7"/>
  <c r="BF62" i="7"/>
  <c r="BF29" i="7"/>
  <c r="BF53" i="7"/>
  <c r="BF40" i="7"/>
  <c r="BF43" i="7"/>
  <c r="BF33" i="7"/>
  <c r="BF30" i="7"/>
  <c r="BF11" i="7"/>
  <c r="BF22" i="7"/>
  <c r="BF12" i="7"/>
  <c r="BF34" i="7"/>
  <c r="BF4" i="7"/>
  <c r="BF61" i="7"/>
  <c r="BF17" i="7"/>
  <c r="BF3" i="7"/>
  <c r="BF50" i="7"/>
  <c r="BF21" i="7"/>
  <c r="BF49" i="7"/>
  <c r="BF10" i="7"/>
  <c r="BF5" i="7"/>
  <c r="BF47" i="7"/>
  <c r="BF69" i="7"/>
  <c r="BF25" i="7"/>
  <c r="BF18" i="7"/>
  <c r="BF46" i="7"/>
  <c r="BF59" i="7"/>
  <c r="BF35" i="7"/>
  <c r="BF66" i="7"/>
  <c r="BF14" i="7"/>
  <c r="BF32" i="7"/>
  <c r="BF54" i="7"/>
  <c r="BF39" i="7"/>
  <c r="BF19" i="7"/>
  <c r="BF48" i="7"/>
  <c r="BF68" i="7"/>
  <c r="BF27" i="7"/>
  <c r="BF16" i="7"/>
  <c r="BF9" i="7"/>
  <c r="BF67" i="7"/>
  <c r="BF37" i="7"/>
  <c r="AN31" i="7"/>
  <c r="AN46" i="7"/>
  <c r="AN30" i="7"/>
  <c r="AN6" i="7"/>
  <c r="AN21" i="7"/>
  <c r="AN55" i="7"/>
  <c r="AN67" i="7"/>
  <c r="AN57" i="7"/>
  <c r="AR10" i="7"/>
  <c r="AR66" i="7"/>
  <c r="AR21" i="7"/>
  <c r="AR28" i="7"/>
  <c r="AR65" i="7"/>
  <c r="AT9" i="7"/>
  <c r="AT30" i="7"/>
  <c r="AT58" i="7"/>
  <c r="AT55" i="7"/>
  <c r="AT65" i="7"/>
  <c r="AU66" i="7"/>
  <c r="AU52" i="7"/>
  <c r="AX31" i="7"/>
  <c r="AX4" i="7"/>
  <c r="AX67" i="7"/>
  <c r="AY33" i="7"/>
  <c r="AZ9" i="7"/>
  <c r="AZ57" i="7"/>
  <c r="BF36" i="7"/>
  <c r="BG12" i="7"/>
  <c r="BP56" i="7"/>
  <c r="BP6" i="2"/>
  <c r="BP19" i="2"/>
  <c r="BP35" i="2"/>
  <c r="BP44" i="2"/>
  <c r="BP55" i="2"/>
  <c r="BP69" i="2"/>
  <c r="BP8" i="2"/>
  <c r="BP18" i="2"/>
  <c r="BP33" i="2"/>
  <c r="BP49" i="2"/>
  <c r="BP53" i="2"/>
  <c r="BN70" i="2"/>
  <c r="BN55" i="2"/>
  <c r="BN25" i="2"/>
  <c r="BN56" i="2"/>
  <c r="BN8" i="2"/>
  <c r="BN40" i="2"/>
  <c r="BN37" i="2"/>
  <c r="BN38" i="2"/>
  <c r="BN24" i="2"/>
  <c r="BN48" i="2"/>
  <c r="BN17" i="2"/>
  <c r="BN50" i="2"/>
  <c r="BN14" i="2"/>
  <c r="BN36" i="2"/>
  <c r="BN7" i="2"/>
  <c r="BN65" i="2"/>
  <c r="BN63" i="2"/>
  <c r="BK7" i="2"/>
  <c r="BK38" i="2"/>
  <c r="BK14" i="2"/>
  <c r="BK24" i="2"/>
  <c r="BH37" i="2"/>
  <c r="BH59" i="2"/>
  <c r="BH45" i="2"/>
  <c r="BH71" i="2"/>
  <c r="BH30" i="2"/>
  <c r="BH47" i="2"/>
  <c r="BH7" i="2"/>
  <c r="BH40" i="2"/>
  <c r="BH64" i="2"/>
  <c r="BH8" i="2"/>
  <c r="BH25" i="2"/>
  <c r="BH36" i="2"/>
  <c r="BH56" i="2"/>
  <c r="BH66" i="2"/>
  <c r="BH9" i="2"/>
  <c r="BH23" i="2"/>
  <c r="BH42" i="2"/>
  <c r="BH55" i="2"/>
  <c r="BH33" i="2"/>
  <c r="BH17" i="2"/>
  <c r="BH48" i="2"/>
  <c r="BH19" i="2"/>
  <c r="BH63" i="2"/>
  <c r="BH21" i="2"/>
  <c r="BH65" i="2"/>
  <c r="BH24" i="2"/>
  <c r="BH52" i="2"/>
  <c r="BH11" i="2"/>
  <c r="BH31" i="2"/>
  <c r="BH43" i="2"/>
  <c r="BH61" i="2"/>
  <c r="BH14" i="2"/>
  <c r="BH38" i="2"/>
  <c r="BH50" i="2"/>
  <c r="BH60" i="2"/>
  <c r="BD12" i="2"/>
  <c r="BD22" i="2"/>
  <c r="BD29" i="2"/>
  <c r="BD46" i="2"/>
  <c r="BD51" i="2"/>
  <c r="BD68" i="2"/>
  <c r="BD71" i="2"/>
  <c r="BD16" i="2"/>
  <c r="BD26" i="2"/>
  <c r="BD32" i="2"/>
  <c r="BD49" i="2"/>
  <c r="BD53" i="2"/>
  <c r="BD67" i="2"/>
  <c r="AW37" i="2"/>
  <c r="AW65" i="2"/>
  <c r="AW7" i="2"/>
  <c r="AW40" i="2"/>
  <c r="AW64" i="2"/>
  <c r="AW8" i="2"/>
  <c r="AW36" i="2"/>
  <c r="AW14" i="2"/>
  <c r="AW50" i="2"/>
  <c r="AR56" i="2"/>
  <c r="AR35" i="2"/>
  <c r="AR5" i="2"/>
  <c r="AR63" i="2"/>
  <c r="AR70" i="2"/>
  <c r="AR16" i="2"/>
  <c r="AR40" i="2"/>
  <c r="AR14" i="2"/>
  <c r="AR49" i="2"/>
  <c r="AR19" i="2"/>
  <c r="AR24" i="2"/>
  <c r="AR58" i="2"/>
  <c r="AR38" i="2"/>
  <c r="AR7" i="2"/>
  <c r="AR34" i="2"/>
  <c r="AR50" i="2"/>
  <c r="AR22" i="2"/>
  <c r="AR51" i="2"/>
  <c r="BP11" i="2"/>
  <c r="BP21" i="2"/>
  <c r="BP31" i="2"/>
  <c r="BP30" i="2"/>
  <c r="BP43" i="2"/>
  <c r="BP47" i="2"/>
  <c r="BP60" i="2"/>
  <c r="BP66" i="2"/>
  <c r="BP71" i="2"/>
  <c r="BP12" i="2"/>
  <c r="BP20" i="2"/>
  <c r="BP27" i="2"/>
  <c r="BP32" i="2"/>
  <c r="BP46" i="2"/>
  <c r="BP52" i="2"/>
  <c r="BP59" i="2"/>
  <c r="BP67" i="2"/>
  <c r="BP70" i="2"/>
  <c r="BP7" i="2"/>
  <c r="BP14" i="2"/>
  <c r="BP24" i="2"/>
  <c r="BP38" i="2"/>
  <c r="BP40" i="2"/>
  <c r="BP50" i="2"/>
  <c r="BP56" i="2"/>
  <c r="BO8" i="2"/>
  <c r="BO17" i="2"/>
  <c r="BO25" i="2"/>
  <c r="BO37" i="2"/>
  <c r="BO36" i="2"/>
  <c r="BO48" i="2"/>
  <c r="BO55" i="2"/>
  <c r="BO65" i="2"/>
  <c r="BO9" i="2"/>
  <c r="BO19" i="2"/>
  <c r="BO23" i="2"/>
  <c r="BO33" i="2"/>
  <c r="BO42" i="2"/>
  <c r="BO45" i="2"/>
  <c r="BO61" i="2"/>
  <c r="BO64" i="2"/>
  <c r="BO7" i="2"/>
  <c r="BO14" i="2"/>
  <c r="BO24" i="2"/>
  <c r="BO38" i="2"/>
  <c r="BO40" i="2"/>
  <c r="BO50" i="2"/>
  <c r="BO56" i="2"/>
  <c r="BO63" i="2"/>
  <c r="BO10" i="2"/>
  <c r="BO15" i="2"/>
  <c r="BO26" i="2"/>
  <c r="BO29" i="2"/>
  <c r="BO44" i="2"/>
  <c r="BO57" i="2"/>
  <c r="BO53" i="2"/>
  <c r="BO68" i="2"/>
  <c r="BO11" i="2"/>
  <c r="BO21" i="2"/>
  <c r="BO31" i="2"/>
  <c r="BO30" i="2"/>
  <c r="BO43" i="2"/>
  <c r="BO47" i="2"/>
  <c r="BO60" i="2"/>
  <c r="BN57" i="2"/>
  <c r="BN15" i="2"/>
  <c r="BN29" i="2"/>
  <c r="BN53" i="2"/>
  <c r="BN31" i="2"/>
  <c r="BN43" i="2"/>
  <c r="BN60" i="2"/>
  <c r="BN71" i="2"/>
  <c r="BN12" i="2"/>
  <c r="BN20" i="2"/>
  <c r="BN27" i="2"/>
  <c r="BN32" i="2"/>
  <c r="BN46" i="2"/>
  <c r="BN52" i="2"/>
  <c r="BN59" i="2"/>
  <c r="BN67" i="2"/>
  <c r="BN44" i="2"/>
  <c r="BN21" i="2"/>
  <c r="BN30" i="2"/>
  <c r="BN6" i="2"/>
  <c r="BN13" i="2"/>
  <c r="BN18" i="2"/>
  <c r="BN28" i="2"/>
  <c r="BN41" i="2"/>
  <c r="BN39" i="2"/>
  <c r="BN54" i="2"/>
  <c r="BN62" i="2"/>
  <c r="BN69" i="2"/>
  <c r="BN9" i="2"/>
  <c r="BN19" i="2"/>
  <c r="BN23" i="2"/>
  <c r="BN33" i="2"/>
  <c r="BN42" i="2"/>
  <c r="BN45" i="2"/>
  <c r="BN61" i="2"/>
  <c r="BN64" i="2"/>
  <c r="BN10" i="2"/>
  <c r="BN26" i="2"/>
  <c r="BN68" i="2"/>
  <c r="BN11" i="2"/>
  <c r="BN47" i="2"/>
  <c r="BN66" i="2"/>
  <c r="BN5" i="2"/>
  <c r="BN16" i="2"/>
  <c r="BN22" i="2"/>
  <c r="BN35" i="2"/>
  <c r="BN34" i="2"/>
  <c r="BN49" i="2"/>
  <c r="BN51" i="2"/>
  <c r="BN58" i="2"/>
  <c r="BL18" i="2"/>
  <c r="BL62" i="2"/>
  <c r="BL5" i="2"/>
  <c r="BL16" i="2"/>
  <c r="BL22" i="2"/>
  <c r="BL49" i="2"/>
  <c r="BL51" i="2"/>
  <c r="BL58" i="2"/>
  <c r="BL70" i="2"/>
  <c r="BL7" i="2"/>
  <c r="BL14" i="2"/>
  <c r="BL24" i="2"/>
  <c r="BL38" i="2"/>
  <c r="BL40" i="2"/>
  <c r="BL50" i="2"/>
  <c r="BL56" i="2"/>
  <c r="BL9" i="2"/>
  <c r="BL19" i="2"/>
  <c r="BL23" i="2"/>
  <c r="BL33" i="2"/>
  <c r="BL42" i="2"/>
  <c r="BL45" i="2"/>
  <c r="BL61" i="2"/>
  <c r="BL64" i="2"/>
  <c r="BL71" i="2"/>
  <c r="BL28" i="2"/>
  <c r="BL39" i="2"/>
  <c r="BL34" i="2"/>
  <c r="BL6" i="2"/>
  <c r="BL8" i="2"/>
  <c r="BL17" i="2"/>
  <c r="BL25" i="2"/>
  <c r="BL37" i="2"/>
  <c r="BL36" i="2"/>
  <c r="BL48" i="2"/>
  <c r="BL55" i="2"/>
  <c r="BL65" i="2"/>
  <c r="BL10" i="2"/>
  <c r="BL15" i="2"/>
  <c r="BL26" i="2"/>
  <c r="BL29" i="2"/>
  <c r="BL44" i="2"/>
  <c r="BL57" i="2"/>
  <c r="BL53" i="2"/>
  <c r="BL68" i="2"/>
  <c r="BL54" i="2"/>
  <c r="BL13" i="2"/>
  <c r="BL41" i="2"/>
  <c r="BL69" i="2"/>
  <c r="BL35" i="2"/>
  <c r="BL63" i="2"/>
  <c r="BL11" i="2"/>
  <c r="BL21" i="2"/>
  <c r="BL31" i="2"/>
  <c r="BL30" i="2"/>
  <c r="BL43" i="2"/>
  <c r="BL47" i="2"/>
  <c r="BL60" i="2"/>
  <c r="BL66" i="2"/>
  <c r="BL12" i="2"/>
  <c r="BL20" i="2"/>
  <c r="BL27" i="2"/>
  <c r="BL32" i="2"/>
  <c r="BL46" i="2"/>
  <c r="BL52" i="2"/>
  <c r="BL59" i="2"/>
  <c r="BK63" i="2"/>
  <c r="BK8" i="2"/>
  <c r="BK17" i="2"/>
  <c r="BK25" i="2"/>
  <c r="BK37" i="2"/>
  <c r="BK36" i="2"/>
  <c r="BK48" i="2"/>
  <c r="BK55" i="2"/>
  <c r="BK65" i="2"/>
  <c r="BK50" i="2"/>
  <c r="BK9" i="2"/>
  <c r="BK19" i="2"/>
  <c r="BK23" i="2"/>
  <c r="BK33" i="2"/>
  <c r="BK42" i="2"/>
  <c r="BK45" i="2"/>
  <c r="BK61" i="2"/>
  <c r="BK64" i="2"/>
  <c r="BK10" i="2"/>
  <c r="BK15" i="2"/>
  <c r="BK26" i="2"/>
  <c r="BK29" i="2"/>
  <c r="BK44" i="2"/>
  <c r="BK57" i="2"/>
  <c r="BK53" i="2"/>
  <c r="BK68" i="2"/>
  <c r="BK11" i="2"/>
  <c r="BK21" i="2"/>
  <c r="BK31" i="2"/>
  <c r="BK30" i="2"/>
  <c r="BK43" i="2"/>
  <c r="BK47" i="2"/>
  <c r="BK60" i="2"/>
  <c r="BK66" i="2"/>
  <c r="BK40" i="2"/>
  <c r="BK71" i="2"/>
  <c r="BK12" i="2"/>
  <c r="BK20" i="2"/>
  <c r="BK27" i="2"/>
  <c r="BK32" i="2"/>
  <c r="BK46" i="2"/>
  <c r="BK52" i="2"/>
  <c r="BK59" i="2"/>
  <c r="BK67" i="2"/>
  <c r="BK56" i="2"/>
  <c r="BK6" i="2"/>
  <c r="BK13" i="2"/>
  <c r="BK18" i="2"/>
  <c r="BK28" i="2"/>
  <c r="BK41" i="2"/>
  <c r="BK39" i="2"/>
  <c r="BK54" i="2"/>
  <c r="BK62" i="2"/>
  <c r="BK69" i="2"/>
  <c r="BK5" i="2"/>
  <c r="BK16" i="2"/>
  <c r="BK22" i="2"/>
  <c r="BK35" i="2"/>
  <c r="BK34" i="2"/>
  <c r="BK49" i="2"/>
  <c r="BK51" i="2"/>
  <c r="BK58" i="2"/>
  <c r="BJ10" i="2"/>
  <c r="BJ15" i="2"/>
  <c r="BJ26" i="2"/>
  <c r="BJ29" i="2"/>
  <c r="BJ44" i="2"/>
  <c r="BJ57" i="2"/>
  <c r="BJ53" i="2"/>
  <c r="BJ68" i="2"/>
  <c r="BJ71" i="2"/>
  <c r="BJ27" i="2"/>
  <c r="BJ32" i="2"/>
  <c r="BJ46" i="2"/>
  <c r="BJ52" i="2"/>
  <c r="BJ59" i="2"/>
  <c r="BJ67" i="2"/>
  <c r="BJ11" i="2"/>
  <c r="BJ31" i="2"/>
  <c r="BJ47" i="2"/>
  <c r="BJ6" i="2"/>
  <c r="BJ13" i="2"/>
  <c r="BJ18" i="2"/>
  <c r="BJ28" i="2"/>
  <c r="BJ41" i="2"/>
  <c r="BJ39" i="2"/>
  <c r="BJ54" i="2"/>
  <c r="BJ62" i="2"/>
  <c r="BJ69" i="2"/>
  <c r="BJ43" i="2"/>
  <c r="BJ60" i="2"/>
  <c r="BJ7" i="2"/>
  <c r="BJ14" i="2"/>
  <c r="BJ24" i="2"/>
  <c r="BJ38" i="2"/>
  <c r="BJ40" i="2"/>
  <c r="BJ50" i="2"/>
  <c r="BJ56" i="2"/>
  <c r="BJ63" i="2"/>
  <c r="BJ21" i="2"/>
  <c r="BJ30" i="2"/>
  <c r="BJ66" i="2"/>
  <c r="BJ20" i="2"/>
  <c r="BJ5" i="2"/>
  <c r="BJ22" i="2"/>
  <c r="BJ35" i="2"/>
  <c r="BJ49" i="2"/>
  <c r="BJ70" i="2"/>
  <c r="BJ8" i="2"/>
  <c r="BJ17" i="2"/>
  <c r="BJ25" i="2"/>
  <c r="BJ37" i="2"/>
  <c r="BJ36" i="2"/>
  <c r="BJ48" i="2"/>
  <c r="BJ55" i="2"/>
  <c r="BJ65" i="2"/>
  <c r="BJ12" i="2"/>
  <c r="BJ16" i="2"/>
  <c r="BJ34" i="2"/>
  <c r="BJ51" i="2"/>
  <c r="BJ58" i="2"/>
  <c r="BJ9" i="2"/>
  <c r="BJ19" i="2"/>
  <c r="BJ23" i="2"/>
  <c r="BJ33" i="2"/>
  <c r="BJ42" i="2"/>
  <c r="BJ45" i="2"/>
  <c r="BJ61" i="2"/>
  <c r="BI13" i="2"/>
  <c r="BI39" i="2"/>
  <c r="BI5" i="2"/>
  <c r="BI35" i="2"/>
  <c r="BI58" i="2"/>
  <c r="BI7" i="2"/>
  <c r="BI14" i="2"/>
  <c r="BI24" i="2"/>
  <c r="BI38" i="2"/>
  <c r="BI40" i="2"/>
  <c r="BI50" i="2"/>
  <c r="BI56" i="2"/>
  <c r="BI63" i="2"/>
  <c r="BI16" i="2"/>
  <c r="BI22" i="2"/>
  <c r="BI34" i="2"/>
  <c r="BI49" i="2"/>
  <c r="BI51" i="2"/>
  <c r="BI70" i="2"/>
  <c r="BI8" i="2"/>
  <c r="BI17" i="2"/>
  <c r="BI25" i="2"/>
  <c r="BI37" i="2"/>
  <c r="BI36" i="2"/>
  <c r="BI48" i="2"/>
  <c r="BI55" i="2"/>
  <c r="BI65" i="2"/>
  <c r="BI41" i="2"/>
  <c r="BI69" i="2"/>
  <c r="BI33" i="2"/>
  <c r="BI61" i="2"/>
  <c r="BI10" i="2"/>
  <c r="BI15" i="2"/>
  <c r="BI26" i="2"/>
  <c r="BI29" i="2"/>
  <c r="BI44" i="2"/>
  <c r="BI57" i="2"/>
  <c r="BI53" i="2"/>
  <c r="BI68" i="2"/>
  <c r="BI6" i="2"/>
  <c r="BI28" i="2"/>
  <c r="BI62" i="2"/>
  <c r="BI9" i="2"/>
  <c r="BI23" i="2"/>
  <c r="BI42" i="2"/>
  <c r="BI64" i="2"/>
  <c r="BI11" i="2"/>
  <c r="BI21" i="2"/>
  <c r="BI31" i="2"/>
  <c r="BI30" i="2"/>
  <c r="BI43" i="2"/>
  <c r="BI47" i="2"/>
  <c r="BI60" i="2"/>
  <c r="BI66" i="2"/>
  <c r="BI18" i="2"/>
  <c r="BI54" i="2"/>
  <c r="BI19" i="2"/>
  <c r="BI45" i="2"/>
  <c r="BI71" i="2"/>
  <c r="BI12" i="2"/>
  <c r="BI20" i="2"/>
  <c r="BI27" i="2"/>
  <c r="BI32" i="2"/>
  <c r="BI46" i="2"/>
  <c r="BI52" i="2"/>
  <c r="BI59" i="2"/>
  <c r="BH10" i="2"/>
  <c r="BH15" i="2"/>
  <c r="BH26" i="2"/>
  <c r="BH29" i="2"/>
  <c r="BH44" i="2"/>
  <c r="BH57" i="2"/>
  <c r="BH53" i="2"/>
  <c r="BH68" i="2"/>
  <c r="BH12" i="2"/>
  <c r="BH20" i="2"/>
  <c r="BH27" i="2"/>
  <c r="BH32" i="2"/>
  <c r="BH46" i="2"/>
  <c r="BH67" i="2"/>
  <c r="BH6" i="2"/>
  <c r="BH13" i="2"/>
  <c r="BH18" i="2"/>
  <c r="BH28" i="2"/>
  <c r="BH41" i="2"/>
  <c r="BH39" i="2"/>
  <c r="BH54" i="2"/>
  <c r="BH62" i="2"/>
  <c r="BH69" i="2"/>
  <c r="BH5" i="2"/>
  <c r="BH16" i="2"/>
  <c r="BH22" i="2"/>
  <c r="BH35" i="2"/>
  <c r="BH34" i="2"/>
  <c r="BH49" i="2"/>
  <c r="BH51" i="2"/>
  <c r="BH58" i="2"/>
  <c r="BG11" i="2"/>
  <c r="BG31" i="2"/>
  <c r="BG47" i="2"/>
  <c r="BG20" i="2"/>
  <c r="BG5" i="2"/>
  <c r="BG22" i="2"/>
  <c r="BG35" i="2"/>
  <c r="BG34" i="2"/>
  <c r="BG49" i="2"/>
  <c r="BG51" i="2"/>
  <c r="BG70" i="2"/>
  <c r="BG7" i="2"/>
  <c r="BG14" i="2"/>
  <c r="BG24" i="2"/>
  <c r="BG38" i="2"/>
  <c r="BG40" i="2"/>
  <c r="BG50" i="2"/>
  <c r="BG56" i="2"/>
  <c r="BG63" i="2"/>
  <c r="BG21" i="2"/>
  <c r="BG43" i="2"/>
  <c r="BG60" i="2"/>
  <c r="BG71" i="2"/>
  <c r="BG12" i="2"/>
  <c r="BG27" i="2"/>
  <c r="BG46" i="2"/>
  <c r="BG52" i="2"/>
  <c r="BG59" i="2"/>
  <c r="BG67" i="2"/>
  <c r="BG16" i="2"/>
  <c r="BG58" i="2"/>
  <c r="BG8" i="2"/>
  <c r="BG17" i="2"/>
  <c r="BG25" i="2"/>
  <c r="BG37" i="2"/>
  <c r="BG36" i="2"/>
  <c r="BG48" i="2"/>
  <c r="BG55" i="2"/>
  <c r="BG65" i="2"/>
  <c r="BG30" i="2"/>
  <c r="BG66" i="2"/>
  <c r="BG32" i="2"/>
  <c r="BG6" i="2"/>
  <c r="BG13" i="2"/>
  <c r="BG18" i="2"/>
  <c r="BG28" i="2"/>
  <c r="BG41" i="2"/>
  <c r="BG39" i="2"/>
  <c r="BG54" i="2"/>
  <c r="BG62" i="2"/>
  <c r="BG69" i="2"/>
  <c r="BG9" i="2"/>
  <c r="BG19" i="2"/>
  <c r="BG23" i="2"/>
  <c r="BG33" i="2"/>
  <c r="BG42" i="2"/>
  <c r="BG45" i="2"/>
  <c r="BG61" i="2"/>
  <c r="BG64" i="2"/>
  <c r="BG10" i="2"/>
  <c r="BG15" i="2"/>
  <c r="BG26" i="2"/>
  <c r="BG29" i="2"/>
  <c r="BG44" i="2"/>
  <c r="BG57" i="2"/>
  <c r="BG53" i="2"/>
  <c r="BE70" i="2"/>
  <c r="BE64" i="2"/>
  <c r="BE50" i="2"/>
  <c r="BE25" i="2"/>
  <c r="BE33" i="2"/>
  <c r="BE65" i="2"/>
  <c r="BE42" i="2"/>
  <c r="BE24" i="2"/>
  <c r="BE14" i="2"/>
  <c r="BE63" i="2"/>
  <c r="BE36" i="2"/>
  <c r="BE19" i="2"/>
  <c r="BE61" i="2"/>
  <c r="BE40" i="2"/>
  <c r="BE17" i="2"/>
  <c r="BE55" i="2"/>
  <c r="BE56" i="2"/>
  <c r="BE37" i="2"/>
  <c r="BE9" i="2"/>
  <c r="BE45" i="2"/>
  <c r="BE38" i="2"/>
  <c r="BE48" i="2"/>
  <c r="BE23" i="2"/>
  <c r="BE7" i="2"/>
  <c r="BE8" i="2"/>
  <c r="BF67" i="2"/>
  <c r="BF59" i="2"/>
  <c r="BF52" i="2"/>
  <c r="BF46" i="2"/>
  <c r="BF32" i="2"/>
  <c r="BF27" i="2"/>
  <c r="BF20" i="2"/>
  <c r="BF12" i="2"/>
  <c r="BF50" i="2"/>
  <c r="BF58" i="2"/>
  <c r="BF35" i="2"/>
  <c r="BF54" i="2"/>
  <c r="BF41" i="2"/>
  <c r="BF18" i="2"/>
  <c r="BF66" i="2"/>
  <c r="BF60" i="2"/>
  <c r="BF47" i="2"/>
  <c r="BF43" i="2"/>
  <c r="BF30" i="2"/>
  <c r="BF31" i="2"/>
  <c r="BF21" i="2"/>
  <c r="BF11" i="2"/>
  <c r="BF26" i="2"/>
  <c r="BF6" i="2"/>
  <c r="BF38" i="2"/>
  <c r="BF14" i="2"/>
  <c r="BF49" i="2"/>
  <c r="BF16" i="2"/>
  <c r="BF68" i="2"/>
  <c r="BF53" i="2"/>
  <c r="BF57" i="2"/>
  <c r="BF44" i="2"/>
  <c r="BF29" i="2"/>
  <c r="BF15" i="2"/>
  <c r="BF10" i="2"/>
  <c r="BF8" i="2"/>
  <c r="BF56" i="2"/>
  <c r="BF51" i="2"/>
  <c r="BF34" i="2"/>
  <c r="BF5" i="2"/>
  <c r="BF62" i="2"/>
  <c r="BF39" i="2"/>
  <c r="BF13" i="2"/>
  <c r="BF64" i="2"/>
  <c r="BF61" i="2"/>
  <c r="BF45" i="2"/>
  <c r="BF42" i="2"/>
  <c r="BF33" i="2"/>
  <c r="BF23" i="2"/>
  <c r="BF19" i="2"/>
  <c r="BF9" i="2"/>
  <c r="BF65" i="2"/>
  <c r="BF55" i="2"/>
  <c r="BF48" i="2"/>
  <c r="BF36" i="2"/>
  <c r="BF37" i="2"/>
  <c r="BF25" i="2"/>
  <c r="BF17" i="2"/>
  <c r="BF63" i="2"/>
  <c r="BF40" i="2"/>
  <c r="BF24" i="2"/>
  <c r="BF7" i="2"/>
  <c r="BF70" i="2"/>
  <c r="BF22" i="2"/>
  <c r="BF69" i="2"/>
  <c r="BF28" i="2"/>
  <c r="BF71" i="2"/>
  <c r="BE57" i="2"/>
  <c r="BE11" i="2"/>
  <c r="BE21" i="2"/>
  <c r="BE31" i="2"/>
  <c r="BE30" i="2"/>
  <c r="BE43" i="2"/>
  <c r="BE47" i="2"/>
  <c r="BE60" i="2"/>
  <c r="BE66" i="2"/>
  <c r="BE71" i="2"/>
  <c r="BE12" i="2"/>
  <c r="BE20" i="2"/>
  <c r="BE27" i="2"/>
  <c r="BE32" i="2"/>
  <c r="BE46" i="2"/>
  <c r="BE52" i="2"/>
  <c r="BE59" i="2"/>
  <c r="BE67" i="2"/>
  <c r="BE15" i="2"/>
  <c r="BE13" i="2"/>
  <c r="BE10" i="2"/>
  <c r="BE26" i="2"/>
  <c r="BE29" i="2"/>
  <c r="BE44" i="2"/>
  <c r="BE53" i="2"/>
  <c r="BE68" i="2"/>
  <c r="BE6" i="2"/>
  <c r="BE18" i="2"/>
  <c r="BE28" i="2"/>
  <c r="BE41" i="2"/>
  <c r="BE39" i="2"/>
  <c r="BE54" i="2"/>
  <c r="BE62" i="2"/>
  <c r="BE69" i="2"/>
  <c r="BE5" i="2"/>
  <c r="BE16" i="2"/>
  <c r="BE22" i="2"/>
  <c r="BE35" i="2"/>
  <c r="BE34" i="2"/>
  <c r="BE49" i="2"/>
  <c r="BE51" i="2"/>
  <c r="BE58" i="2"/>
  <c r="BD7" i="2"/>
  <c r="BD14" i="2"/>
  <c r="BD24" i="2"/>
  <c r="BD38" i="2"/>
  <c r="BD40" i="2"/>
  <c r="BD50" i="2"/>
  <c r="BD56" i="2"/>
  <c r="BD63" i="2"/>
  <c r="BD9" i="2"/>
  <c r="BD19" i="2"/>
  <c r="BD23" i="2"/>
  <c r="BD33" i="2"/>
  <c r="BD42" i="2"/>
  <c r="BD45" i="2"/>
  <c r="BD61" i="2"/>
  <c r="BC10" i="2"/>
  <c r="BC15" i="2"/>
  <c r="BC26" i="2"/>
  <c r="BC29" i="2"/>
  <c r="BC44" i="2"/>
  <c r="BC57" i="2"/>
  <c r="BC53" i="2"/>
  <c r="BC68" i="2"/>
  <c r="BC71" i="2"/>
  <c r="BC12" i="2"/>
  <c r="BC20" i="2"/>
  <c r="BC27" i="2"/>
  <c r="BC32" i="2"/>
  <c r="BC46" i="2"/>
  <c r="BC52" i="2"/>
  <c r="BC59" i="2"/>
  <c r="BB63" i="2"/>
  <c r="BB56" i="2"/>
  <c r="BB50" i="2"/>
  <c r="BB40" i="2"/>
  <c r="BB38" i="2"/>
  <c r="BB24" i="2"/>
  <c r="BB14" i="2"/>
  <c r="BB7" i="2"/>
  <c r="BB58" i="2"/>
  <c r="BB51" i="2"/>
  <c r="BB49" i="2"/>
  <c r="BB34" i="2"/>
  <c r="BB35" i="2"/>
  <c r="BB22" i="2"/>
  <c r="BB16" i="2"/>
  <c r="BB5" i="2"/>
  <c r="BB52" i="2"/>
  <c r="BB20" i="2"/>
  <c r="BB71" i="2"/>
  <c r="BB60" i="2"/>
  <c r="BB30" i="2"/>
  <c r="BB21" i="2"/>
  <c r="BB53" i="2"/>
  <c r="BB29" i="2"/>
  <c r="BB15" i="2"/>
  <c r="BB10" i="2"/>
  <c r="BB61" i="2"/>
  <c r="BB23" i="2"/>
  <c r="BB70" i="2"/>
  <c r="BB43" i="2"/>
  <c r="BB57" i="2"/>
  <c r="BB44" i="2"/>
  <c r="BB26" i="2"/>
  <c r="BB45" i="2"/>
  <c r="BB33" i="2"/>
  <c r="BB9" i="2"/>
  <c r="BB69" i="2"/>
  <c r="BB62" i="2"/>
  <c r="BB54" i="2"/>
  <c r="BB39" i="2"/>
  <c r="BB41" i="2"/>
  <c r="BB28" i="2"/>
  <c r="BB18" i="2"/>
  <c r="BB13" i="2"/>
  <c r="BB6" i="2"/>
  <c r="BB67" i="2"/>
  <c r="BB59" i="2"/>
  <c r="BB46" i="2"/>
  <c r="BB32" i="2"/>
  <c r="BB27" i="2"/>
  <c r="BB12" i="2"/>
  <c r="BB47" i="2"/>
  <c r="BB31" i="2"/>
  <c r="BB11" i="2"/>
  <c r="BB66" i="2"/>
  <c r="BB64" i="2"/>
  <c r="BB42" i="2"/>
  <c r="BB19" i="2"/>
  <c r="BB68" i="2"/>
  <c r="BB65" i="2"/>
  <c r="BB55" i="2"/>
  <c r="BB48" i="2"/>
  <c r="BB36" i="2"/>
  <c r="BB37" i="2"/>
  <c r="BB25" i="2"/>
  <c r="BB17" i="2"/>
  <c r="BB8" i="2"/>
  <c r="BA14" i="2"/>
  <c r="BA24" i="2"/>
  <c r="BA38" i="2"/>
  <c r="BA40" i="2"/>
  <c r="BA50" i="2"/>
  <c r="BA63" i="2"/>
  <c r="BA8" i="2"/>
  <c r="BA17" i="2"/>
  <c r="BA25" i="2"/>
  <c r="BA37" i="2"/>
  <c r="BA36" i="2"/>
  <c r="BA48" i="2"/>
  <c r="BA55" i="2"/>
  <c r="BA65" i="2"/>
  <c r="BA64" i="2"/>
  <c r="BA7" i="2"/>
  <c r="BA56" i="2"/>
  <c r="BA9" i="2"/>
  <c r="BA19" i="2"/>
  <c r="BA23" i="2"/>
  <c r="BA33" i="2"/>
  <c r="BA42" i="2"/>
  <c r="BA45" i="2"/>
  <c r="BA61" i="2"/>
  <c r="BA10" i="2"/>
  <c r="BA15" i="2"/>
  <c r="BA26" i="2"/>
  <c r="BA29" i="2"/>
  <c r="BA44" i="2"/>
  <c r="BA57" i="2"/>
  <c r="BA53" i="2"/>
  <c r="AZ11" i="2"/>
  <c r="AZ21" i="2"/>
  <c r="AZ31" i="2"/>
  <c r="AZ30" i="2"/>
  <c r="AZ43" i="2"/>
  <c r="AZ47" i="2"/>
  <c r="AZ60" i="2"/>
  <c r="AZ66" i="2"/>
  <c r="AZ6" i="2"/>
  <c r="AZ13" i="2"/>
  <c r="AZ18" i="2"/>
  <c r="AZ28" i="2"/>
  <c r="AZ41" i="2"/>
  <c r="AZ39" i="2"/>
  <c r="AZ54" i="2"/>
  <c r="AZ62" i="2"/>
  <c r="AY5" i="2"/>
  <c r="AY16" i="2"/>
  <c r="AY22" i="2"/>
  <c r="AY35" i="2"/>
  <c r="AY34" i="2"/>
  <c r="AY49" i="2"/>
  <c r="AY51" i="2"/>
  <c r="AY58" i="2"/>
  <c r="AY70" i="2"/>
  <c r="AY8" i="2"/>
  <c r="AY17" i="2"/>
  <c r="AY25" i="2"/>
  <c r="AY37" i="2"/>
  <c r="AY36" i="2"/>
  <c r="AY48" i="2"/>
  <c r="AY55" i="2"/>
  <c r="AX66" i="2"/>
  <c r="AX60" i="2"/>
  <c r="AX47" i="2"/>
  <c r="AX43" i="2"/>
  <c r="AX30" i="2"/>
  <c r="AX31" i="2"/>
  <c r="AX21" i="2"/>
  <c r="AX11" i="2"/>
  <c r="AX68" i="2"/>
  <c r="AX57" i="2"/>
  <c r="AX44" i="2"/>
  <c r="AX29" i="2"/>
  <c r="AX26" i="2"/>
  <c r="AX15" i="2"/>
  <c r="AX10" i="2"/>
  <c r="AX50" i="2"/>
  <c r="AX40" i="2"/>
  <c r="AX24" i="2"/>
  <c r="AX7" i="2"/>
  <c r="AX49" i="2"/>
  <c r="AX22" i="2"/>
  <c r="AX5" i="2"/>
  <c r="AX62" i="2"/>
  <c r="AX39" i="2"/>
  <c r="AX13" i="2"/>
  <c r="AX53" i="2"/>
  <c r="AX18" i="2"/>
  <c r="AX64" i="2"/>
  <c r="AX61" i="2"/>
  <c r="AX45" i="2"/>
  <c r="AX42" i="2"/>
  <c r="AX33" i="2"/>
  <c r="AX23" i="2"/>
  <c r="AX19" i="2"/>
  <c r="AX9" i="2"/>
  <c r="AX65" i="2"/>
  <c r="AX55" i="2"/>
  <c r="AX48" i="2"/>
  <c r="AX36" i="2"/>
  <c r="AX37" i="2"/>
  <c r="AX25" i="2"/>
  <c r="AX17" i="2"/>
  <c r="AX8" i="2"/>
  <c r="AX56" i="2"/>
  <c r="AX38" i="2"/>
  <c r="AX14" i="2"/>
  <c r="AX69" i="2"/>
  <c r="AX41" i="2"/>
  <c r="AX6" i="2"/>
  <c r="AX63" i="2"/>
  <c r="AX28" i="2"/>
  <c r="AX70" i="2"/>
  <c r="AX58" i="2"/>
  <c r="AX51" i="2"/>
  <c r="AX34" i="2"/>
  <c r="AX35" i="2"/>
  <c r="AX16" i="2"/>
  <c r="AX54" i="2"/>
  <c r="AX67" i="2"/>
  <c r="AX59" i="2"/>
  <c r="AX52" i="2"/>
  <c r="AX46" i="2"/>
  <c r="AX32" i="2"/>
  <c r="AX27" i="2"/>
  <c r="AX20" i="2"/>
  <c r="AX12" i="2"/>
  <c r="AX71" i="2"/>
  <c r="AW23" i="2"/>
  <c r="AW33" i="2"/>
  <c r="AW61" i="2"/>
  <c r="AW53" i="2"/>
  <c r="AW19" i="2"/>
  <c r="AW45" i="2"/>
  <c r="AW10" i="2"/>
  <c r="AW26" i="2"/>
  <c r="AW44" i="2"/>
  <c r="AW68" i="2"/>
  <c r="AW11" i="2"/>
  <c r="AW21" i="2"/>
  <c r="AW31" i="2"/>
  <c r="AW30" i="2"/>
  <c r="AW43" i="2"/>
  <c r="AW47" i="2"/>
  <c r="AW60" i="2"/>
  <c r="AW66" i="2"/>
  <c r="AW71" i="2"/>
  <c r="AW12" i="2"/>
  <c r="AW20" i="2"/>
  <c r="AW27" i="2"/>
  <c r="AW32" i="2"/>
  <c r="AW46" i="2"/>
  <c r="AW52" i="2"/>
  <c r="AW59" i="2"/>
  <c r="AW67" i="2"/>
  <c r="AW9" i="2"/>
  <c r="AW42" i="2"/>
  <c r="AW39" i="2"/>
  <c r="AW15" i="2"/>
  <c r="AW29" i="2"/>
  <c r="AW57" i="2"/>
  <c r="AW6" i="2"/>
  <c r="AW13" i="2"/>
  <c r="AW18" i="2"/>
  <c r="AW28" i="2"/>
  <c r="AW41" i="2"/>
  <c r="AW54" i="2"/>
  <c r="AW62" i="2"/>
  <c r="AW69" i="2"/>
  <c r="AW5" i="2"/>
  <c r="AW16" i="2"/>
  <c r="AW22" i="2"/>
  <c r="AW35" i="2"/>
  <c r="AW34" i="2"/>
  <c r="AW49" i="2"/>
  <c r="AW51" i="2"/>
  <c r="AW58" i="2"/>
  <c r="AV60" i="2"/>
  <c r="AV52" i="2"/>
  <c r="AV39" i="2"/>
  <c r="AV10" i="2"/>
  <c r="AV15" i="2"/>
  <c r="AV26" i="2"/>
  <c r="AV29" i="2"/>
  <c r="AV44" i="2"/>
  <c r="AV57" i="2"/>
  <c r="AV53" i="2"/>
  <c r="AV68" i="2"/>
  <c r="AV31" i="2"/>
  <c r="AV67" i="2"/>
  <c r="AV30" i="2"/>
  <c r="AV27" i="2"/>
  <c r="AV32" i="2"/>
  <c r="AV59" i="2"/>
  <c r="AV69" i="2"/>
  <c r="AV21" i="2"/>
  <c r="AV66" i="2"/>
  <c r="AV20" i="2"/>
  <c r="AV13" i="2"/>
  <c r="AV28" i="2"/>
  <c r="AV62" i="2"/>
  <c r="AV16" i="2"/>
  <c r="AV35" i="2"/>
  <c r="AV49" i="2"/>
  <c r="AV70" i="2"/>
  <c r="AV7" i="2"/>
  <c r="AV14" i="2"/>
  <c r="AV24" i="2"/>
  <c r="AV38" i="2"/>
  <c r="AV40" i="2"/>
  <c r="AV50" i="2"/>
  <c r="AV56" i="2"/>
  <c r="AV63" i="2"/>
  <c r="AV47" i="2"/>
  <c r="AV71" i="2"/>
  <c r="AV46" i="2"/>
  <c r="AV41" i="2"/>
  <c r="AV65" i="2"/>
  <c r="AV11" i="2"/>
  <c r="AV43" i="2"/>
  <c r="AV12" i="2"/>
  <c r="AV6" i="2"/>
  <c r="AV18" i="2"/>
  <c r="AV54" i="2"/>
  <c r="AV5" i="2"/>
  <c r="AV22" i="2"/>
  <c r="AV34" i="2"/>
  <c r="AV51" i="2"/>
  <c r="AV58" i="2"/>
  <c r="AV8" i="2"/>
  <c r="AV17" i="2"/>
  <c r="AV25" i="2"/>
  <c r="AV37" i="2"/>
  <c r="AV36" i="2"/>
  <c r="AV48" i="2"/>
  <c r="AV55" i="2"/>
  <c r="AV9" i="2"/>
  <c r="AV19" i="2"/>
  <c r="AV23" i="2"/>
  <c r="AV33" i="2"/>
  <c r="AV42" i="2"/>
  <c r="AV45" i="2"/>
  <c r="AV61" i="2"/>
  <c r="AU6" i="2"/>
  <c r="AU13" i="2"/>
  <c r="AU18" i="2"/>
  <c r="AU28" i="2"/>
  <c r="AU41" i="2"/>
  <c r="AU39" i="2"/>
  <c r="AU54" i="2"/>
  <c r="AU62" i="2"/>
  <c r="AU69" i="2"/>
  <c r="AU7" i="2"/>
  <c r="AU14" i="2"/>
  <c r="AU24" i="2"/>
  <c r="AU38" i="2"/>
  <c r="AU40" i="2"/>
  <c r="AU50" i="2"/>
  <c r="AU56" i="2"/>
  <c r="AU63" i="2"/>
  <c r="AU65" i="2"/>
  <c r="AU8" i="2"/>
  <c r="AU37" i="2"/>
  <c r="AU48" i="2"/>
  <c r="AU9" i="2"/>
  <c r="AU19" i="2"/>
  <c r="AU23" i="2"/>
  <c r="AU33" i="2"/>
  <c r="AU42" i="2"/>
  <c r="AU45" i="2"/>
  <c r="AU61" i="2"/>
  <c r="AU64" i="2"/>
  <c r="AU10" i="2"/>
  <c r="AU15" i="2"/>
  <c r="AU26" i="2"/>
  <c r="AU29" i="2"/>
  <c r="AU44" i="2"/>
  <c r="AU57" i="2"/>
  <c r="AU53" i="2"/>
  <c r="AU68" i="2"/>
  <c r="AU25" i="2"/>
  <c r="AU60" i="2"/>
  <c r="AU17" i="2"/>
  <c r="AU36" i="2"/>
  <c r="AU55" i="2"/>
  <c r="AU11" i="2"/>
  <c r="AU21" i="2"/>
  <c r="AU31" i="2"/>
  <c r="AU30" i="2"/>
  <c r="AU43" i="2"/>
  <c r="AU47" i="2"/>
  <c r="AU66" i="2"/>
  <c r="AU71" i="2"/>
  <c r="AU12" i="2"/>
  <c r="AU20" i="2"/>
  <c r="AU27" i="2"/>
  <c r="AU32" i="2"/>
  <c r="AU46" i="2"/>
  <c r="AU52" i="2"/>
  <c r="AU59" i="2"/>
  <c r="AT63" i="2"/>
  <c r="AT56" i="2"/>
  <c r="AT50" i="2"/>
  <c r="AT40" i="2"/>
  <c r="AT38" i="2"/>
  <c r="AT24" i="2"/>
  <c r="AT14" i="2"/>
  <c r="AT7" i="2"/>
  <c r="AT70" i="2"/>
  <c r="AT58" i="2"/>
  <c r="AT51" i="2"/>
  <c r="AT49" i="2"/>
  <c r="AT34" i="2"/>
  <c r="AT35" i="2"/>
  <c r="AT22" i="2"/>
  <c r="AT16" i="2"/>
  <c r="AT5" i="2"/>
  <c r="AT64" i="2"/>
  <c r="AT29" i="2"/>
  <c r="AT61" i="2"/>
  <c r="AT19" i="2"/>
  <c r="AT55" i="2"/>
  <c r="AT17" i="2"/>
  <c r="AT69" i="2"/>
  <c r="AT62" i="2"/>
  <c r="AT54" i="2"/>
  <c r="AT39" i="2"/>
  <c r="AT41" i="2"/>
  <c r="AT28" i="2"/>
  <c r="AT18" i="2"/>
  <c r="AT13" i="2"/>
  <c r="AT6" i="2"/>
  <c r="AT66" i="2"/>
  <c r="AT47" i="2"/>
  <c r="AT43" i="2"/>
  <c r="AT31" i="2"/>
  <c r="AT11" i="2"/>
  <c r="AT53" i="2"/>
  <c r="AT44" i="2"/>
  <c r="AT26" i="2"/>
  <c r="AT10" i="2"/>
  <c r="AT67" i="2"/>
  <c r="AT59" i="2"/>
  <c r="AT52" i="2"/>
  <c r="AT46" i="2"/>
  <c r="AT32" i="2"/>
  <c r="AT27" i="2"/>
  <c r="AT20" i="2"/>
  <c r="AT12" i="2"/>
  <c r="AT71" i="2"/>
  <c r="AT60" i="2"/>
  <c r="AT30" i="2"/>
  <c r="AT21" i="2"/>
  <c r="AT57" i="2"/>
  <c r="AT15" i="2"/>
  <c r="AT42" i="2"/>
  <c r="AT33" i="2"/>
  <c r="AT9" i="2"/>
  <c r="AT37" i="2"/>
  <c r="AT8" i="2"/>
  <c r="AT36" i="2"/>
  <c r="AT68" i="2"/>
  <c r="AT45" i="2"/>
  <c r="AT23" i="2"/>
  <c r="AT48" i="2"/>
  <c r="AT25" i="2"/>
  <c r="AT65" i="2"/>
  <c r="AS68" i="2"/>
  <c r="AS53" i="2"/>
  <c r="AS57" i="2"/>
  <c r="AS44" i="2"/>
  <c r="AS29" i="2"/>
  <c r="AS26" i="2"/>
  <c r="AS15" i="2"/>
  <c r="AS10" i="2"/>
  <c r="AS64" i="2"/>
  <c r="AS61" i="2"/>
  <c r="AS45" i="2"/>
  <c r="AS42" i="2"/>
  <c r="AS33" i="2"/>
  <c r="AS23" i="2"/>
  <c r="AS19" i="2"/>
  <c r="AS9" i="2"/>
  <c r="AS54" i="2"/>
  <c r="AS18" i="2"/>
  <c r="AS6" i="2"/>
  <c r="AS67" i="2"/>
  <c r="AS52" i="2"/>
  <c r="AS32" i="2"/>
  <c r="AS12" i="2"/>
  <c r="AS60" i="2"/>
  <c r="AS43" i="2"/>
  <c r="AS31" i="2"/>
  <c r="AS11" i="2"/>
  <c r="AS65" i="2"/>
  <c r="AS55" i="2"/>
  <c r="AS48" i="2"/>
  <c r="AS36" i="2"/>
  <c r="AS37" i="2"/>
  <c r="AS25" i="2"/>
  <c r="AS17" i="2"/>
  <c r="AS8" i="2"/>
  <c r="AS56" i="2"/>
  <c r="AS50" i="2"/>
  <c r="AS40" i="2"/>
  <c r="AS38" i="2"/>
  <c r="AS24" i="2"/>
  <c r="AS14" i="2"/>
  <c r="AS7" i="2"/>
  <c r="AS41" i="2"/>
  <c r="AS20" i="2"/>
  <c r="AS63" i="2"/>
  <c r="AS69" i="2"/>
  <c r="AS62" i="2"/>
  <c r="AS28" i="2"/>
  <c r="AS13" i="2"/>
  <c r="AS59" i="2"/>
  <c r="AS46" i="2"/>
  <c r="AS27" i="2"/>
  <c r="AS71" i="2"/>
  <c r="AS66" i="2"/>
  <c r="AS47" i="2"/>
  <c r="AS30" i="2"/>
  <c r="AS21" i="2"/>
  <c r="AS70" i="2"/>
  <c r="AS58" i="2"/>
  <c r="AS51" i="2"/>
  <c r="AS49" i="2"/>
  <c r="AS34" i="2"/>
  <c r="AS35" i="2"/>
  <c r="AS22" i="2"/>
  <c r="AS16" i="2"/>
  <c r="AS5" i="2"/>
  <c r="AS39" i="2"/>
  <c r="AR8" i="2"/>
  <c r="AR17" i="2"/>
  <c r="AR25" i="2"/>
  <c r="AR37" i="2"/>
  <c r="AR36" i="2"/>
  <c r="AR48" i="2"/>
  <c r="AR55" i="2"/>
  <c r="AR65" i="2"/>
  <c r="AR9" i="2"/>
  <c r="AR33" i="2"/>
  <c r="AR45" i="2"/>
  <c r="AR64" i="2"/>
  <c r="AR10" i="2"/>
  <c r="AR15" i="2"/>
  <c r="AR26" i="2"/>
  <c r="AR29" i="2"/>
  <c r="AR44" i="2"/>
  <c r="AR57" i="2"/>
  <c r="AR53" i="2"/>
  <c r="AR11" i="2"/>
  <c r="AR21" i="2"/>
  <c r="AR31" i="2"/>
  <c r="AR30" i="2"/>
  <c r="AR43" i="2"/>
  <c r="AR47" i="2"/>
  <c r="AR60" i="2"/>
  <c r="AR66" i="2"/>
  <c r="AR23" i="2"/>
  <c r="AR42" i="2"/>
  <c r="AR61" i="2"/>
  <c r="AR68" i="2"/>
  <c r="AR67" i="2"/>
  <c r="AR71" i="2"/>
  <c r="AR12" i="2"/>
  <c r="AR20" i="2"/>
  <c r="AR27" i="2"/>
  <c r="AR32" i="2"/>
  <c r="AR46" i="2"/>
  <c r="AR52" i="2"/>
  <c r="AR59" i="2"/>
  <c r="AR6" i="2"/>
  <c r="AR13" i="2"/>
  <c r="AR18" i="2"/>
  <c r="AR28" i="2"/>
  <c r="AR41" i="2"/>
  <c r="AR39" i="2"/>
  <c r="AR54" i="2"/>
  <c r="AR62" i="2"/>
  <c r="AP65" i="2"/>
  <c r="AP55" i="2"/>
  <c r="AP48" i="2"/>
  <c r="AP36" i="2"/>
  <c r="AP37" i="2"/>
  <c r="AP25" i="2"/>
  <c r="AP17" i="2"/>
  <c r="AP8" i="2"/>
  <c r="AP63" i="2"/>
  <c r="AP50" i="2"/>
  <c r="AP40" i="2"/>
  <c r="AP38" i="2"/>
  <c r="AP24" i="2"/>
  <c r="AP14" i="2"/>
  <c r="AP7" i="2"/>
  <c r="AP67" i="2"/>
  <c r="AP46" i="2"/>
  <c r="AP27" i="2"/>
  <c r="AP12" i="2"/>
  <c r="AP57" i="2"/>
  <c r="AP15" i="2"/>
  <c r="AP45" i="2"/>
  <c r="AP19" i="2"/>
  <c r="AP56" i="2"/>
  <c r="AP29" i="2"/>
  <c r="AP23" i="2"/>
  <c r="AP70" i="2"/>
  <c r="AP58" i="2"/>
  <c r="AP51" i="2"/>
  <c r="AP49" i="2"/>
  <c r="AP34" i="2"/>
  <c r="AP35" i="2"/>
  <c r="AP22" i="2"/>
  <c r="AP16" i="2"/>
  <c r="AP5" i="2"/>
  <c r="AP62" i="2"/>
  <c r="AP52" i="2"/>
  <c r="AP53" i="2"/>
  <c r="AP10" i="2"/>
  <c r="AP61" i="2"/>
  <c r="AP69" i="2"/>
  <c r="AP54" i="2"/>
  <c r="AP39" i="2"/>
  <c r="AP41" i="2"/>
  <c r="AP28" i="2"/>
  <c r="AP18" i="2"/>
  <c r="AP13" i="2"/>
  <c r="AP6" i="2"/>
  <c r="AP59" i="2"/>
  <c r="AP32" i="2"/>
  <c r="AP20" i="2"/>
  <c r="AP71" i="2"/>
  <c r="AP68" i="2"/>
  <c r="AP26" i="2"/>
  <c r="AP42" i="2"/>
  <c r="AP9" i="2"/>
  <c r="AP66" i="2"/>
  <c r="AP60" i="2"/>
  <c r="AP47" i="2"/>
  <c r="AP43" i="2"/>
  <c r="AP30" i="2"/>
  <c r="AP31" i="2"/>
  <c r="AP21" i="2"/>
  <c r="AP11" i="2"/>
  <c r="AP44" i="2"/>
  <c r="AP33" i="2"/>
  <c r="AP64" i="2"/>
  <c r="AO71" i="2"/>
  <c r="AO12" i="2"/>
  <c r="AO20" i="2"/>
  <c r="AO27" i="2"/>
  <c r="AO32" i="2"/>
  <c r="AO46" i="2"/>
  <c r="AO52" i="2"/>
  <c r="AO59" i="2"/>
  <c r="AO67" i="2"/>
  <c r="AO5" i="2"/>
  <c r="AO22" i="2"/>
  <c r="AO35" i="2"/>
  <c r="AO34" i="2"/>
  <c r="AO51" i="2"/>
  <c r="AO58" i="2"/>
  <c r="AO70" i="2"/>
  <c r="AO16" i="2"/>
  <c r="AO49" i="2"/>
  <c r="AO7" i="2"/>
  <c r="AO14" i="2"/>
  <c r="AO24" i="2"/>
  <c r="AO38" i="2"/>
  <c r="AO40" i="2"/>
  <c r="AO50" i="2"/>
  <c r="AO56" i="2"/>
  <c r="AO63" i="2"/>
  <c r="AO8" i="2"/>
  <c r="AO25" i="2"/>
  <c r="AO55" i="2"/>
  <c r="AO9" i="2"/>
  <c r="AO19" i="2"/>
  <c r="AO23" i="2"/>
  <c r="AO33" i="2"/>
  <c r="AO42" i="2"/>
  <c r="AO45" i="2"/>
  <c r="AO61" i="2"/>
  <c r="AO64" i="2"/>
  <c r="AO17" i="2"/>
  <c r="AO36" i="2"/>
  <c r="AO65" i="2"/>
  <c r="AO10" i="2"/>
  <c r="AO15" i="2"/>
  <c r="AO26" i="2"/>
  <c r="AO29" i="2"/>
  <c r="AO44" i="2"/>
  <c r="AO57" i="2"/>
  <c r="AO53" i="2"/>
  <c r="AO68" i="2"/>
  <c r="AO11" i="2"/>
  <c r="AO21" i="2"/>
  <c r="AO31" i="2"/>
  <c r="AO30" i="2"/>
  <c r="AO43" i="2"/>
  <c r="AO47" i="2"/>
  <c r="AO60" i="2"/>
  <c r="AN38" i="2"/>
  <c r="AN6" i="2"/>
  <c r="AN13" i="2"/>
  <c r="AN18" i="2"/>
  <c r="AN28" i="2"/>
  <c r="AN41" i="2"/>
  <c r="AN39" i="2"/>
  <c r="AN54" i="2"/>
  <c r="AN62" i="2"/>
  <c r="AN24" i="2"/>
  <c r="AN63" i="2"/>
  <c r="AN56" i="2"/>
  <c r="AN8" i="2"/>
  <c r="AN17" i="2"/>
  <c r="AN25" i="2"/>
  <c r="AN37" i="2"/>
  <c r="AN36" i="2"/>
  <c r="AN48" i="2"/>
  <c r="AN55" i="2"/>
  <c r="AN65" i="2"/>
  <c r="AN16" i="2"/>
  <c r="AN49" i="2"/>
  <c r="AN51" i="2"/>
  <c r="AN14" i="2"/>
  <c r="AN40" i="2"/>
  <c r="AN19" i="2"/>
  <c r="AN42" i="2"/>
  <c r="AN61" i="2"/>
  <c r="AN71" i="2"/>
  <c r="AN10" i="2"/>
  <c r="AN15" i="2"/>
  <c r="AN26" i="2"/>
  <c r="AN29" i="2"/>
  <c r="AN44" i="2"/>
  <c r="AN57" i="2"/>
  <c r="AN53" i="2"/>
  <c r="AN68" i="2"/>
  <c r="AN5" i="2"/>
  <c r="AN34" i="2"/>
  <c r="AN58" i="2"/>
  <c r="AN7" i="2"/>
  <c r="AN50" i="2"/>
  <c r="AN9" i="2"/>
  <c r="AN23" i="2"/>
  <c r="AN45" i="2"/>
  <c r="AN64" i="2"/>
  <c r="AN69" i="2"/>
  <c r="AN11" i="2"/>
  <c r="AN21" i="2"/>
  <c r="AN31" i="2"/>
  <c r="AN30" i="2"/>
  <c r="AN43" i="2"/>
  <c r="AN47" i="2"/>
  <c r="AN60" i="2"/>
  <c r="AN66" i="2"/>
  <c r="AN33" i="2"/>
  <c r="AN70" i="2"/>
  <c r="AN12" i="2"/>
  <c r="AN20" i="2"/>
  <c r="AN27" i="2"/>
  <c r="AN32" i="2"/>
  <c r="AN46" i="2"/>
  <c r="AN52" i="2"/>
  <c r="AN59" i="2"/>
  <c r="AM6" i="2"/>
  <c r="AM13" i="2"/>
  <c r="AM18" i="2"/>
  <c r="AM28" i="2"/>
  <c r="AM41" i="2"/>
  <c r="AM39" i="2"/>
  <c r="AM54" i="2"/>
  <c r="AM62" i="2"/>
  <c r="AM69" i="2"/>
  <c r="AM19" i="2"/>
  <c r="AM42" i="2"/>
  <c r="AM61" i="2"/>
  <c r="AM10" i="2"/>
  <c r="AM53" i="2"/>
  <c r="AM21" i="2"/>
  <c r="AM47" i="2"/>
  <c r="AM12" i="2"/>
  <c r="AM68" i="2"/>
  <c r="AM5" i="2"/>
  <c r="AM16" i="2"/>
  <c r="AM22" i="2"/>
  <c r="AM35" i="2"/>
  <c r="AM34" i="2"/>
  <c r="AM49" i="2"/>
  <c r="AM51" i="2"/>
  <c r="AM58" i="2"/>
  <c r="AM70" i="2"/>
  <c r="AM33" i="2"/>
  <c r="AM29" i="2"/>
  <c r="AM44" i="2"/>
  <c r="AM30" i="2"/>
  <c r="AM60" i="2"/>
  <c r="AM32" i="2"/>
  <c r="AM52" i="2"/>
  <c r="AM7" i="2"/>
  <c r="AM14" i="2"/>
  <c r="AM24" i="2"/>
  <c r="AM38" i="2"/>
  <c r="AM40" i="2"/>
  <c r="AM50" i="2"/>
  <c r="AM56" i="2"/>
  <c r="AM63" i="2"/>
  <c r="AM71" i="2"/>
  <c r="AM9" i="2"/>
  <c r="AM45" i="2"/>
  <c r="AM64" i="2"/>
  <c r="AM15" i="2"/>
  <c r="AM66" i="2"/>
  <c r="AM11" i="2"/>
  <c r="AM43" i="2"/>
  <c r="AM20" i="2"/>
  <c r="AM46" i="2"/>
  <c r="AM8" i="2"/>
  <c r="AM17" i="2"/>
  <c r="AM25" i="2"/>
  <c r="AM37" i="2"/>
  <c r="AM36" i="2"/>
  <c r="AM48" i="2"/>
  <c r="AM55" i="2"/>
  <c r="AM65" i="2"/>
  <c r="AM23" i="2"/>
  <c r="AM26" i="2"/>
  <c r="AM57" i="2"/>
  <c r="AM31" i="2"/>
  <c r="AM67" i="2"/>
  <c r="AM27" i="2"/>
  <c r="AM59" i="2"/>
  <c r="BQ6" i="7" l="1"/>
  <c r="BQ22" i="7"/>
  <c r="BQ16" i="7"/>
  <c r="BQ18" i="7"/>
  <c r="BQ23" i="7"/>
  <c r="BQ29" i="7"/>
  <c r="BQ50" i="7"/>
  <c r="BQ62" i="7"/>
  <c r="BQ36" i="7"/>
  <c r="BQ42" i="7"/>
  <c r="BQ27" i="7"/>
  <c r="BQ64" i="7"/>
  <c r="BQ39" i="7"/>
  <c r="BQ41" i="7"/>
  <c r="BQ51" i="7"/>
  <c r="BQ5" i="7"/>
  <c r="BQ66" i="7"/>
  <c r="BQ37" i="7"/>
  <c r="BQ59" i="7"/>
  <c r="BQ55" i="7"/>
  <c r="BQ34" i="7"/>
  <c r="BQ46" i="7"/>
  <c r="BQ56" i="7"/>
  <c r="BQ30" i="7"/>
  <c r="BQ20" i="7"/>
  <c r="BQ67" i="7"/>
  <c r="BQ35" i="7"/>
  <c r="BQ10" i="7"/>
  <c r="BQ24" i="7"/>
  <c r="BQ38" i="7"/>
  <c r="BQ53" i="7"/>
  <c r="BQ61" i="7"/>
  <c r="BQ49" i="7"/>
  <c r="BQ63" i="7"/>
  <c r="BQ13" i="7"/>
  <c r="BQ26" i="7"/>
  <c r="BQ58" i="7"/>
  <c r="BQ7" i="7"/>
  <c r="BQ52" i="7"/>
  <c r="BQ4" i="7"/>
  <c r="BQ43" i="7"/>
  <c r="BQ12" i="7"/>
  <c r="BQ21" i="7"/>
  <c r="BQ33" i="7"/>
  <c r="BQ68" i="7"/>
  <c r="BQ57" i="7"/>
  <c r="BQ15" i="7"/>
  <c r="BQ11" i="7"/>
  <c r="BQ25" i="7"/>
  <c r="BQ69" i="7"/>
  <c r="BQ17" i="7"/>
  <c r="BQ44" i="7"/>
  <c r="BQ31" i="7"/>
  <c r="BQ3" i="7"/>
  <c r="BQ65" i="7"/>
  <c r="BQ19" i="7"/>
  <c r="BQ32" i="7"/>
  <c r="BQ40" i="7"/>
  <c r="BQ14" i="7"/>
  <c r="BQ45" i="7"/>
  <c r="BQ60" i="7"/>
  <c r="BQ54" i="7"/>
  <c r="BQ9" i="7"/>
  <c r="BQ8" i="7"/>
  <c r="BQ48" i="7"/>
  <c r="BQ47" i="7"/>
  <c r="BQ28" i="7"/>
  <c r="BQ57" i="2"/>
  <c r="BQ19" i="2"/>
  <c r="BQ27" i="2"/>
  <c r="BQ71" i="2"/>
  <c r="BQ55" i="2"/>
  <c r="BQ44" i="2"/>
  <c r="BQ16" i="2"/>
  <c r="BQ45" i="2"/>
  <c r="BQ18" i="2"/>
  <c r="BQ20" i="2"/>
  <c r="BQ28" i="2"/>
  <c r="BQ66" i="2"/>
  <c r="BQ12" i="2"/>
  <c r="BQ60" i="2"/>
  <c r="BQ47" i="2"/>
  <c r="BQ64" i="2"/>
  <c r="BQ35" i="2"/>
  <c r="BQ5" i="2"/>
  <c r="BQ43" i="2"/>
  <c r="BQ22" i="2"/>
  <c r="BQ32" i="2"/>
  <c r="BQ48" i="2"/>
  <c r="BQ36" i="2"/>
  <c r="BQ37" i="2"/>
  <c r="BQ62" i="2"/>
  <c r="BQ46" i="2"/>
  <c r="BQ8" i="2"/>
  <c r="BQ61" i="2"/>
  <c r="BQ56" i="2"/>
  <c r="BQ6" i="2"/>
  <c r="BQ42" i="2"/>
  <c r="BQ49" i="2"/>
  <c r="BQ67" i="2"/>
  <c r="BQ31" i="2"/>
  <c r="BQ25" i="2"/>
  <c r="BQ15" i="2"/>
  <c r="BQ30" i="2"/>
  <c r="BQ34" i="2"/>
  <c r="BQ21" i="2"/>
  <c r="BQ59" i="2"/>
  <c r="BQ40" i="2"/>
  <c r="BQ24" i="2"/>
  <c r="BQ17" i="2"/>
  <c r="BQ38" i="2"/>
  <c r="BQ53" i="2"/>
  <c r="BQ23" i="2"/>
  <c r="BQ65" i="2"/>
  <c r="BQ50" i="2"/>
  <c r="BQ39" i="2"/>
  <c r="BQ29" i="2"/>
  <c r="BQ10" i="2"/>
  <c r="BQ41" i="2"/>
  <c r="BQ9" i="2"/>
  <c r="BQ14" i="2"/>
  <c r="BQ33" i="2"/>
  <c r="BQ54" i="2"/>
  <c r="BQ26" i="2"/>
  <c r="BQ7" i="2"/>
  <c r="BQ70" i="2"/>
  <c r="BQ63" i="2"/>
  <c r="BQ52" i="2"/>
  <c r="BQ58" i="2"/>
  <c r="BQ68" i="2"/>
  <c r="BQ13" i="2"/>
  <c r="BQ11" i="2"/>
  <c r="BQ51" i="2"/>
  <c r="BQ6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<sst xmlns="http://schemas.openxmlformats.org/spreadsheetml/2006/main" count="522" uniqueCount="335">
  <si>
    <t>FG%</t>
  </si>
  <si>
    <t>FT%</t>
  </si>
  <si>
    <t>3P%</t>
  </si>
  <si>
    <t>School</t>
  </si>
  <si>
    <t>G</t>
  </si>
  <si>
    <t>W</t>
  </si>
  <si>
    <t>L</t>
  </si>
  <si>
    <t>W-L%</t>
  </si>
  <si>
    <t>SRS</t>
  </si>
  <si>
    <t>SOS</t>
  </si>
  <si>
    <t>Tm.</t>
  </si>
  <si>
    <t>Opp.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</si>
  <si>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</si>
  <si>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</si>
  <si>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</si>
  <si>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</si>
  <si>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</si>
  <si>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</si>
  <si>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</si>
  <si>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</si>
  <si>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</si>
  <si>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</si>
  <si>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</si>
  <si>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</si>
  <si>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</si>
  <si>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</si>
  <si>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Abilene Christian NCAA</t>
  </si>
  <si>
    <t>UAB</t>
  </si>
  <si>
    <t>Alabama NCAA</t>
  </si>
  <si>
    <t>Appalachian State NCAA</t>
  </si>
  <si>
    <t>Arizona</t>
  </si>
  <si>
    <t>Arkansas NCAA</t>
  </si>
  <si>
    <t>Baylor NCAA</t>
  </si>
  <si>
    <t>Belmont</t>
  </si>
  <si>
    <t>Boise State</t>
  </si>
  <si>
    <t>Brigham Young NCAA</t>
  </si>
  <si>
    <t>UC Irvine</t>
  </si>
  <si>
    <t>UC Santa Barbara NCAA</t>
  </si>
  <si>
    <t>Campbell</t>
  </si>
  <si>
    <t>Chattanooga</t>
  </si>
  <si>
    <t>Cleveland State NCAA</t>
  </si>
  <si>
    <t>Coastal Carolina</t>
  </si>
  <si>
    <t>Colorado State</t>
  </si>
  <si>
    <t>Colorado NCAA</t>
  </si>
  <si>
    <t>▼</t>
  </si>
  <si>
    <t>Gonzaga NCAA</t>
  </si>
  <si>
    <t>Houston NCAA</t>
  </si>
  <si>
    <t>Drake NCAA</t>
  </si>
  <si>
    <t>Loyola (IL) NCAA</t>
  </si>
  <si>
    <t>Southern California NCAA</t>
  </si>
  <si>
    <t>Illinois NCAA</t>
  </si>
  <si>
    <t>Louisiana Tech</t>
  </si>
  <si>
    <t>Liberty NCAA</t>
  </si>
  <si>
    <t>Michigan NCAA</t>
  </si>
  <si>
    <t>Morehead State NCAA</t>
  </si>
  <si>
    <t>San Diego State NCAA</t>
  </si>
  <si>
    <t>Winthrop NCAA</t>
  </si>
  <si>
    <t>Creighton NCAA</t>
  </si>
  <si>
    <t>Eastern Kentucky</t>
  </si>
  <si>
    <t>Iowa NCAA</t>
  </si>
  <si>
    <t>UCLA NCAA</t>
  </si>
  <si>
    <t>Kansas NCAA</t>
  </si>
  <si>
    <t>UNC Greensboro NCAA</t>
  </si>
  <si>
    <t>Ohio State NCAA</t>
  </si>
  <si>
    <t>Oklahoma State NCAA</t>
  </si>
  <si>
    <t>Oregon NCAA</t>
  </si>
  <si>
    <t>Toledo</t>
  </si>
  <si>
    <t>Western Kentucky</t>
  </si>
  <si>
    <t>Memphis</t>
  </si>
  <si>
    <t>Oregon State NCAA</t>
  </si>
  <si>
    <t>Southern Utah</t>
  </si>
  <si>
    <t>Utah State NCAA</t>
  </si>
  <si>
    <t>Louisiana State NCAA</t>
  </si>
  <si>
    <t>Sam Houston State</t>
  </si>
  <si>
    <t>Texas NCAA</t>
  </si>
  <si>
    <t>Virginia Commonwealth NCAA</t>
  </si>
  <si>
    <t>West Virginia NCAA</t>
  </si>
  <si>
    <t>Florida State NCAA</t>
  </si>
  <si>
    <t>Jacksonville State</t>
  </si>
  <si>
    <t>Mercer</t>
  </si>
  <si>
    <t>Mississippi State</t>
  </si>
  <si>
    <t>Nicholls State</t>
  </si>
  <si>
    <t>North Carolina NCAA</t>
  </si>
  <si>
    <t>North Texas NCAA</t>
  </si>
  <si>
    <t>Oral Roberts NCAA</t>
  </si>
  <si>
    <t>Purdue NCAA</t>
  </si>
  <si>
    <t>Syracuse NCAA</t>
  </si>
  <si>
    <t>Tennessee NCAA</t>
  </si>
  <si>
    <t>Texas State</t>
  </si>
  <si>
    <t>Texas Tech NCAA</t>
  </si>
  <si>
    <t>Villanova NCAA</t>
  </si>
  <si>
    <t>Virginia NCAA</t>
  </si>
  <si>
    <t>Wisconsin NCAA</t>
  </si>
  <si>
    <t>Wright State</t>
  </si>
  <si>
    <t>Conf. W</t>
  </si>
  <si>
    <t>Conf. L</t>
  </si>
  <si>
    <t>HomeW</t>
  </si>
  <si>
    <t>HomeL</t>
  </si>
  <si>
    <t>AwayW</t>
  </si>
  <si>
    <t>AwayL</t>
  </si>
  <si>
    <t>Rank</t>
  </si>
  <si>
    <t>SCW</t>
  </si>
  <si>
    <t>SCL</t>
  </si>
  <si>
    <t>SCW-L</t>
  </si>
  <si>
    <t>SCSRS</t>
  </si>
  <si>
    <t>SCSOS</t>
  </si>
  <si>
    <t>SCConf.W</t>
  </si>
  <si>
    <t>ScConfL</t>
  </si>
  <si>
    <t>SCHW</t>
  </si>
  <si>
    <t>SCHL</t>
  </si>
  <si>
    <t>SCAW</t>
  </si>
  <si>
    <t>SCAL</t>
  </si>
  <si>
    <t>SCPoints</t>
  </si>
  <si>
    <t>SCPA</t>
  </si>
  <si>
    <t>SCMP</t>
  </si>
  <si>
    <t>SCFG</t>
  </si>
  <si>
    <t>SCFGA</t>
  </si>
  <si>
    <t>SCFG%</t>
  </si>
  <si>
    <t>SC3P</t>
  </si>
  <si>
    <t>SC3PA</t>
  </si>
  <si>
    <t>SC3P%</t>
  </si>
  <si>
    <t>SCFT</t>
  </si>
  <si>
    <t>SCFTA</t>
  </si>
  <si>
    <t>SCFT%</t>
  </si>
  <si>
    <t>SCORB</t>
  </si>
  <si>
    <t>SCTRB</t>
  </si>
  <si>
    <t>SCAST</t>
  </si>
  <si>
    <t>SCSTL</t>
  </si>
  <si>
    <t>SCBLK</t>
  </si>
  <si>
    <t>SCTOV</t>
  </si>
  <si>
    <t>SCPF</t>
  </si>
  <si>
    <t>Column1</t>
  </si>
  <si>
    <t>Column2</t>
  </si>
  <si>
    <t>Column3</t>
  </si>
  <si>
    <t>Column4</t>
  </si>
  <si>
    <t>Column5</t>
  </si>
  <si>
    <t>Total Score</t>
  </si>
  <si>
    <t>CONS.W</t>
  </si>
  <si>
    <t>CONS.L</t>
  </si>
  <si>
    <t>CONS.W-L</t>
  </si>
  <si>
    <t>CONS.SRS</t>
  </si>
  <si>
    <t>CONS.SOS</t>
  </si>
  <si>
    <t>CONS.CONFW</t>
  </si>
  <si>
    <t>CONS.CONFL</t>
  </si>
  <si>
    <t>CONS.PF</t>
  </si>
  <si>
    <t>CONSHOMEW</t>
  </si>
  <si>
    <t>CONS.HOMEL</t>
  </si>
  <si>
    <t>CONS.AWAYW</t>
  </si>
  <si>
    <t>CONS.AWAYL</t>
  </si>
  <si>
    <t>CONSPA</t>
  </si>
  <si>
    <t>CONS.MP</t>
  </si>
  <si>
    <t>CONS.FG</t>
  </si>
  <si>
    <t>CONS.FGA</t>
  </si>
  <si>
    <t>CONS.FG%</t>
  </si>
  <si>
    <t>CONS.3P</t>
  </si>
  <si>
    <t>CONS.3PA</t>
  </si>
  <si>
    <t>CONS.3p%</t>
  </si>
  <si>
    <t>CONS.FT</t>
  </si>
  <si>
    <t>CONS.FTA</t>
  </si>
  <si>
    <t>CONS.FT%</t>
  </si>
  <si>
    <t>CONS.ORB</t>
  </si>
  <si>
    <t>CONSTRB</t>
  </si>
  <si>
    <t>CONSAST</t>
  </si>
  <si>
    <t>CONSSTL</t>
  </si>
  <si>
    <t>CONSBLK</t>
  </si>
  <si>
    <t>CONS.TOV</t>
  </si>
  <si>
    <t>CONS.PF2</t>
  </si>
  <si>
    <t>WSC</t>
  </si>
  <si>
    <t>LSC</t>
  </si>
  <si>
    <t>W-LSC</t>
  </si>
  <si>
    <t>SRSSC</t>
  </si>
  <si>
    <t>SOSSC</t>
  </si>
  <si>
    <t>CONFWSC</t>
  </si>
  <si>
    <t>CONFLSC</t>
  </si>
  <si>
    <t>HWSC</t>
  </si>
  <si>
    <t>HLSC</t>
  </si>
  <si>
    <t>AWSC</t>
  </si>
  <si>
    <t>ALSC</t>
  </si>
  <si>
    <t>PFSC</t>
  </si>
  <si>
    <t>PASC</t>
  </si>
  <si>
    <t>MPSC</t>
  </si>
  <si>
    <t>FGSC</t>
  </si>
  <si>
    <t>FGASC</t>
  </si>
  <si>
    <t>FG%SC</t>
  </si>
  <si>
    <t>3PSC</t>
  </si>
  <si>
    <t>3PASC</t>
  </si>
  <si>
    <t>3p%SC</t>
  </si>
  <si>
    <t>FTSC</t>
  </si>
  <si>
    <t>FT%SC</t>
  </si>
  <si>
    <t>ORBSC</t>
  </si>
  <si>
    <t>TRBSC</t>
  </si>
  <si>
    <t>ASTSC</t>
  </si>
  <si>
    <t>STLSC</t>
  </si>
  <si>
    <t>BLKSC</t>
  </si>
  <si>
    <t>TOVSC</t>
  </si>
  <si>
    <t>FTASC</t>
  </si>
  <si>
    <t>PFSC2</t>
  </si>
  <si>
    <t>MUW</t>
  </si>
  <si>
    <t>MUL</t>
  </si>
  <si>
    <t>MUW-L</t>
  </si>
  <si>
    <t>MUSRS</t>
  </si>
  <si>
    <t>MUSOS</t>
  </si>
  <si>
    <t>MUCONFW</t>
  </si>
  <si>
    <t>MUCONFL</t>
  </si>
  <si>
    <t>MUHW</t>
  </si>
  <si>
    <t>MUHL</t>
  </si>
  <si>
    <t>MUAW</t>
  </si>
  <si>
    <t>MUAL</t>
  </si>
  <si>
    <t>MUPF</t>
  </si>
  <si>
    <t>MUPA</t>
  </si>
  <si>
    <t>MUMP</t>
  </si>
  <si>
    <t>MUFG</t>
  </si>
  <si>
    <t>MUFGA</t>
  </si>
  <si>
    <t>MUFG%</t>
  </si>
  <si>
    <t>MU3P</t>
  </si>
  <si>
    <t>MU3PA</t>
  </si>
  <si>
    <t>MU3P%</t>
  </si>
  <si>
    <t>MUFT</t>
  </si>
  <si>
    <t>MUFTA</t>
  </si>
  <si>
    <t>MUFT%</t>
  </si>
  <si>
    <t>MUORB</t>
  </si>
  <si>
    <t>MUTRB</t>
  </si>
  <si>
    <t>MUAST</t>
  </si>
  <si>
    <t>MUSTL</t>
  </si>
  <si>
    <t>MUBLK</t>
  </si>
  <si>
    <t>MUTOV</t>
  </si>
  <si>
    <t>final const.</t>
  </si>
  <si>
    <t>Wins</t>
  </si>
  <si>
    <t>Losses</t>
  </si>
  <si>
    <t>W-LPCT</t>
  </si>
  <si>
    <t>APRanking</t>
  </si>
  <si>
    <t>Strength of schedule</t>
  </si>
  <si>
    <t>Conference wins</t>
  </si>
  <si>
    <t>Conference Losses</t>
  </si>
  <si>
    <t>Home wins</t>
  </si>
  <si>
    <t>Home Losses</t>
  </si>
  <si>
    <t>Away Wins</t>
  </si>
  <si>
    <t>Away Losses</t>
  </si>
  <si>
    <t>Points</t>
  </si>
  <si>
    <t>Points allowed</t>
  </si>
  <si>
    <t>Minutes</t>
  </si>
  <si>
    <t>field goals made</t>
  </si>
  <si>
    <t>field goals attempted</t>
  </si>
  <si>
    <t>Field goal percentage</t>
  </si>
  <si>
    <t>3 pointers made</t>
  </si>
  <si>
    <t>3 pointers attempted</t>
  </si>
  <si>
    <t>3 point pct.</t>
  </si>
  <si>
    <t>free throws made</t>
  </si>
  <si>
    <t>Free throws attempted</t>
  </si>
  <si>
    <t>free throw percentage</t>
  </si>
  <si>
    <t>offensive rebounds</t>
  </si>
  <si>
    <t>total rebounds</t>
  </si>
  <si>
    <t>assists</t>
  </si>
  <si>
    <t>steals</t>
  </si>
  <si>
    <t>blocks</t>
  </si>
  <si>
    <t>turnovers</t>
  </si>
  <si>
    <t>points scored</t>
  </si>
  <si>
    <t>Points Scored</t>
  </si>
  <si>
    <t>Overall</t>
  </si>
  <si>
    <t>Conf.</t>
  </si>
  <si>
    <t>Home</t>
  </si>
  <si>
    <t>Away</t>
  </si>
  <si>
    <t>Totals</t>
  </si>
  <si>
    <t>Rk</t>
  </si>
  <si>
    <t>Gonzaga</t>
  </si>
  <si>
    <t>Houston</t>
  </si>
  <si>
    <t>Baylor</t>
  </si>
  <si>
    <t>Kentucky</t>
  </si>
  <si>
    <t>Kansas</t>
  </si>
  <si>
    <t>Tennessee</t>
  </si>
  <si>
    <t>Auburn</t>
  </si>
  <si>
    <t>UCLA</t>
  </si>
  <si>
    <t>Purdue</t>
  </si>
  <si>
    <t>Texas Tech</t>
  </si>
  <si>
    <t>Iowa</t>
  </si>
  <si>
    <t>Villanova</t>
  </si>
  <si>
    <t>Duke</t>
  </si>
  <si>
    <t>Louisiana State</t>
  </si>
  <si>
    <t>Illinois</t>
  </si>
  <si>
    <t>Connecticut</t>
  </si>
  <si>
    <t>Texas</t>
  </si>
  <si>
    <t>Arkansas</t>
  </si>
  <si>
    <t>Alabama</t>
  </si>
  <si>
    <t>San Francisco</t>
  </si>
  <si>
    <t>Saint Mary's (CA)</t>
  </si>
  <si>
    <t>Ohio State</t>
  </si>
  <si>
    <t>Loyola (IL)</t>
  </si>
  <si>
    <t>Virginia Tech</t>
  </si>
  <si>
    <t>Oklahoma</t>
  </si>
  <si>
    <t>Michigan</t>
  </si>
  <si>
    <t>Seton Hall</t>
  </si>
  <si>
    <t>Wisconsin</t>
  </si>
  <si>
    <t>San Diego State</t>
  </si>
  <si>
    <t>Indiana</t>
  </si>
  <si>
    <t>Michigan State</t>
  </si>
  <si>
    <t>Xavier</t>
  </si>
  <si>
    <t>Wake Forest</t>
  </si>
  <si>
    <t>Oklahoma State</t>
  </si>
  <si>
    <t>North Carolina</t>
  </si>
  <si>
    <t>Southern California</t>
  </si>
  <si>
    <t>TCU</t>
  </si>
  <si>
    <t>Florida</t>
  </si>
  <si>
    <t>Texas A&amp;M</t>
  </si>
  <si>
    <t>Marquette</t>
  </si>
  <si>
    <t>Washington State</t>
  </si>
  <si>
    <t>Iowa State</t>
  </si>
  <si>
    <t>Providence</t>
  </si>
  <si>
    <t>St. John's (NY)</t>
  </si>
  <si>
    <t>Southern Methodist</t>
  </si>
  <si>
    <t>Creighton</t>
  </si>
  <si>
    <t>Utah State</t>
  </si>
  <si>
    <t>Vanderbilt</t>
  </si>
  <si>
    <t>Notre Dame</t>
  </si>
  <si>
    <t>Kansas State</t>
  </si>
  <si>
    <t>Davidson</t>
  </si>
  <si>
    <t>Colorado</t>
  </si>
  <si>
    <t>Oregon</t>
  </si>
  <si>
    <t>Murray State</t>
  </si>
  <si>
    <t>Saint Louis</t>
  </si>
  <si>
    <t>West Virginia</t>
  </si>
  <si>
    <t>Brigham Young</t>
  </si>
  <si>
    <t>Dayton</t>
  </si>
  <si>
    <t>Miami (FL)</t>
  </si>
  <si>
    <t>Wyoming</t>
  </si>
  <si>
    <t>Syracuse</t>
  </si>
  <si>
    <t>Virginia Commonwealth</t>
  </si>
  <si>
    <t>W2</t>
  </si>
  <si>
    <t>L3</t>
  </si>
  <si>
    <t>W5</t>
  </si>
  <si>
    <t>L6</t>
  </si>
  <si>
    <t>Column7</t>
  </si>
  <si>
    <t>W8</t>
  </si>
  <si>
    <t>L9</t>
  </si>
  <si>
    <t>Column10</t>
  </si>
  <si>
    <t>Column11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</si>
</sst>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88"/>
        <bgColor indexed="64"/>
      </patternFill>
    </fill>
    <fill>
      <patternFill patternType="solid">
        <fgColor rgb="FFFFFFAA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4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2" borderId="0" xfId="1" applyFill="1" applyAlignment="1">
      <alignment horizontal="left" vertical="center"/>
    </xf>
    <xf numFmtId="0" fontId="2" fillId="4" borderId="0" xfId="0" applyFont="1" applyFill="1" applyAlignment="1">
      <alignment horizontal="right" vertical="center"/>
    </xf>
    <xf numFmtId="0" fontId="3" fillId="4" borderId="0" xfId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vertical="center"/>
    </xf>
    <xf numFmtId="0" fontId="0" fillId="0" borderId="11" xfId="0" applyFont="1" applyBorder="1"/>
    <xf numFmtId="0" fontId="1" fillId="3" borderId="0" xfId="0" applyFont="1" applyFill="1" applyAlignment="1">
      <alignment horizontal="center" vertical="center"/>
    </xf>
    <xf numFmtId="0" fontId="0" fillId="0" borderId="10" xfId="0" applyFont="1" applyBorder="1"/>
    <xf numFmtId="0" fontId="4" fillId="6" borderId="13" xfId="0" applyFont="1" applyFill="1" applyBorder="1"/>
    <xf numFmtId="0" fontId="4" fillId="6" borderId="12" xfId="0" applyFont="1" applyFill="1" applyBorder="1"/>
    <xf numFmtId="0" fontId="0" fillId="7" borderId="13" xfId="0" applyFont="1" applyFill="1" applyBorder="1"/>
    <xf numFmtId="0" fontId="0" fillId="7" borderId="12" xfId="0" applyFont="1" applyFill="1" applyBorder="1"/>
    <xf numFmtId="0" fontId="0" fillId="0" borderId="13" xfId="0" applyFont="1" applyBorder="1"/>
    <xf numFmtId="0" fontId="0" fillId="0" borderId="12" xfId="0" applyFont="1" applyBorder="1"/>
  </cellXfs>
  <cellStyles count="2">
    <cellStyle name="Hyperlink" xfId="1" builtinId="8"/>
    <cellStyle name="Normal" xfId="0" builtinId="0"/>
  </cellStyles>
  <dxfs count="1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border outline="0">
        <right style="thin">
          <color theme="4" tint="0.39997558519241921"/>
        </right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hwin Chintalapati" refreshedDate="44624.421041782407" createdVersion="7" refreshedVersion="7" minRefreshableVersion="3" recordCount="68" xr:uid="{7E071C60-90BE-4AEB-9BC3-69DB9B05AE41}">
  <cacheSource type="worksheet">
    <worksheetSource ref="V3:AL71" sheet="2020-2021 Team Stats"/>
  </cacheSource>
  <cacheFields count="17">
    <cacheField name="MP" numFmtId="0">
      <sharedItems containsString="0" containsBlank="1" containsNumber="1" containsInteger="1" minValue="965" maxValue="1340"/>
    </cacheField>
    <cacheField name="FG" numFmtId="0">
      <sharedItems containsString="0" containsBlank="1" containsNumber="1" containsInteger="1" minValue="629" maxValue="1079"/>
    </cacheField>
    <cacheField name="FGA" numFmtId="0">
      <sharedItems containsString="0" containsBlank="1" containsNumber="1" containsInteger="1" minValue="1326" maxValue="2125"/>
    </cacheField>
    <cacheField name="FG%" numFmtId="0">
      <sharedItems containsString="0" containsBlank="1" containsNumber="1" minValue="0.40899999999999997" maxValue="0.54900000000000004"/>
    </cacheField>
    <cacheField name="3P" numFmtId="0">
      <sharedItems containsString="0" containsBlank="1" containsNumber="1" containsInteger="1" minValue="132" maxValue="348"/>
    </cacheField>
    <cacheField name="3PA" numFmtId="0">
      <sharedItems containsString="0" containsBlank="1" containsNumber="1" containsInteger="1" minValue="366" maxValue="989"/>
    </cacheField>
    <cacheField name="3P%" numFmtId="0">
      <sharedItems containsString="0" containsBlank="1" containsNumber="1" minValue="0.29899999999999999" maxValue="0.41299999999999998"/>
    </cacheField>
    <cacheField name="FT" numFmtId="0">
      <sharedItems containsString="0" containsBlank="1" containsNumber="1" containsInteger="1" minValue="235" maxValue="513"/>
    </cacheField>
    <cacheField name="FTA" numFmtId="0">
      <sharedItems containsString="0" containsBlank="1" containsNumber="1" containsInteger="1" minValue="288" maxValue="703"/>
    </cacheField>
    <cacheField name="FT%" numFmtId="0">
      <sharedItems containsString="0" containsBlank="1" containsNumber="1" minValue="0.61699999999999999" maxValue="0.82099999999999995"/>
    </cacheField>
    <cacheField name="ORB" numFmtId="0">
      <sharedItems containsString="0" containsBlank="1" containsNumber="1" containsInteger="1" minValue="162" maxValue="458"/>
    </cacheField>
    <cacheField name="TRB" numFmtId="0">
      <sharedItems containsString="0" containsBlank="1" containsNumber="1" containsInteger="1" minValue="767" maxValue="1343"/>
    </cacheField>
    <cacheField name="AST" numFmtId="0">
      <sharedItems containsString="0" containsBlank="1" containsNumber="1" containsInteger="1" minValue="308" maxValue="601"/>
    </cacheField>
    <cacheField name="STL" numFmtId="0">
      <sharedItems containsString="0" containsBlank="1" containsNumber="1" containsInteger="1" minValue="120" maxValue="299"/>
    </cacheField>
    <cacheField name="BLK" numFmtId="0">
      <sharedItems containsString="0" containsBlank="1" containsNumber="1" containsInteger="1" minValue="47" maxValue="168"/>
    </cacheField>
    <cacheField name="TOV" numFmtId="0">
      <sharedItems containsString="0" containsBlank="1" containsNumber="1" containsInteger="1" minValue="227" maxValue="498"/>
    </cacheField>
    <cacheField name="PF" numFmtId="0">
      <sharedItems containsString="0" containsBlank="1" containsNumber="1" containsInteger="1" minValue="323" maxValue="6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">
  <r>
    <m/>
    <m/>
    <m/>
    <m/>
    <m/>
    <m/>
    <m/>
    <m/>
    <m/>
    <m/>
    <m/>
    <m/>
    <m/>
    <m/>
    <m/>
    <m/>
    <m/>
  </r>
  <r>
    <n v="1285"/>
    <n v="1079"/>
    <n v="1965"/>
    <n v="0.54900000000000004"/>
    <n v="240"/>
    <n v="652"/>
    <n v="0.36799999999999999"/>
    <n v="513"/>
    <n v="703"/>
    <n v="0.73"/>
    <n v="289"/>
    <n v="1189"/>
    <n v="601"/>
    <n v="254"/>
    <n v="90"/>
    <n v="385"/>
    <n v="521"/>
  </r>
  <r>
    <n v="1205"/>
    <n v="917"/>
    <n v="1886"/>
    <n v="0.48599999999999999"/>
    <n v="299"/>
    <n v="724"/>
    <n v="0.41299999999999998"/>
    <n v="354"/>
    <n v="500"/>
    <n v="0.70799999999999996"/>
    <n v="374"/>
    <n v="1079"/>
    <n v="507"/>
    <n v="267"/>
    <n v="111"/>
    <n v="345"/>
    <n v="513"/>
  </r>
  <r>
    <n v="1280"/>
    <n v="854"/>
    <n v="1961"/>
    <n v="0.435"/>
    <n v="291"/>
    <n v="823"/>
    <n v="0.35399999999999998"/>
    <n v="435"/>
    <n v="595"/>
    <n v="0.73099999999999998"/>
    <n v="458"/>
    <n v="1296"/>
    <n v="446"/>
    <n v="255"/>
    <n v="149"/>
    <n v="341"/>
    <n v="575"/>
  </r>
  <r>
    <n v="1325"/>
    <n v="924"/>
    <n v="2125"/>
    <n v="0.435"/>
    <n v="348"/>
    <n v="989"/>
    <n v="0.35199999999999998"/>
    <n v="433"/>
    <n v="612"/>
    <n v="0.70799999999999996"/>
    <n v="408"/>
    <n v="1343"/>
    <n v="464"/>
    <n v="280"/>
    <n v="143"/>
    <n v="458"/>
    <n v="603"/>
  </r>
  <r>
    <n v="1205"/>
    <n v="894"/>
    <n v="1829"/>
    <n v="0.48899999999999999"/>
    <n v="271"/>
    <n v="787"/>
    <n v="0.34399999999999997"/>
    <n v="380"/>
    <n v="515"/>
    <n v="0.73799999999999999"/>
    <n v="264"/>
    <n v="1072"/>
    <n v="547"/>
    <n v="232"/>
    <n v="87"/>
    <n v="361"/>
    <n v="438"/>
  </r>
  <r>
    <n v="1250"/>
    <n v="908"/>
    <n v="1878"/>
    <n v="0.48299999999999998"/>
    <n v="218"/>
    <n v="594"/>
    <n v="0.36699999999999999"/>
    <n v="320"/>
    <n v="449"/>
    <n v="0.71299999999999997"/>
    <n v="317"/>
    <n v="1120"/>
    <n v="423"/>
    <n v="216"/>
    <n v="92"/>
    <n v="320"/>
    <n v="487"/>
  </r>
  <r>
    <n v="1250"/>
    <n v="804"/>
    <n v="1614"/>
    <n v="0.498"/>
    <n v="221"/>
    <n v="606"/>
    <n v="0.36499999999999999"/>
    <n v="373"/>
    <n v="519"/>
    <n v="0.71899999999999997"/>
    <n v="230"/>
    <n v="1008"/>
    <n v="490"/>
    <n v="215"/>
    <n v="75"/>
    <n v="364"/>
    <n v="444"/>
  </r>
  <r>
    <n v="1285"/>
    <n v="935"/>
    <n v="2071"/>
    <n v="0.45100000000000001"/>
    <n v="233"/>
    <n v="702"/>
    <n v="0.33200000000000002"/>
    <n v="501"/>
    <n v="677"/>
    <n v="0.74"/>
    <n v="378"/>
    <n v="1271"/>
    <n v="466"/>
    <n v="251"/>
    <n v="158"/>
    <n v="412"/>
    <n v="540"/>
  </r>
  <r>
    <n v="1340"/>
    <n v="904"/>
    <n v="1916"/>
    <n v="0.47199999999999998"/>
    <n v="214"/>
    <n v="594"/>
    <n v="0.36"/>
    <n v="451"/>
    <n v="695"/>
    <n v="0.64900000000000002"/>
    <n v="384"/>
    <n v="1282"/>
    <n v="458"/>
    <n v="157"/>
    <n v="168"/>
    <n v="408"/>
    <n v="498"/>
  </r>
  <r>
    <n v="1160"/>
    <n v="786"/>
    <n v="1752"/>
    <n v="0.44900000000000001"/>
    <n v="221"/>
    <n v="643"/>
    <n v="0.34399999999999997"/>
    <n v="403"/>
    <n v="594"/>
    <n v="0.67800000000000005"/>
    <n v="329"/>
    <n v="1047"/>
    <n v="513"/>
    <n v="282"/>
    <n v="86"/>
    <n v="394"/>
    <n v="554"/>
  </r>
  <r>
    <n v="1255"/>
    <n v="909"/>
    <n v="1819"/>
    <n v="0.5"/>
    <n v="203"/>
    <n v="544"/>
    <n v="0.373"/>
    <n v="476"/>
    <n v="690"/>
    <n v="0.69"/>
    <n v="322"/>
    <n v="1239"/>
    <n v="506"/>
    <n v="176"/>
    <n v="87"/>
    <n v="404"/>
    <n v="549"/>
  </r>
  <r>
    <n v="1280"/>
    <n v="832"/>
    <n v="1870"/>
    <n v="0.44500000000000001"/>
    <n v="240"/>
    <n v="698"/>
    <n v="0.34399999999999997"/>
    <n v="435"/>
    <n v="639"/>
    <n v="0.68100000000000005"/>
    <n v="323"/>
    <n v="1224"/>
    <n v="418"/>
    <n v="217"/>
    <n v="93"/>
    <n v="411"/>
    <n v="497"/>
  </r>
  <r>
    <n v="1280"/>
    <n v="828"/>
    <n v="1815"/>
    <n v="0.45600000000000002"/>
    <n v="246"/>
    <n v="661"/>
    <n v="0.372"/>
    <n v="438"/>
    <n v="535"/>
    <n v="0.81899999999999995"/>
    <n v="312"/>
    <n v="1113"/>
    <n v="436"/>
    <n v="167"/>
    <n v="88"/>
    <n v="364"/>
    <n v="526"/>
  </r>
  <r>
    <n v="1160"/>
    <n v="782"/>
    <n v="1605"/>
    <n v="0.48699999999999999"/>
    <n v="297"/>
    <n v="761"/>
    <n v="0.39"/>
    <n v="296"/>
    <n v="381"/>
    <n v="0.77700000000000002"/>
    <n v="202"/>
    <n v="971"/>
    <n v="458"/>
    <n v="135"/>
    <n v="71"/>
    <n v="289"/>
    <n v="429"/>
  </r>
  <r>
    <n v="1125"/>
    <n v="771"/>
    <n v="1598"/>
    <n v="0.48199999999999998"/>
    <n v="206"/>
    <n v="541"/>
    <n v="0.38100000000000001"/>
    <n v="373"/>
    <n v="485"/>
    <n v="0.76900000000000002"/>
    <n v="250"/>
    <n v="1049"/>
    <n v="443"/>
    <n v="120"/>
    <n v="117"/>
    <n v="315"/>
    <n v="412"/>
  </r>
  <r>
    <n v="1250"/>
    <n v="765"/>
    <n v="1651"/>
    <n v="0.46300000000000002"/>
    <n v="205"/>
    <n v="579"/>
    <n v="0.35399999999999998"/>
    <n v="397"/>
    <n v="584"/>
    <n v="0.68"/>
    <n v="316"/>
    <n v="1155"/>
    <n v="397"/>
    <n v="136"/>
    <n v="155"/>
    <n v="477"/>
    <n v="446"/>
  </r>
  <r>
    <n v="1125"/>
    <n v="719"/>
    <n v="1596"/>
    <n v="0.45100000000000001"/>
    <n v="240"/>
    <n v="651"/>
    <n v="0.36899999999999999"/>
    <n v="384"/>
    <n v="534"/>
    <n v="0.71899999999999997"/>
    <n v="274"/>
    <n v="1003"/>
    <n v="390"/>
    <n v="229"/>
    <n v="78"/>
    <n v="310"/>
    <n v="515"/>
  </r>
  <r>
    <n v="1000"/>
    <n v="695"/>
    <n v="1521"/>
    <n v="0.45700000000000002"/>
    <n v="210"/>
    <n v="597"/>
    <n v="0.35199999999999998"/>
    <n v="372"/>
    <n v="541"/>
    <n v="0.68799999999999994"/>
    <n v="321"/>
    <n v="1003"/>
    <n v="374"/>
    <n v="186"/>
    <n v="57"/>
    <n v="350"/>
    <n v="459"/>
  </r>
  <r>
    <n v="1160"/>
    <n v="788"/>
    <n v="1746"/>
    <n v="0.45100000000000001"/>
    <n v="147"/>
    <n v="475"/>
    <n v="0.309"/>
    <n v="382"/>
    <n v="549"/>
    <n v="0.69599999999999995"/>
    <n v="311"/>
    <n v="1063"/>
    <n v="308"/>
    <n v="231"/>
    <n v="121"/>
    <n v="304"/>
    <n v="441"/>
  </r>
  <r>
    <n v="1090"/>
    <n v="739"/>
    <n v="1534"/>
    <n v="0.48199999999999998"/>
    <n v="181"/>
    <n v="522"/>
    <n v="0.34699999999999998"/>
    <n v="392"/>
    <n v="522"/>
    <n v="0.751"/>
    <n v="251"/>
    <n v="951"/>
    <n v="438"/>
    <n v="199"/>
    <n v="75"/>
    <n v="294"/>
    <n v="429"/>
  </r>
  <r>
    <n v="1250"/>
    <n v="878"/>
    <n v="1862"/>
    <n v="0.47199999999999998"/>
    <n v="293"/>
    <n v="811"/>
    <n v="0.36099999999999999"/>
    <n v="306"/>
    <n v="478"/>
    <n v="0.64"/>
    <n v="259"/>
    <n v="1108"/>
    <n v="485"/>
    <n v="216"/>
    <n v="103"/>
    <n v="341"/>
    <n v="476"/>
  </r>
  <r>
    <n v="1180"/>
    <n v="871"/>
    <n v="1946"/>
    <n v="0.44800000000000001"/>
    <n v="279"/>
    <n v="778"/>
    <n v="0.35899999999999999"/>
    <n v="351"/>
    <n v="497"/>
    <n v="0.70599999999999996"/>
    <n v="306"/>
    <n v="1033"/>
    <n v="461"/>
    <n v="299"/>
    <n v="103"/>
    <n v="373"/>
    <n v="533"/>
  </r>
  <r>
    <n v="1245"/>
    <n v="923"/>
    <n v="1961"/>
    <n v="0.47099999999999997"/>
    <n v="301"/>
    <n v="780"/>
    <n v="0.38600000000000001"/>
    <n v="448"/>
    <n v="627"/>
    <n v="0.71499999999999997"/>
    <n v="346"/>
    <n v="1231"/>
    <n v="594"/>
    <n v="173"/>
    <n v="141"/>
    <n v="294"/>
    <n v="461"/>
  </r>
  <r>
    <n v="1325"/>
    <n v="856"/>
    <n v="1855"/>
    <n v="0.46100000000000002"/>
    <n v="218"/>
    <n v="586"/>
    <n v="0.372"/>
    <n v="419"/>
    <n v="586"/>
    <n v="0.71499999999999997"/>
    <n v="312"/>
    <n v="1117"/>
    <n v="437"/>
    <n v="158"/>
    <n v="89"/>
    <n v="336"/>
    <n v="514"/>
  </r>
  <r>
    <n v="1205"/>
    <n v="789"/>
    <n v="1809"/>
    <n v="0.436"/>
    <n v="227"/>
    <n v="663"/>
    <n v="0.34200000000000003"/>
    <n v="386"/>
    <n v="539"/>
    <n v="0.71599999999999997"/>
    <n v="333"/>
    <n v="1124"/>
    <n v="415"/>
    <n v="207"/>
    <n v="119"/>
    <n v="359"/>
    <n v="460"/>
  </r>
  <r>
    <n v="1205"/>
    <n v="822"/>
    <n v="1954"/>
    <n v="0.42099999999999999"/>
    <n v="228"/>
    <n v="763"/>
    <n v="0.29899999999999999"/>
    <n v="317"/>
    <n v="464"/>
    <n v="0.68300000000000005"/>
    <n v="377"/>
    <n v="1174"/>
    <n v="370"/>
    <n v="224"/>
    <n v="115"/>
    <n v="329"/>
    <n v="542"/>
  </r>
  <r>
    <n v="1255"/>
    <n v="819"/>
    <n v="1786"/>
    <n v="0.45900000000000002"/>
    <n v="252"/>
    <n v="700"/>
    <n v="0.36"/>
    <n v="502"/>
    <n v="664"/>
    <n v="0.75600000000000001"/>
    <n v="302"/>
    <n v="1135"/>
    <n v="406"/>
    <n v="140"/>
    <n v="108"/>
    <n v="329"/>
    <n v="571"/>
  </r>
  <r>
    <n v="1225"/>
    <n v="816"/>
    <n v="1780"/>
    <n v="0.45800000000000002"/>
    <n v="190"/>
    <n v="573"/>
    <n v="0.33200000000000002"/>
    <n v="475"/>
    <n v="669"/>
    <n v="0.71"/>
    <n v="332"/>
    <n v="1150"/>
    <n v="385"/>
    <n v="224"/>
    <n v="132"/>
    <n v="467"/>
    <n v="516"/>
  </r>
  <r>
    <n v="1160"/>
    <n v="779"/>
    <n v="1652"/>
    <n v="0.47199999999999998"/>
    <n v="234"/>
    <n v="621"/>
    <n v="0.377"/>
    <n v="305"/>
    <n v="429"/>
    <n v="0.71099999999999997"/>
    <n v="263"/>
    <n v="926"/>
    <n v="389"/>
    <n v="208"/>
    <n v="103"/>
    <n v="319"/>
    <n v="434"/>
  </r>
  <r>
    <n v="1215"/>
    <n v="852"/>
    <n v="1869"/>
    <n v="0.45600000000000002"/>
    <n v="314"/>
    <n v="843"/>
    <n v="0.372"/>
    <n v="415"/>
    <n v="532"/>
    <n v="0.78"/>
    <n v="322"/>
    <n v="1129"/>
    <n v="480"/>
    <n v="184"/>
    <n v="74"/>
    <n v="332"/>
    <n v="458"/>
  </r>
  <r>
    <n v="1170"/>
    <n v="733"/>
    <n v="1634"/>
    <n v="0.44900000000000001"/>
    <n v="185"/>
    <n v="536"/>
    <n v="0.34499999999999997"/>
    <n v="457"/>
    <n v="580"/>
    <n v="0.78800000000000003"/>
    <n v="305"/>
    <n v="1093"/>
    <n v="395"/>
    <n v="187"/>
    <n v="134"/>
    <n v="413"/>
    <n v="410"/>
  </r>
  <r>
    <n v="1095"/>
    <n v="776"/>
    <n v="1608"/>
    <n v="0.48299999999999998"/>
    <n v="236"/>
    <n v="633"/>
    <n v="0.373"/>
    <n v="321"/>
    <n v="443"/>
    <n v="0.72499999999999998"/>
    <n v="255"/>
    <n v="1058"/>
    <n v="436"/>
    <n v="124"/>
    <n v="76"/>
    <n v="356"/>
    <n v="486"/>
  </r>
  <r>
    <n v="1120"/>
    <n v="715"/>
    <n v="1536"/>
    <n v="0.46500000000000002"/>
    <n v="235"/>
    <n v="666"/>
    <n v="0.35299999999999998"/>
    <n v="407"/>
    <n v="514"/>
    <n v="0.79200000000000004"/>
    <n v="212"/>
    <n v="965"/>
    <n v="408"/>
    <n v="164"/>
    <n v="75"/>
    <n v="378"/>
    <n v="465"/>
  </r>
  <r>
    <n v="1120"/>
    <n v="737"/>
    <n v="1661"/>
    <n v="0.44400000000000001"/>
    <n v="218"/>
    <n v="600"/>
    <n v="0.36299999999999999"/>
    <n v="335"/>
    <n v="543"/>
    <n v="0.61699999999999999"/>
    <n v="339"/>
    <n v="1121"/>
    <n v="447"/>
    <n v="248"/>
    <n v="136"/>
    <n v="437"/>
    <n v="531"/>
  </r>
  <r>
    <n v="1330"/>
    <n v="803"/>
    <n v="1842"/>
    <n v="0.436"/>
    <n v="230"/>
    <n v="645"/>
    <n v="0.35699999999999998"/>
    <n v="489"/>
    <n v="642"/>
    <n v="0.76200000000000001"/>
    <n v="334"/>
    <n v="1133"/>
    <n v="480"/>
    <n v="191"/>
    <n v="116"/>
    <n v="383"/>
    <n v="620"/>
  </r>
  <r>
    <n v="965"/>
    <n v="699"/>
    <n v="1475"/>
    <n v="0.47399999999999998"/>
    <n v="211"/>
    <n v="618"/>
    <n v="0.34100000000000003"/>
    <n v="412"/>
    <n v="551"/>
    <n v="0.748"/>
    <n v="263"/>
    <n v="946"/>
    <n v="338"/>
    <n v="168"/>
    <n v="63"/>
    <n v="290"/>
    <n v="405"/>
  </r>
  <r>
    <n v="1160"/>
    <n v="773"/>
    <n v="1732"/>
    <n v="0.44600000000000001"/>
    <n v="185"/>
    <n v="557"/>
    <n v="0.33200000000000002"/>
    <n v="374"/>
    <n v="518"/>
    <n v="0.72199999999999998"/>
    <n v="361"/>
    <n v="1180"/>
    <n v="469"/>
    <n v="193"/>
    <n v="145"/>
    <n v="403"/>
    <n v="436"/>
  </r>
  <r>
    <n v="1125"/>
    <n v="743"/>
    <n v="1634"/>
    <n v="0.45500000000000002"/>
    <n v="220"/>
    <n v="635"/>
    <n v="0.34599999999999997"/>
    <n v="416"/>
    <n v="566"/>
    <n v="0.73499999999999999"/>
    <n v="253"/>
    <n v="995"/>
    <n v="378"/>
    <n v="183"/>
    <n v="80"/>
    <n v="328"/>
    <n v="478"/>
  </r>
  <r>
    <n v="1105"/>
    <n v="701"/>
    <n v="1558"/>
    <n v="0.45"/>
    <n v="172"/>
    <n v="535"/>
    <n v="0.32100000000000001"/>
    <n v="340"/>
    <n v="507"/>
    <n v="0.67100000000000004"/>
    <n v="284"/>
    <n v="934"/>
    <n v="371"/>
    <n v="188"/>
    <n v="69"/>
    <n v="348"/>
    <n v="524"/>
  </r>
  <r>
    <n v="1165"/>
    <n v="836"/>
    <n v="1823"/>
    <n v="0.45900000000000002"/>
    <n v="234"/>
    <n v="674"/>
    <n v="0.34699999999999998"/>
    <n v="465"/>
    <n v="619"/>
    <n v="0.751"/>
    <n v="330"/>
    <n v="1113"/>
    <n v="351"/>
    <n v="225"/>
    <n v="85"/>
    <n v="329"/>
    <n v="505"/>
  </r>
  <r>
    <n v="1120"/>
    <n v="797"/>
    <n v="1758"/>
    <n v="0.45300000000000001"/>
    <n v="255"/>
    <n v="715"/>
    <n v="0.35699999999999998"/>
    <n v="380"/>
    <n v="549"/>
    <n v="0.69199999999999995"/>
    <n v="320"/>
    <n v="1033"/>
    <n v="435"/>
    <n v="237"/>
    <n v="88"/>
    <n v="402"/>
    <n v="565"/>
  </r>
  <r>
    <n v="1095"/>
    <n v="702"/>
    <n v="1547"/>
    <n v="0.45400000000000001"/>
    <n v="232"/>
    <n v="652"/>
    <n v="0.35599999999999998"/>
    <n v="372"/>
    <n v="524"/>
    <n v="0.71"/>
    <n v="291"/>
    <n v="1036"/>
    <n v="357"/>
    <n v="176"/>
    <n v="110"/>
    <n v="393"/>
    <n v="531"/>
  </r>
  <r>
    <n v="1085"/>
    <n v="659"/>
    <n v="1460"/>
    <n v="0.45100000000000001"/>
    <n v="168"/>
    <n v="510"/>
    <n v="0.32900000000000001"/>
    <n v="378"/>
    <n v="497"/>
    <n v="0.76100000000000001"/>
    <n v="238"/>
    <n v="890"/>
    <n v="347"/>
    <n v="240"/>
    <n v="140"/>
    <n v="380"/>
    <n v="485"/>
  </r>
  <r>
    <n v="1175"/>
    <n v="769"/>
    <n v="1793"/>
    <n v="0.42899999999999999"/>
    <n v="216"/>
    <n v="593"/>
    <n v="0.36399999999999999"/>
    <n v="489"/>
    <n v="680"/>
    <n v="0.71899999999999997"/>
    <n v="389"/>
    <n v="1097"/>
    <n v="407"/>
    <n v="220"/>
    <n v="82"/>
    <n v="348"/>
    <n v="473"/>
  </r>
  <r>
    <n v="1090"/>
    <n v="729"/>
    <n v="1615"/>
    <n v="0.45100000000000001"/>
    <n v="132"/>
    <n v="390"/>
    <n v="0.33800000000000002"/>
    <n v="360"/>
    <n v="474"/>
    <n v="0.75900000000000001"/>
    <n v="303"/>
    <n v="1069"/>
    <n v="319"/>
    <n v="204"/>
    <n v="108"/>
    <n v="350"/>
    <n v="450"/>
  </r>
  <r>
    <n v="1050"/>
    <n v="667"/>
    <n v="1522"/>
    <n v="0.438"/>
    <n v="218"/>
    <n v="607"/>
    <n v="0.35899999999999999"/>
    <n v="336"/>
    <n v="429"/>
    <n v="0.78300000000000003"/>
    <n v="217"/>
    <n v="881"/>
    <n v="319"/>
    <n v="178"/>
    <n v="48"/>
    <n v="289"/>
    <n v="370"/>
  </r>
  <r>
    <n v="1050"/>
    <n v="732"/>
    <n v="1604"/>
    <n v="0.45600000000000002"/>
    <n v="221"/>
    <n v="618"/>
    <n v="0.35799999999999998"/>
    <n v="382"/>
    <n v="533"/>
    <n v="0.71699999999999997"/>
    <n v="352"/>
    <n v="1130"/>
    <n v="404"/>
    <n v="213"/>
    <n v="103"/>
    <n v="394"/>
    <n v="435"/>
  </r>
  <r>
    <n v="1010"/>
    <n v="693"/>
    <n v="1461"/>
    <n v="0.47399999999999998"/>
    <n v="192"/>
    <n v="510"/>
    <n v="0.376"/>
    <n v="351"/>
    <n v="474"/>
    <n v="0.74099999999999999"/>
    <n v="272"/>
    <n v="918"/>
    <n v="363"/>
    <n v="182"/>
    <n v="127"/>
    <n v="359"/>
    <n v="459"/>
  </r>
  <r>
    <n v="1095"/>
    <n v="723"/>
    <n v="1568"/>
    <n v="0.46100000000000002"/>
    <n v="219"/>
    <n v="616"/>
    <n v="0.35599999999999998"/>
    <n v="340"/>
    <n v="496"/>
    <n v="0.68500000000000005"/>
    <n v="299"/>
    <n v="1048"/>
    <n v="383"/>
    <n v="135"/>
    <n v="94"/>
    <n v="360"/>
    <n v="413"/>
  </r>
  <r>
    <n v="1180"/>
    <n v="832"/>
    <n v="1738"/>
    <n v="0.47899999999999998"/>
    <n v="250"/>
    <n v="673"/>
    <n v="0.371"/>
    <n v="311"/>
    <n v="433"/>
    <n v="0.71799999999999997"/>
    <n v="252"/>
    <n v="1053"/>
    <n v="479"/>
    <n v="200"/>
    <n v="86"/>
    <n v="373"/>
    <n v="445"/>
  </r>
  <r>
    <n v="1340"/>
    <n v="847"/>
    <n v="1866"/>
    <n v="0.45400000000000001"/>
    <n v="179"/>
    <n v="522"/>
    <n v="0.34300000000000003"/>
    <n v="414"/>
    <n v="629"/>
    <n v="0.65800000000000003"/>
    <n v="400"/>
    <n v="1287"/>
    <n v="428"/>
    <n v="207"/>
    <n v="149"/>
    <n v="498"/>
    <n v="512"/>
  </r>
  <r>
    <n v="1010"/>
    <n v="734"/>
    <n v="1611"/>
    <n v="0.45600000000000002"/>
    <n v="194"/>
    <n v="605"/>
    <n v="0.32100000000000001"/>
    <n v="298"/>
    <n v="446"/>
    <n v="0.66800000000000004"/>
    <n v="273"/>
    <n v="952"/>
    <n v="336"/>
    <n v="228"/>
    <n v="83"/>
    <n v="326"/>
    <n v="462"/>
  </r>
  <r>
    <n v="1160"/>
    <n v="801"/>
    <n v="1826"/>
    <n v="0.439"/>
    <n v="162"/>
    <n v="509"/>
    <n v="0.318"/>
    <n v="417"/>
    <n v="624"/>
    <n v="0.66800000000000004"/>
    <n v="454"/>
    <n v="1242"/>
    <n v="443"/>
    <n v="204"/>
    <n v="137"/>
    <n v="423"/>
    <n v="486"/>
  </r>
  <r>
    <n v="1130"/>
    <n v="717"/>
    <n v="1516"/>
    <n v="0.47299999999999998"/>
    <n v="214"/>
    <n v="571"/>
    <n v="0.375"/>
    <n v="306"/>
    <n v="411"/>
    <n v="0.745"/>
    <n v="238"/>
    <n v="927"/>
    <n v="373"/>
    <n v="182"/>
    <n v="81"/>
    <n v="360"/>
    <n v="440"/>
  </r>
  <r>
    <n v="1165"/>
    <n v="811"/>
    <n v="1805"/>
    <n v="0.44900000000000001"/>
    <n v="323"/>
    <n v="850"/>
    <n v="0.38"/>
    <n v="407"/>
    <n v="496"/>
    <n v="0.82099999999999995"/>
    <n v="237"/>
    <n v="1006"/>
    <n v="370"/>
    <n v="191"/>
    <n v="111"/>
    <n v="330"/>
    <n v="502"/>
  </r>
  <r>
    <n v="1130"/>
    <n v="714"/>
    <n v="1596"/>
    <n v="0.44700000000000001"/>
    <n v="201"/>
    <n v="603"/>
    <n v="0.33300000000000002"/>
    <n v="360"/>
    <n v="506"/>
    <n v="0.71099999999999997"/>
    <n v="312"/>
    <n v="1054"/>
    <n v="399"/>
    <n v="142"/>
    <n v="98"/>
    <n v="350"/>
    <n v="491"/>
  </r>
  <r>
    <n v="1125"/>
    <n v="743"/>
    <n v="1681"/>
    <n v="0.442"/>
    <n v="237"/>
    <n v="678"/>
    <n v="0.35"/>
    <n v="372"/>
    <n v="476"/>
    <n v="0.78200000000000003"/>
    <n v="285"/>
    <n v="990"/>
    <n v="419"/>
    <n v="227"/>
    <n v="141"/>
    <n v="317"/>
    <n v="409"/>
  </r>
  <r>
    <n v="1080"/>
    <n v="682"/>
    <n v="1554"/>
    <n v="0.439"/>
    <n v="178"/>
    <n v="538"/>
    <n v="0.33100000000000002"/>
    <n v="399"/>
    <n v="535"/>
    <n v="0.746"/>
    <n v="294"/>
    <n v="968"/>
    <n v="401"/>
    <n v="196"/>
    <n v="130"/>
    <n v="337"/>
    <n v="444"/>
  </r>
  <r>
    <n v="1015"/>
    <n v="629"/>
    <n v="1361"/>
    <n v="0.46200000000000002"/>
    <n v="139"/>
    <n v="366"/>
    <n v="0.38"/>
    <n v="263"/>
    <n v="372"/>
    <n v="0.70699999999999996"/>
    <n v="231"/>
    <n v="822"/>
    <n v="339"/>
    <n v="172"/>
    <n v="73"/>
    <n v="332"/>
    <n v="422"/>
  </r>
  <r>
    <n v="1170"/>
    <n v="734"/>
    <n v="1672"/>
    <n v="0.439"/>
    <n v="185"/>
    <n v="523"/>
    <n v="0.35399999999999998"/>
    <n v="450"/>
    <n v="634"/>
    <n v="0.71"/>
    <n v="333"/>
    <n v="1014"/>
    <n v="377"/>
    <n v="207"/>
    <n v="116"/>
    <n v="313"/>
    <n v="502"/>
  </r>
  <r>
    <n v="1005"/>
    <n v="655"/>
    <n v="1446"/>
    <n v="0.45300000000000001"/>
    <n v="229"/>
    <n v="648"/>
    <n v="0.35299999999999998"/>
    <n v="331"/>
    <n v="434"/>
    <n v="0.76300000000000001"/>
    <n v="232"/>
    <n v="847"/>
    <n v="374"/>
    <n v="127"/>
    <n v="47"/>
    <n v="227"/>
    <n v="387"/>
  </r>
  <r>
    <n v="1005"/>
    <n v="629"/>
    <n v="1326"/>
    <n v="0.47399999999999998"/>
    <n v="212"/>
    <n v="566"/>
    <n v="0.375"/>
    <n v="235"/>
    <n v="288"/>
    <n v="0.81599999999999995"/>
    <n v="162"/>
    <n v="791"/>
    <n v="345"/>
    <n v="123"/>
    <n v="111"/>
    <n v="229"/>
    <n v="323"/>
  </r>
  <r>
    <n v="1250"/>
    <n v="767"/>
    <n v="1806"/>
    <n v="0.42499999999999999"/>
    <n v="269"/>
    <n v="738"/>
    <n v="0.36399999999999999"/>
    <n v="364"/>
    <n v="474"/>
    <n v="0.76800000000000002"/>
    <n v="255"/>
    <n v="1042"/>
    <n v="414"/>
    <n v="175"/>
    <n v="123"/>
    <n v="280"/>
    <n v="500"/>
  </r>
  <r>
    <n v="965"/>
    <n v="710"/>
    <n v="1471"/>
    <n v="0.48299999999999998"/>
    <n v="179"/>
    <n v="484"/>
    <n v="0.37"/>
    <n v="368"/>
    <n v="508"/>
    <n v="0.72399999999999998"/>
    <n v="284"/>
    <n v="1015"/>
    <n v="369"/>
    <n v="142"/>
    <n v="87"/>
    <n v="314"/>
    <n v="328"/>
  </r>
  <r>
    <n v="1185"/>
    <n v="690"/>
    <n v="1688"/>
    <n v="0.40899999999999997"/>
    <n v="233"/>
    <n v="737"/>
    <n v="0.316"/>
    <n v="426"/>
    <n v="574"/>
    <n v="0.74199999999999999"/>
    <n v="319"/>
    <n v="1053"/>
    <n v="344"/>
    <n v="230"/>
    <n v="107"/>
    <n v="343"/>
    <n v="394"/>
  </r>
  <r>
    <n v="1050"/>
    <n v="667"/>
    <n v="1492"/>
    <n v="0.44700000000000001"/>
    <n v="174"/>
    <n v="468"/>
    <n v="0.372"/>
    <n v="453"/>
    <n v="623"/>
    <n v="0.72699999999999998"/>
    <n v="305"/>
    <n v="997"/>
    <n v="403"/>
    <n v="152"/>
    <n v="104"/>
    <n v="309"/>
    <n v="463"/>
  </r>
  <r>
    <n v="1095"/>
    <n v="699"/>
    <n v="1409"/>
    <n v="0.496"/>
    <n v="195"/>
    <n v="520"/>
    <n v="0.375"/>
    <n v="324"/>
    <n v="478"/>
    <n v="0.67800000000000005"/>
    <n v="165"/>
    <n v="767"/>
    <n v="387"/>
    <n v="165"/>
    <n v="61"/>
    <n v="327"/>
    <n v="45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4B9631-0649-4DE0-8D89-75D06388993B}" name="PivotTable6" cacheId="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C20" firstHeaderRow="1" firstDataRow="1" firstDataCol="0"/>
  <pivotFields count="1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0AC2F7-BEDC-466D-BBB2-3CC8A80AB25E}" name="Table1" displayName="Table1" ref="A3:BQ71" totalsRowShown="0">
  <autoFilter ref="A3:BQ71" xr:uid="{900AC2F7-BEDC-466D-BBB2-3CC8A80AB25E}"/>
  <sortState xmlns:xlrd2="http://schemas.microsoft.com/office/spreadsheetml/2017/richdata2" ref="A4:BQ71">
    <sortCondition ref="BQ3:BQ71"/>
  </sortState>
  <tableColumns count="69">
    <tableColumn id="1" xr3:uid="{61804B58-2C79-4E71-8090-8F0D45422F17}" name="Rank" dataDxfId="110"/>
    <tableColumn id="2" xr3:uid="{2BF53142-FA99-4060-AFAB-81D6E448DC0F}" name="School" dataDxfId="109" dataCellStyle="Hyperlink"/>
    <tableColumn id="3" xr3:uid="{6CF9D9A7-6EBE-4A6B-9488-43F289357FF2}" name="G" dataDxfId="108"/>
    <tableColumn id="4" xr3:uid="{EE07D0E2-D39D-443F-A480-6DFD389C0907}" name="W" dataDxfId="107"/>
    <tableColumn id="5" xr3:uid="{F91E47AE-777E-4E47-956E-AB276801275D}" name="L" dataDxfId="106"/>
    <tableColumn id="6" xr3:uid="{4D087080-1408-4EA3-B05E-3677AB4C35AA}" name="W-L%" dataDxfId="105"/>
    <tableColumn id="7" xr3:uid="{79F46D32-E0D0-4BA8-845F-2B7467425869}" name="SRS" dataDxfId="104"/>
    <tableColumn id="8" xr3:uid="{ED615C8B-AE63-4A78-8394-93C4AC3B3C9A}" name="SOS" dataDxfId="103"/>
    <tableColumn id="9" xr3:uid="{14A4BAD1-FFA3-482E-A9A7-95F7805BDEE8}" name="Column1" dataDxfId="102"/>
    <tableColumn id="10" xr3:uid="{058CD864-0077-431E-A7DF-7E1F11293026}" name="Conf. W" dataDxfId="101"/>
    <tableColumn id="11" xr3:uid="{D2BBBBB3-01F7-41FA-9A78-253B4731274D}" name="Conf. L" dataDxfId="100"/>
    <tableColumn id="12" xr3:uid="{B8D9160B-B2C8-40CA-9684-265659755F32}" name="Column2" dataDxfId="99"/>
    <tableColumn id="13" xr3:uid="{A103B2F0-A5E1-48E4-8498-1A6B6B1799B2}" name="HomeW" dataDxfId="98"/>
    <tableColumn id="14" xr3:uid="{BCD2AC6B-0214-4404-B2AC-0F55D8C07D0B}" name="HomeL" dataDxfId="97"/>
    <tableColumn id="15" xr3:uid="{7C85DD14-45D3-4F73-A934-185ACEBA5397}" name="Column3" dataDxfId="96"/>
    <tableColumn id="16" xr3:uid="{8DFD628B-45D9-4453-B5AC-A337CB6ABEE7}" name="AwayW" dataDxfId="95"/>
    <tableColumn id="17" xr3:uid="{1090B4AD-A5FD-4F18-B71B-51F11180F70F}" name="AwayL" dataDxfId="94"/>
    <tableColumn id="18" xr3:uid="{F733800D-38B1-4057-ADCF-3342FA7E7978}" name="Column4" dataDxfId="93"/>
    <tableColumn id="19" xr3:uid="{B8B25725-7A00-4236-89B2-452B10B47791}" name="Tm." dataDxfId="92"/>
    <tableColumn id="20" xr3:uid="{D7E4903D-D4A8-4B11-992F-ECAD4D98F9AE}" name="Opp." dataDxfId="91"/>
    <tableColumn id="21" xr3:uid="{D0CD76F2-4A66-45D5-A4E4-88504AA40D05}" name="Column5" dataDxfId="90"/>
    <tableColumn id="22" xr3:uid="{04125AD7-BFC8-4F3F-B5A4-733B08212A36}" name="MP" dataDxfId="89"/>
    <tableColumn id="23" xr3:uid="{82E74A8D-2443-4546-A30E-C04AEB0819B7}" name="FG" dataDxfId="88"/>
    <tableColumn id="24" xr3:uid="{52C4ECEF-EA34-4BB2-AE5F-674E359B722B}" name="FGA" dataDxfId="87"/>
    <tableColumn id="25" xr3:uid="{4B174CEB-A74D-4F12-8CC5-B191787197F4}" name="FG%" dataDxfId="86"/>
    <tableColumn id="26" xr3:uid="{6D28731C-DD66-4D36-8510-966B9AEB3E1E}" name="3P" dataDxfId="85"/>
    <tableColumn id="27" xr3:uid="{D3D2CDCE-41EB-4F78-9C86-22A94BC8683B}" name="3PA" dataDxfId="84"/>
    <tableColumn id="28" xr3:uid="{55E51F8A-9AA9-49F6-A423-E342D5930606}" name="3P%" dataDxfId="83"/>
    <tableColumn id="29" xr3:uid="{25ED34B1-81A8-4083-A4D1-F53439F63656}" name="FT" dataDxfId="82"/>
    <tableColumn id="30" xr3:uid="{8F3F1C2D-810B-4C6E-A2D4-1B3098647FF9}" name="FTA" dataDxfId="81"/>
    <tableColumn id="31" xr3:uid="{849E921B-1A43-4B27-B60C-4AF6D0D7A8D4}" name="FT%" dataDxfId="80"/>
    <tableColumn id="32" xr3:uid="{B8C18446-233A-441F-B8B0-F65130993C38}" name="ORB" dataDxfId="79"/>
    <tableColumn id="33" xr3:uid="{67CCCA0C-7B55-4241-B9E7-DCD0A0FBBD6E}" name="TRB" dataDxfId="78"/>
    <tableColumn id="34" xr3:uid="{BEF262FA-4DE6-4B96-9DDB-A906550D6A0D}" name="AST" dataDxfId="77"/>
    <tableColumn id="35" xr3:uid="{D5D36C78-C0A1-4EED-BAB8-61B5753CE437}" name="STL" dataDxfId="76"/>
    <tableColumn id="36" xr3:uid="{F5EDAB26-2BBC-491E-81B5-CD80B0A341D7}" name="BLK" dataDxfId="75"/>
    <tableColumn id="37" xr3:uid="{4F35B052-96EA-4E2E-A4D7-0EBF642347A2}" name="TOV" dataDxfId="74"/>
    <tableColumn id="38" xr3:uid="{C0E2CFD9-58FA-4EA3-B5AB-6D87D7F24F8A}" name="PF" dataDxfId="73"/>
    <tableColumn id="39" xr3:uid="{03594A07-28A7-4D2E-8F2B-5678C306FB75}" name="SCW"/>
    <tableColumn id="40" xr3:uid="{A697C0FE-928A-4F2E-BAB6-BB5462870607}" name="SCL"/>
    <tableColumn id="41" xr3:uid="{037808E9-F6FC-49A9-837C-223B7EE65264}" name="SCW-L"/>
    <tableColumn id="42" xr3:uid="{5F131BB6-C3C5-49A1-9E17-B5754806DCD4}" name="SCSRS"/>
    <tableColumn id="43" xr3:uid="{47879A7F-D5C9-4F1F-8EAF-B8273CBF4CEB}" name="SCSOS"/>
    <tableColumn id="44" xr3:uid="{CFFDFA86-1E90-4E1C-9041-375CC83DB1D7}" name="SCConf.W"/>
    <tableColumn id="45" xr3:uid="{274A663F-B75A-414D-A976-238C2B5D92C1}" name="ScConfL"/>
    <tableColumn id="46" xr3:uid="{8AF7030D-BDA7-47B0-A47D-2BD8E72742B2}" name="SCHW"/>
    <tableColumn id="47" xr3:uid="{80283A29-B436-4617-BC1D-D50BA20631E2}" name="SCHL"/>
    <tableColumn id="48" xr3:uid="{F49ADF35-4252-4F43-9262-640253376AB4}" name="SCAW"/>
    <tableColumn id="49" xr3:uid="{96E56B79-1117-43F1-8481-18356C90D13E}" name="SCAL"/>
    <tableColumn id="50" xr3:uid="{270C88F6-1E96-428E-8712-8EEDF9458742}" name="SCPoints"/>
    <tableColumn id="51" xr3:uid="{23F8B82B-4E4B-403B-A3AC-C50207D12984}" name="SCPA"/>
    <tableColumn id="52" xr3:uid="{7889AC54-528C-42FD-A556-949248D0E405}" name="SCMP"/>
    <tableColumn id="53" xr3:uid="{95AED10F-5200-4CD1-A4B2-FC8F97440BF0}" name="SCFG"/>
    <tableColumn id="54" xr3:uid="{D5330226-8431-449F-AA32-DCABF8AEDCAB}" name="SCFGA"/>
    <tableColumn id="55" xr3:uid="{702D0C0A-A069-4994-B4B7-B3DC572F8128}" name="SCFG%"/>
    <tableColumn id="56" xr3:uid="{3FCB833E-0676-4292-9536-5022402CAA15}" name="SC3P"/>
    <tableColumn id="57" xr3:uid="{832766C3-C996-453E-A960-C6DDB55B9678}" name="SC3PA"/>
    <tableColumn id="58" xr3:uid="{D611A1A7-ADC1-4A39-BF22-92D3AD176C85}" name="SC3P%"/>
    <tableColumn id="59" xr3:uid="{402D9202-CD28-4746-B3B5-C17F82556461}" name="SCFT"/>
    <tableColumn id="60" xr3:uid="{4ED55048-63E8-4081-9E00-FE9037D63560}" name="SCFTA"/>
    <tableColumn id="61" xr3:uid="{A5331BEA-29D7-43CD-A31D-7085B0467BE3}" name="SCFT%"/>
    <tableColumn id="62" xr3:uid="{C4B8A577-7AD9-471F-8CEA-94F3A56865EE}" name="SCORB"/>
    <tableColumn id="63" xr3:uid="{1D8CE9F7-B2D5-40E2-A518-5F444FDB8E1C}" name="SCTRB"/>
    <tableColumn id="64" xr3:uid="{8968CDA1-A2B3-4ACA-BEE4-35F9CC938A16}" name="SCAST"/>
    <tableColumn id="65" xr3:uid="{6AA0C645-A150-4DA5-922E-DA866102CA61}" name="SCSTL"/>
    <tableColumn id="66" xr3:uid="{57D9BFDA-7998-4F58-A844-D687ED81BF69}" name="SCBLK"/>
    <tableColumn id="67" xr3:uid="{7510A672-222A-4144-ACB5-FE5FCE9B1C81}" name="SCTOV"/>
    <tableColumn id="68" xr3:uid="{6165828C-69CF-47C0-817A-D3BC6E91C0AB}" name="SCPF"/>
    <tableColumn id="69" xr3:uid="{7B185E39-D4DE-4350-BA6B-207829CFEF02}" name="Total Score" dataDxfId="72">
      <calculatedColumnFormula>SUM(Table1[[#This Row],[SCW]:[SCPF]])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D55746-3974-45C5-8A44-0D3CECFF43A4}" name="Table2" displayName="Table2" ref="BX2:DA3" totalsRowShown="0">
  <autoFilter ref="BX2:DA3" xr:uid="{BED55746-3974-45C5-8A44-0D3CECFF43A4}"/>
  <tableColumns count="30">
    <tableColumn id="1" xr3:uid="{30610267-50B5-4E69-8BA4-A4691DA1BB3C}" name="CONS.W"/>
    <tableColumn id="2" xr3:uid="{BD3DC0A0-0EA9-4847-8396-794447004E0B}" name="CONS.L"/>
    <tableColumn id="3" xr3:uid="{D4D12F0F-FBA0-4D32-ADF7-00E72A45B995}" name="CONS.W-L"/>
    <tableColumn id="4" xr3:uid="{E455C536-325D-4643-883D-3D286FAC470C}" name="CONS.SRS"/>
    <tableColumn id="5" xr3:uid="{F2063E60-B16A-4468-A19B-0BE18C7B4D33}" name="CONS.SOS"/>
    <tableColumn id="6" xr3:uid="{54C806F6-94A2-4BDB-B084-1B3AA187603B}" name="CONS.CONFW"/>
    <tableColumn id="7" xr3:uid="{E2ED09D0-6132-4982-A2FA-63A6CD5BC3CD}" name="CONS.CONFL"/>
    <tableColumn id="8" xr3:uid="{9A4AC818-D655-49E3-AD5F-FAF013BF6ED8}" name="CONSHOMEW"/>
    <tableColumn id="9" xr3:uid="{2154BDB9-D420-4D0C-BE4B-E3B995636DB4}" name="CONS.HOMEL"/>
    <tableColumn id="10" xr3:uid="{5635B89B-D2BF-4DEE-A215-6CC205FCC67D}" name="CONS.AWAYW"/>
    <tableColumn id="11" xr3:uid="{2303C02C-949D-4E6C-B88B-7AAE414D37AD}" name="CONS.AWAYL"/>
    <tableColumn id="12" xr3:uid="{566EEB16-F9C0-459A-ACED-CA415A51AE2C}" name="CONS.PF"/>
    <tableColumn id="13" xr3:uid="{550D1E1B-C71A-4D58-8EE8-245366BB302D}" name="CONSPA"/>
    <tableColumn id="14" xr3:uid="{0B7D3E9F-B267-4809-A200-A386DC0A358A}" name="CONS.MP"/>
    <tableColumn id="15" xr3:uid="{872EC17D-4BD4-4A99-AD76-C2A85FB13AD6}" name="CONS.FG"/>
    <tableColumn id="16" xr3:uid="{235A281D-2B82-4042-818A-AFD7D469B9D3}" name="CONS.FGA"/>
    <tableColumn id="17" xr3:uid="{BFD41DBA-454F-4078-B988-114C3AA3A394}" name="CONS.FG%"/>
    <tableColumn id="18" xr3:uid="{63B0484B-6E9C-4762-AEDF-352D209CD968}" name="CONS.3P"/>
    <tableColumn id="19" xr3:uid="{13F148B5-7D0C-4FAB-AFE4-C2E78AB8977C}" name="CONS.3PA"/>
    <tableColumn id="20" xr3:uid="{E36BDC8E-DD5A-4DBF-88FC-FF9FCAF74C15}" name="CONS.3p%"/>
    <tableColumn id="21" xr3:uid="{C6EFC1F3-63FF-4FBF-9218-A7585D5C1E65}" name="CONS.FT"/>
    <tableColumn id="22" xr3:uid="{3A978640-E456-4E32-8B7F-FC4D1F781364}" name="CONS.FTA"/>
    <tableColumn id="23" xr3:uid="{8CE18324-8239-46F6-A85A-072FFCB3FD92}" name="CONS.FT%"/>
    <tableColumn id="24" xr3:uid="{0957EE4A-8A69-423B-9098-77FA248A88A3}" name="CONS.ORB"/>
    <tableColumn id="25" xr3:uid="{910D564F-3982-4903-84C7-B46FC59081B5}" name="CONSTRB"/>
    <tableColumn id="26" xr3:uid="{FB42A0E8-4C96-4917-A01A-018EF37232FB}" name="CONSAST"/>
    <tableColumn id="27" xr3:uid="{BD637FE6-6232-4609-93A2-69C592DA93FE}" name="CONSSTL"/>
    <tableColumn id="28" xr3:uid="{B1D68821-6446-4EA3-9C93-238CEA62288D}" name="CONSBLK"/>
    <tableColumn id="29" xr3:uid="{CBD9B73D-7FF8-40DE-89A2-877DEAF585E6}" name="CONS.TOV"/>
    <tableColumn id="30" xr3:uid="{47CF9046-74EE-44CF-880F-860C5503A45E}" name="CONS.PF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7C252E-790E-4EA3-BFB8-97229D60DF59}" name="Table3" displayName="Table3" ref="BX8:DA9" totalsRowShown="0">
  <autoFilter ref="BX8:DA9" xr:uid="{5D7C252E-790E-4EA3-BFB8-97229D60DF59}"/>
  <tableColumns count="30">
    <tableColumn id="1" xr3:uid="{DBA54725-24FA-46B6-A3A5-3416F0E74B18}" name="WSC"/>
    <tableColumn id="2" xr3:uid="{C5391C5E-025F-4121-BF2B-47A9B79A7D59}" name="LSC"/>
    <tableColumn id="3" xr3:uid="{344364AC-DB48-4200-A7D9-47382D920F0B}" name="W-LSC"/>
    <tableColumn id="4" xr3:uid="{5BCA0A12-7647-4611-810F-0E68A196CCF4}" name="SRSSC"/>
    <tableColumn id="5" xr3:uid="{17E55C86-E108-4694-8645-38C822360C1E}" name="SOSSC"/>
    <tableColumn id="6" xr3:uid="{91A6A1F8-A106-4CA3-BF04-361D99C78DF4}" name="CONFWSC"/>
    <tableColumn id="7" xr3:uid="{41C0AB71-1F42-47C4-AEB2-8454AA40151B}" name="CONFLSC"/>
    <tableColumn id="8" xr3:uid="{F6E56A13-7287-4CD7-A7B9-3AA002BBF9B8}" name="HWSC"/>
    <tableColumn id="9" xr3:uid="{5A68158E-A245-456D-8E84-A18B25BF39FC}" name="HLSC"/>
    <tableColumn id="10" xr3:uid="{DACCD25D-9897-4314-A993-85162EF25002}" name="AWSC"/>
    <tableColumn id="11" xr3:uid="{C72A81CE-FEC0-4A30-89A2-3CFD52AC01AD}" name="ALSC"/>
    <tableColumn id="12" xr3:uid="{20C62285-B7C9-459E-984F-E53458906B6F}" name="PFSC"/>
    <tableColumn id="13" xr3:uid="{7EF2274A-69BB-4745-B465-09C54057017B}" name="PASC"/>
    <tableColumn id="14" xr3:uid="{D3113B21-F4A9-4C0B-B97E-8E55BCC680BF}" name="MPSC"/>
    <tableColumn id="15" xr3:uid="{0F1FC411-795F-4B1E-B8C6-F035DD4E5DB0}" name="FGSC"/>
    <tableColumn id="16" xr3:uid="{08478D7D-B59F-4794-B92A-B9AA0101AB87}" name="FGASC"/>
    <tableColumn id="17" xr3:uid="{D4E52CD0-3928-44B2-AF7D-02BD48D62AA7}" name="FG%SC"/>
    <tableColumn id="18" xr3:uid="{99FDFACA-E7CB-4AC0-926F-F7EEFB9E6D53}" name="3PSC"/>
    <tableColumn id="19" xr3:uid="{477A0DEE-196C-4920-B6EB-C76DA775976D}" name="3PASC"/>
    <tableColumn id="20" xr3:uid="{99CB05ED-3EED-40FE-8C4C-BB02697F81D4}" name="3p%SC"/>
    <tableColumn id="21" xr3:uid="{FD9E9469-B1EA-4F92-BEB3-A9E69C96EF20}" name="FTSC"/>
    <tableColumn id="22" xr3:uid="{47D20C24-1524-46A7-BE52-3D2A67036F4B}" name="FTASC"/>
    <tableColumn id="23" xr3:uid="{86779B45-B492-4224-97DA-077ECC9737D3}" name="FT%SC"/>
    <tableColumn id="24" xr3:uid="{298E5C6B-F10C-4F39-A222-A6A50FA3AF79}" name="ORBSC"/>
    <tableColumn id="25" xr3:uid="{DD1FCC86-B60C-4053-BB5F-43E50685F0E0}" name="TRBSC"/>
    <tableColumn id="26" xr3:uid="{D1E1F0FE-E7DF-4366-BA60-59B68073B200}" name="ASTSC"/>
    <tableColumn id="27" xr3:uid="{A035E292-19A9-4339-AE4D-178F6369285E}" name="STLSC"/>
    <tableColumn id="28" xr3:uid="{0E749FE0-9B14-426C-927C-3F2C4BE467BC}" name="BLKSC"/>
    <tableColumn id="29" xr3:uid="{B033A214-95BF-495E-8F74-93C4BB30102B}" name="TOVSC"/>
    <tableColumn id="30" xr3:uid="{B09A0F6C-E634-448A-B8E5-E913C10D97A1}" name="PFSC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C0600A0-572D-4346-BA4B-BD58DB10BF88}" name="Table35" displayName="Table35" ref="BY5:DB6" totalsRowShown="0">
  <autoFilter ref="BY5:DB6" xr:uid="{9C0600A0-572D-4346-BA4B-BD58DB10BF88}"/>
  <tableColumns count="30">
    <tableColumn id="1" xr3:uid="{D96DFC10-56FD-4C1D-B8C3-8B3DE7DC8392}" name="WSC"/>
    <tableColumn id="2" xr3:uid="{03D6686A-1786-426B-BDBE-91949BE98A4D}" name="LSC"/>
    <tableColumn id="3" xr3:uid="{194A4C93-FA58-4D88-98B2-6CB185615B2E}" name="W-LSC"/>
    <tableColumn id="4" xr3:uid="{A5902A56-290E-4F7C-8D86-EBC71B3DC1A3}" name="SRSSC"/>
    <tableColumn id="5" xr3:uid="{904E81ED-FC1D-4197-B544-1533C7C7BBAC}" name="SOSSC"/>
    <tableColumn id="6" xr3:uid="{5250F3E8-822A-4CBE-96CB-6652AD420554}" name="CONFWSC"/>
    <tableColumn id="7" xr3:uid="{5736EF39-45A3-4E97-9311-5326A6AB6FBC}" name="CONFLSC"/>
    <tableColumn id="8" xr3:uid="{866ED92A-3EFC-4D49-9121-7401D3182D48}" name="HWSC"/>
    <tableColumn id="9" xr3:uid="{911849FB-922B-409C-8F13-7045911C74B0}" name="HLSC"/>
    <tableColumn id="10" xr3:uid="{E5AAEF8E-685D-44D1-8B21-A1FF40897894}" name="AWSC"/>
    <tableColumn id="11" xr3:uid="{A009550B-06EE-433A-BA37-9083E968A1BF}" name="ALSC"/>
    <tableColumn id="12" xr3:uid="{0D065011-926F-4D5E-8A61-AA365BCC9E81}" name="PFSC"/>
    <tableColumn id="13" xr3:uid="{DDD4BF89-CF26-42F8-9CF3-50818DDF97A6}" name="PASC"/>
    <tableColumn id="14" xr3:uid="{789E7E34-A1FF-46F6-BECE-B18D44A99516}" name="MPSC"/>
    <tableColumn id="15" xr3:uid="{52AED0D2-2944-4BBF-8B58-32BFC5867DB3}" name="FGSC"/>
    <tableColumn id="16" xr3:uid="{A53CC45D-B8F8-4071-B6D7-69420101B3FC}" name="FGASC"/>
    <tableColumn id="17" xr3:uid="{F06215C8-36D4-4C47-AFE8-5AFC4F8BFA21}" name="FG%SC"/>
    <tableColumn id="18" xr3:uid="{BF2C14D2-032E-438D-AFDA-D8AEBB06805B}" name="3PSC"/>
    <tableColumn id="19" xr3:uid="{B457D0DC-5105-406D-B23D-AB835DE3E4FB}" name="3PASC"/>
    <tableColumn id="20" xr3:uid="{6ECAA539-17ED-49B3-963A-2119C188D170}" name="3p%SC"/>
    <tableColumn id="21" xr3:uid="{5B31E999-7C3F-442A-B873-CE6635C49FB2}" name="FTSC"/>
    <tableColumn id="22" xr3:uid="{9F064C93-FF82-4D39-B737-1BE31D3A252D}" name="FTASC"/>
    <tableColumn id="23" xr3:uid="{2F4EC548-7CCF-4F82-9A72-DE43184D1396}" name="FT%SC"/>
    <tableColumn id="24" xr3:uid="{3454BF3C-0FFE-4D91-AB43-9CC13823FBEC}" name="ORBSC"/>
    <tableColumn id="25" xr3:uid="{0A973EB5-24FB-455F-ABF3-11E4F5D8A778}" name="TRBSC"/>
    <tableColumn id="26" xr3:uid="{32BFD65E-FA10-4C66-AB31-A3086FC01BB5}" name="ASTSC"/>
    <tableColumn id="27" xr3:uid="{8F4924E8-7E3B-4D26-A0B2-DF1598D36E00}" name="STLSC"/>
    <tableColumn id="28" xr3:uid="{A6EBCA23-CF55-4DA3-B552-4CB583B03D4D}" name="BLKSC"/>
    <tableColumn id="29" xr3:uid="{2B25B4D5-5AA2-45E8-94A1-7DC813AF70BE}" name="TOVSC"/>
    <tableColumn id="30" xr3:uid="{CB1D575B-77AA-4B1D-A76A-DD379CBE67C2}" name="PFSC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9C7CA3B-25CE-4AB5-96C4-A25B35F98754}" name="Table9" displayName="Table9" ref="A2:BQ69" totalsRowShown="0" headerRowDxfId="1" dataDxfId="2" tableBorderDxfId="71">
  <autoFilter ref="A2:BQ69" xr:uid="{19C7CA3B-25CE-4AB5-96C4-A25B35F98754}"/>
  <sortState xmlns:xlrd2="http://schemas.microsoft.com/office/spreadsheetml/2017/richdata2" ref="A3:BQ69">
    <sortCondition descending="1" ref="BQ2:BQ69"/>
  </sortState>
  <tableColumns count="69">
    <tableColumn id="1" xr3:uid="{5DDA13D0-57E9-4998-B4D9-4C504A67996E}" name="Rk" dataDxfId="70"/>
    <tableColumn id="2" xr3:uid="{45E6BA8B-429A-4E43-864D-F09E85D65891}" name="School" dataDxfId="69" dataCellStyle="Hyperlink"/>
    <tableColumn id="3" xr3:uid="{61F1B7A8-F8CE-4449-80A2-85D9D119A84B}" name="G" dataDxfId="68"/>
    <tableColumn id="4" xr3:uid="{BAE28CC8-BA0C-4FB0-BFA0-FE15A2D810B2}" name="W" dataDxfId="67"/>
    <tableColumn id="5" xr3:uid="{1A1F9495-4F0F-414D-A76F-FC67AAC5DF26}" name="L" dataDxfId="66"/>
    <tableColumn id="6" xr3:uid="{51DD8FC5-09A9-4257-B940-BF977D733012}" name="W-L%" dataDxfId="65"/>
    <tableColumn id="7" xr3:uid="{EE92A282-F8AE-4A81-BB5E-D2104443A0D7}" name="SRS" dataDxfId="64"/>
    <tableColumn id="8" xr3:uid="{877BDF8A-A555-46CF-9D64-7CBE41386FB4}" name="SOS" dataDxfId="63"/>
    <tableColumn id="9" xr3:uid="{062E1C69-3CC3-4AA2-B8F1-77398EEEB567}" name="Column1" dataDxfId="62"/>
    <tableColumn id="10" xr3:uid="{3E14116E-2E96-4D54-AC9F-425D117D5AC2}" name="W2" dataDxfId="61"/>
    <tableColumn id="11" xr3:uid="{FCC062B1-041C-4247-8AFF-814DCA1724F4}" name="L3" dataDxfId="60"/>
    <tableColumn id="12" xr3:uid="{8E197676-96AF-48D9-BEB6-3AC264EB3B7A}" name="Column4" dataDxfId="59"/>
    <tableColumn id="13" xr3:uid="{19895AD7-D63B-4F11-8F5E-B28B0A2F1D89}" name="W5" dataDxfId="58"/>
    <tableColumn id="14" xr3:uid="{C1A10036-07A1-40D9-B0A6-0DE2224FD589}" name="L6" dataDxfId="57"/>
    <tableColumn id="15" xr3:uid="{9113196B-66B0-4B03-A619-0E0997775F1D}" name="Column7" dataDxfId="56"/>
    <tableColumn id="16" xr3:uid="{C532B79F-C3B5-4004-B954-24878D53B595}" name="W8" dataDxfId="55"/>
    <tableColumn id="17" xr3:uid="{F0B08358-3CD1-49AB-88BF-F61187FDFD11}" name="L9" dataDxfId="54"/>
    <tableColumn id="18" xr3:uid="{647A2CCF-8EA2-4198-AB8C-18E3666FAD66}" name="Column10" dataDxfId="53"/>
    <tableColumn id="19" xr3:uid="{ACA2B590-DA56-4140-8453-D596E2612BC3}" name="Tm." dataDxfId="52"/>
    <tableColumn id="20" xr3:uid="{7573E2C9-CA3E-4B2D-8A38-143AD4B23813}" name="Opp." dataDxfId="51"/>
    <tableColumn id="21" xr3:uid="{77C6486E-C7B0-4B8E-BB00-66FF0F96E385}" name="Column11" dataDxfId="50"/>
    <tableColumn id="22" xr3:uid="{D4BBF766-3187-4DD9-BC12-F956DF8DEEC4}" name="MP" dataDxfId="49"/>
    <tableColumn id="23" xr3:uid="{DC2C271D-4E6C-4B5B-9317-B993A0B37D9F}" name="FG" dataDxfId="48"/>
    <tableColumn id="24" xr3:uid="{A1AF084B-7763-4575-BE05-5028BA5B2DF1}" name="FGA" dataDxfId="47"/>
    <tableColumn id="25" xr3:uid="{542D4834-DB21-4E6B-B9AA-10492091714D}" name="FG%" dataDxfId="46"/>
    <tableColumn id="26" xr3:uid="{3F34B345-E8FD-4B79-AE26-F06D8FDA71AE}" name="3P" dataDxfId="45"/>
    <tableColumn id="27" xr3:uid="{AE08BB8E-7B1C-4B61-B7A6-9A17F0FCE6BC}" name="3PA" dataDxfId="44"/>
    <tableColumn id="28" xr3:uid="{335B24B7-DF9C-4392-B088-DBC50E8BA09F}" name="3P%" dataDxfId="43"/>
    <tableColumn id="29" xr3:uid="{CBA43865-B7CC-43BA-91A0-79D7D75120DF}" name="FT" dataDxfId="42"/>
    <tableColumn id="30" xr3:uid="{92E9B906-7054-4762-A839-11DDE6671085}" name="FTA" dataDxfId="41"/>
    <tableColumn id="31" xr3:uid="{076B5DDC-4184-4B48-AE1D-BC695D7D3930}" name="FT%" dataDxfId="40"/>
    <tableColumn id="32" xr3:uid="{BAE64E19-B228-424C-BAFD-FBC85FAEC46D}" name="ORB" dataDxfId="39"/>
    <tableColumn id="33" xr3:uid="{79D1A191-FF08-4492-A52A-59AB852F435B}" name="TRB" dataDxfId="38"/>
    <tableColumn id="34" xr3:uid="{98CE4100-3B39-4656-A4D2-105641E3631D}" name="AST" dataDxfId="37"/>
    <tableColumn id="35" xr3:uid="{D0ECEF77-DE81-4756-B215-D5AC11E85924}" name="STL" dataDxfId="36"/>
    <tableColumn id="36" xr3:uid="{CC9FEF80-47ED-48D1-BEB9-4163CA8D166F}" name="BLK" dataDxfId="35"/>
    <tableColumn id="37" xr3:uid="{34B02C83-8ACC-4A7E-8729-AC968DB4412C}" name="TOV" dataDxfId="34"/>
    <tableColumn id="38" xr3:uid="{2861A1D6-1FD7-4E70-899B-F11FCEF83C98}" name="PF" dataDxfId="33"/>
    <tableColumn id="39" xr3:uid="{493AC806-957B-4E95-A975-0696939AA0F2}" name="SCW" dataDxfId="32">
      <calculatedColumnFormula>D3*$BY$15</calculatedColumnFormula>
    </tableColumn>
    <tableColumn id="40" xr3:uid="{3B193547-8A50-4161-8BD8-8EB5890303E8}" name="SCL" dataDxfId="31">
      <calculatedColumnFormula>$BZ$15*E3</calculatedColumnFormula>
    </tableColumn>
    <tableColumn id="41" xr3:uid="{BEA5672A-5BC3-4EF4-8F77-8A8395B6BFAD}" name="SCW-L" dataDxfId="30">
      <calculatedColumnFormula>F3*$CA$15</calculatedColumnFormula>
    </tableColumn>
    <tableColumn id="42" xr3:uid="{088D07A9-6775-46C9-8D07-DB7841B21CAF}" name="SCSRS" dataDxfId="29">
      <calculatedColumnFormula>G3*$CB$15</calculatedColumnFormula>
    </tableColumn>
    <tableColumn id="43" xr3:uid="{A95987E0-C8D0-4794-B0DF-3540CD87FED5}" name="SCSOS" dataDxfId="28">
      <calculatedColumnFormula>H3*$CC$15</calculatedColumnFormula>
    </tableColumn>
    <tableColumn id="44" xr3:uid="{FEF7C830-1E12-4492-956F-628302292504}" name="SCConf.W" dataDxfId="27">
      <calculatedColumnFormula>J3*$CD$15</calculatedColumnFormula>
    </tableColumn>
    <tableColumn id="45" xr3:uid="{018FC82B-38B4-492E-BA60-2E530D03E96B}" name="ScConfL" dataDxfId="26">
      <calculatedColumnFormula>K3*$CE$15</calculatedColumnFormula>
    </tableColumn>
    <tableColumn id="46" xr3:uid="{2D19E518-B688-446E-ACF2-40BFAF180611}" name="SCHW" dataDxfId="25">
      <calculatedColumnFormula>M3*$CF$15</calculatedColumnFormula>
    </tableColumn>
    <tableColumn id="47" xr3:uid="{DA736515-A760-41D4-BF4E-F2EA89D5EDEE}" name="SCHL" dataDxfId="24">
      <calculatedColumnFormula>N3*$CG$15</calculatedColumnFormula>
    </tableColumn>
    <tableColumn id="48" xr3:uid="{B924E1A0-FD7A-4768-AEFC-92F2F8A737CD}" name="SCAW" dataDxfId="23">
      <calculatedColumnFormula>P3*$CH$15</calculatedColumnFormula>
    </tableColumn>
    <tableColumn id="49" xr3:uid="{BA4B9D5F-F3E6-4F19-8BCA-9624481F9680}" name="SCAL" dataDxfId="22">
      <calculatedColumnFormula>$CI$15*Q3</calculatedColumnFormula>
    </tableColumn>
    <tableColumn id="50" xr3:uid="{027EE46A-E7E3-41ED-8BED-8FCC24F43A5B}" name="SCPoints" dataDxfId="21">
      <calculatedColumnFormula>S3*$CJ$15</calculatedColumnFormula>
    </tableColumn>
    <tableColumn id="51" xr3:uid="{72B76C78-CC31-4C8E-A627-371B77CBEB75}" name="SCPA" dataDxfId="20">
      <calculatedColumnFormula>T3*$CK$15</calculatedColumnFormula>
    </tableColumn>
    <tableColumn id="52" xr3:uid="{851859F5-6FD0-40A2-BDEC-3594AA352A3D}" name="SCMP" dataDxfId="19">
      <calculatedColumnFormula>V3*$CL$15</calculatedColumnFormula>
    </tableColumn>
    <tableColumn id="53" xr3:uid="{561C0056-0A02-40C3-9844-180F304018EF}" name="SCFG" dataDxfId="18">
      <calculatedColumnFormula>W3*$CM$15</calculatedColumnFormula>
    </tableColumn>
    <tableColumn id="54" xr3:uid="{7DC3B20F-1799-461A-9346-6DD22597012E}" name="SCFGA" dataDxfId="17">
      <calculatedColumnFormula>X3*$CN$15</calculatedColumnFormula>
    </tableColumn>
    <tableColumn id="55" xr3:uid="{84C06E8D-EABE-4698-BCA2-88B9E3C90DCF}" name="SCFG%" dataDxfId="16">
      <calculatedColumnFormula>Y3*$CO$15</calculatedColumnFormula>
    </tableColumn>
    <tableColumn id="56" xr3:uid="{E6B61CAA-2F1F-4941-B644-ACF4F7459907}" name="SC3P" dataDxfId="15">
      <calculatedColumnFormula>$CP$15*Z3</calculatedColumnFormula>
    </tableColumn>
    <tableColumn id="57" xr3:uid="{CE625B9D-5A60-42CB-81B1-FF42EA5ADC99}" name="SC3PA" dataDxfId="14">
      <calculatedColumnFormula>AA3*$CQ$15</calculatedColumnFormula>
    </tableColumn>
    <tableColumn id="58" xr3:uid="{A9B72534-2ED3-47A6-A5E5-ACB63A3DD7DD}" name="SC3P%" dataDxfId="13">
      <calculatedColumnFormula>AB3*$CR$15</calculatedColumnFormula>
    </tableColumn>
    <tableColumn id="59" xr3:uid="{84381741-2311-401E-96C7-C740D80B422E}" name="SCFT" dataDxfId="12">
      <calculatedColumnFormula>AC3*$CS$15</calculatedColumnFormula>
    </tableColumn>
    <tableColumn id="60" xr3:uid="{C18E4D43-C7FB-4245-8A85-8E09AFA2AB28}" name="SCFTA" dataDxfId="11">
      <calculatedColumnFormula>$CT$15*AD3</calculatedColumnFormula>
    </tableColumn>
    <tableColumn id="61" xr3:uid="{07F7584D-526B-49A9-9D22-EF6F8DE6F531}" name="SCFT%" dataDxfId="10">
      <calculatedColumnFormula>AE3*$CU$15</calculatedColumnFormula>
    </tableColumn>
    <tableColumn id="62" xr3:uid="{BF73945F-B082-45F5-BDF2-D9A1A5BEF2DF}" name="SCORB" dataDxfId="9">
      <calculatedColumnFormula>$CV$15*AF3</calculatedColumnFormula>
    </tableColumn>
    <tableColumn id="63" xr3:uid="{5F1C82A0-5A58-4175-95CF-C27357A9A6AA}" name="SCTRB" dataDxfId="8">
      <calculatedColumnFormula>AG3*$CW$15</calculatedColumnFormula>
    </tableColumn>
    <tableColumn id="64" xr3:uid="{9A28FC65-68CD-4197-9D2A-291B160D3940}" name="SCAST" dataDxfId="7">
      <calculatedColumnFormula>AH3*$CX$15</calculatedColumnFormula>
    </tableColumn>
    <tableColumn id="65" xr3:uid="{415B7E8B-18BC-4F1B-8B11-C79CB59B0AB0}" name="SCSTL" dataDxfId="6">
      <calculatedColumnFormula>AI3*$CY$15</calculatedColumnFormula>
    </tableColumn>
    <tableColumn id="66" xr3:uid="{4699DC31-28C8-469B-BA50-348E027BDCE6}" name="SCBLK" dataDxfId="5">
      <calculatedColumnFormula>AJ3*$CZ$15</calculatedColumnFormula>
    </tableColumn>
    <tableColumn id="67" xr3:uid="{950032BD-48B2-4B89-A987-15DAD7066010}" name="SCTOV" dataDxfId="4">
      <calculatedColumnFormula>AK3*$DA$15</calculatedColumnFormula>
    </tableColumn>
    <tableColumn id="68" xr3:uid="{24E6435D-9AB9-4264-9FA4-8FF94D0D08B0}" name="SCPF" dataDxfId="3">
      <calculatedColumnFormula>AL3*$DB$15</calculatedColumnFormula>
    </tableColumn>
    <tableColumn id="69" xr3:uid="{EB6692E6-3F80-483E-AA44-05DFF55F0D5E}" name="Total Score" dataDxfId="0">
      <calculatedColumnFormula>SUM(Table9[[#This Row],[SCW]:[SCPF]])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ports-reference.com/cbb/schools/north-carolina-greensboro/2021.html" TargetMode="External"/><Relationship Id="rId21" Type="http://schemas.openxmlformats.org/officeDocument/2006/relationships/hyperlink" Target="https://www.sports-reference.com/cbb/schools/creighton/2021.html" TargetMode="External"/><Relationship Id="rId42" Type="http://schemas.openxmlformats.org/officeDocument/2006/relationships/hyperlink" Target="https://www.sports-reference.com/cbb/schools/texas/2021.html" TargetMode="External"/><Relationship Id="rId47" Type="http://schemas.openxmlformats.org/officeDocument/2006/relationships/hyperlink" Target="https://www.sports-reference.com/cbb/schools/coastal-carolina/2021.html" TargetMode="External"/><Relationship Id="rId63" Type="http://schemas.openxmlformats.org/officeDocument/2006/relationships/hyperlink" Target="https://www.sports-reference.com/cbb/schools/wisconsin/2021.html" TargetMode="External"/><Relationship Id="rId68" Type="http://schemas.openxmlformats.org/officeDocument/2006/relationships/printerSettings" Target="../printerSettings/printerSettings1.bin"/><Relationship Id="rId7" Type="http://schemas.openxmlformats.org/officeDocument/2006/relationships/hyperlink" Target="https://www.sports-reference.com/cbb/schools/loyola-il/2021.html" TargetMode="External"/><Relationship Id="rId71" Type="http://schemas.openxmlformats.org/officeDocument/2006/relationships/table" Target="../tables/table3.xml"/><Relationship Id="rId2" Type="http://schemas.openxmlformats.org/officeDocument/2006/relationships/hyperlink" Target="https://www.sports-reference.com/cbb/schools/baylor/2021.html" TargetMode="External"/><Relationship Id="rId16" Type="http://schemas.openxmlformats.org/officeDocument/2006/relationships/hyperlink" Target="https://www.sports-reference.com/cbb/schools/morehead-state/2021.html" TargetMode="External"/><Relationship Id="rId29" Type="http://schemas.openxmlformats.org/officeDocument/2006/relationships/hyperlink" Target="https://www.sports-reference.com/cbb/schools/oregon/2021.html" TargetMode="External"/><Relationship Id="rId11" Type="http://schemas.openxmlformats.org/officeDocument/2006/relationships/hyperlink" Target="https://www.sports-reference.com/cbb/schools/illinois/2021.html" TargetMode="External"/><Relationship Id="rId24" Type="http://schemas.openxmlformats.org/officeDocument/2006/relationships/hyperlink" Target="https://www.sports-reference.com/cbb/schools/ucla/2021.html" TargetMode="External"/><Relationship Id="rId32" Type="http://schemas.openxmlformats.org/officeDocument/2006/relationships/hyperlink" Target="https://www.sports-reference.com/cbb/schools/brigham-young/2021.html" TargetMode="External"/><Relationship Id="rId37" Type="http://schemas.openxmlformats.org/officeDocument/2006/relationships/hyperlink" Target="https://www.sports-reference.com/cbb/schools/utah-state/2021.html" TargetMode="External"/><Relationship Id="rId40" Type="http://schemas.openxmlformats.org/officeDocument/2006/relationships/hyperlink" Target="https://www.sports-reference.com/cbb/schools/louisiana-state/2021.html" TargetMode="External"/><Relationship Id="rId45" Type="http://schemas.openxmlformats.org/officeDocument/2006/relationships/hyperlink" Target="https://www.sports-reference.com/cbb/schools/california-irvine/2021.html" TargetMode="External"/><Relationship Id="rId53" Type="http://schemas.openxmlformats.org/officeDocument/2006/relationships/hyperlink" Target="https://www.sports-reference.com/cbb/schools/north-carolina/2021.html" TargetMode="External"/><Relationship Id="rId58" Type="http://schemas.openxmlformats.org/officeDocument/2006/relationships/hyperlink" Target="https://www.sports-reference.com/cbb/schools/tennessee/2021.html" TargetMode="External"/><Relationship Id="rId66" Type="http://schemas.openxmlformats.org/officeDocument/2006/relationships/hyperlink" Target="https://www.sports-reference.com/cbb/schools/arizona/2021.html" TargetMode="External"/><Relationship Id="rId5" Type="http://schemas.openxmlformats.org/officeDocument/2006/relationships/hyperlink" Target="https://www.sports-reference.com/cbb/schools/belmont/2021.html" TargetMode="External"/><Relationship Id="rId61" Type="http://schemas.openxmlformats.org/officeDocument/2006/relationships/hyperlink" Target="https://www.sports-reference.com/cbb/schools/villanova/2021.html" TargetMode="External"/><Relationship Id="rId19" Type="http://schemas.openxmlformats.org/officeDocument/2006/relationships/hyperlink" Target="https://www.sports-reference.com/cbb/schools/alabama-birmingham/2021.html" TargetMode="External"/><Relationship Id="rId14" Type="http://schemas.openxmlformats.org/officeDocument/2006/relationships/hyperlink" Target="https://www.sports-reference.com/cbb/schools/liberty/2021.html" TargetMode="External"/><Relationship Id="rId22" Type="http://schemas.openxmlformats.org/officeDocument/2006/relationships/hyperlink" Target="https://www.sports-reference.com/cbb/schools/eastern-kentucky/2021.html" TargetMode="External"/><Relationship Id="rId27" Type="http://schemas.openxmlformats.org/officeDocument/2006/relationships/hyperlink" Target="https://www.sports-reference.com/cbb/schools/ohio-state/2021.html" TargetMode="External"/><Relationship Id="rId30" Type="http://schemas.openxmlformats.org/officeDocument/2006/relationships/hyperlink" Target="https://www.sports-reference.com/cbb/schools/toledo/2021.html" TargetMode="External"/><Relationship Id="rId35" Type="http://schemas.openxmlformats.org/officeDocument/2006/relationships/hyperlink" Target="https://www.sports-reference.com/cbb/schools/oregon-state/2021.html" TargetMode="External"/><Relationship Id="rId43" Type="http://schemas.openxmlformats.org/officeDocument/2006/relationships/hyperlink" Target="https://www.sports-reference.com/cbb/schools/virginia-commonwealth/2021.html" TargetMode="External"/><Relationship Id="rId48" Type="http://schemas.openxmlformats.org/officeDocument/2006/relationships/hyperlink" Target="https://www.sports-reference.com/cbb/schools/florida-state/2021.html" TargetMode="External"/><Relationship Id="rId56" Type="http://schemas.openxmlformats.org/officeDocument/2006/relationships/hyperlink" Target="https://www.sports-reference.com/cbb/schools/purdue/2021.html" TargetMode="External"/><Relationship Id="rId64" Type="http://schemas.openxmlformats.org/officeDocument/2006/relationships/hyperlink" Target="https://www.sports-reference.com/cbb/schools/wright-state/2021.html" TargetMode="External"/><Relationship Id="rId69" Type="http://schemas.openxmlformats.org/officeDocument/2006/relationships/table" Target="../tables/table1.xml"/><Relationship Id="rId8" Type="http://schemas.openxmlformats.org/officeDocument/2006/relationships/hyperlink" Target="https://www.sports-reference.com/cbb/schools/arkansas/2021.html" TargetMode="External"/><Relationship Id="rId51" Type="http://schemas.openxmlformats.org/officeDocument/2006/relationships/hyperlink" Target="https://www.sports-reference.com/cbb/schools/mississippi-state/2021.html" TargetMode="External"/><Relationship Id="rId3" Type="http://schemas.openxmlformats.org/officeDocument/2006/relationships/hyperlink" Target="https://www.sports-reference.com/cbb/schools/houston/2021.html" TargetMode="External"/><Relationship Id="rId12" Type="http://schemas.openxmlformats.org/officeDocument/2006/relationships/hyperlink" Target="https://www.sports-reference.com/cbb/schools/louisiana-tech/2021.html" TargetMode="External"/><Relationship Id="rId17" Type="http://schemas.openxmlformats.org/officeDocument/2006/relationships/hyperlink" Target="https://www.sports-reference.com/cbb/schools/san-diego-state/2021.html" TargetMode="External"/><Relationship Id="rId25" Type="http://schemas.openxmlformats.org/officeDocument/2006/relationships/hyperlink" Target="https://www.sports-reference.com/cbb/schools/kansas/2021.html" TargetMode="External"/><Relationship Id="rId33" Type="http://schemas.openxmlformats.org/officeDocument/2006/relationships/hyperlink" Target="https://www.sports-reference.com/cbb/schools/colorado-state/2021.html" TargetMode="External"/><Relationship Id="rId38" Type="http://schemas.openxmlformats.org/officeDocument/2006/relationships/hyperlink" Target="https://www.sports-reference.com/cbb/schools/boise-state/2021.html" TargetMode="External"/><Relationship Id="rId46" Type="http://schemas.openxmlformats.org/officeDocument/2006/relationships/hyperlink" Target="https://www.sports-reference.com/cbb/schools/chattanooga/2021.html" TargetMode="External"/><Relationship Id="rId59" Type="http://schemas.openxmlformats.org/officeDocument/2006/relationships/hyperlink" Target="https://www.sports-reference.com/cbb/schools/texas-state/2021.html" TargetMode="External"/><Relationship Id="rId67" Type="http://schemas.openxmlformats.org/officeDocument/2006/relationships/hyperlink" Target="https://www.sports-reference.com/cbb/schools/campbell/2021.html" TargetMode="External"/><Relationship Id="rId20" Type="http://schemas.openxmlformats.org/officeDocument/2006/relationships/hyperlink" Target="https://www.sports-reference.com/cbb/schools/california-santa-barbara/2021.html" TargetMode="External"/><Relationship Id="rId41" Type="http://schemas.openxmlformats.org/officeDocument/2006/relationships/hyperlink" Target="https://www.sports-reference.com/cbb/schools/sam-houston-state/2021.html" TargetMode="External"/><Relationship Id="rId54" Type="http://schemas.openxmlformats.org/officeDocument/2006/relationships/hyperlink" Target="https://www.sports-reference.com/cbb/schools/north-texas/2021.html" TargetMode="External"/><Relationship Id="rId62" Type="http://schemas.openxmlformats.org/officeDocument/2006/relationships/hyperlink" Target="https://www.sports-reference.com/cbb/schools/virginia/2021.html" TargetMode="External"/><Relationship Id="rId70" Type="http://schemas.openxmlformats.org/officeDocument/2006/relationships/table" Target="../tables/table2.xml"/><Relationship Id="rId1" Type="http://schemas.openxmlformats.org/officeDocument/2006/relationships/hyperlink" Target="https://www.sports-reference.com/cbb/schools/gonzaga/2021.html" TargetMode="External"/><Relationship Id="rId6" Type="http://schemas.openxmlformats.org/officeDocument/2006/relationships/hyperlink" Target="https://www.sports-reference.com/cbb/schools/drake/2021.html" TargetMode="External"/><Relationship Id="rId15" Type="http://schemas.openxmlformats.org/officeDocument/2006/relationships/hyperlink" Target="https://www.sports-reference.com/cbb/schools/michigan/2021.html" TargetMode="External"/><Relationship Id="rId23" Type="http://schemas.openxmlformats.org/officeDocument/2006/relationships/hyperlink" Target="https://www.sports-reference.com/cbb/schools/iowa/2021.html" TargetMode="External"/><Relationship Id="rId28" Type="http://schemas.openxmlformats.org/officeDocument/2006/relationships/hyperlink" Target="https://www.sports-reference.com/cbb/schools/oklahoma-state/2021.html" TargetMode="External"/><Relationship Id="rId36" Type="http://schemas.openxmlformats.org/officeDocument/2006/relationships/hyperlink" Target="https://www.sports-reference.com/cbb/schools/southern-utah/2021.html" TargetMode="External"/><Relationship Id="rId49" Type="http://schemas.openxmlformats.org/officeDocument/2006/relationships/hyperlink" Target="https://www.sports-reference.com/cbb/schools/jacksonville-state/2021.html" TargetMode="External"/><Relationship Id="rId57" Type="http://schemas.openxmlformats.org/officeDocument/2006/relationships/hyperlink" Target="https://www.sports-reference.com/cbb/schools/syracuse/2021.html" TargetMode="External"/><Relationship Id="rId10" Type="http://schemas.openxmlformats.org/officeDocument/2006/relationships/hyperlink" Target="https://www.sports-reference.com/cbb/schools/abilene-christian/2021.html" TargetMode="External"/><Relationship Id="rId31" Type="http://schemas.openxmlformats.org/officeDocument/2006/relationships/hyperlink" Target="https://www.sports-reference.com/cbb/schools/western-kentucky/2021.html" TargetMode="External"/><Relationship Id="rId44" Type="http://schemas.openxmlformats.org/officeDocument/2006/relationships/hyperlink" Target="https://www.sports-reference.com/cbb/schools/west-virginia/2021.html" TargetMode="External"/><Relationship Id="rId52" Type="http://schemas.openxmlformats.org/officeDocument/2006/relationships/hyperlink" Target="https://www.sports-reference.com/cbb/schools/nicholls-state/2021.html" TargetMode="External"/><Relationship Id="rId60" Type="http://schemas.openxmlformats.org/officeDocument/2006/relationships/hyperlink" Target="https://www.sports-reference.com/cbb/schools/texas-tech/2021.html" TargetMode="External"/><Relationship Id="rId65" Type="http://schemas.openxmlformats.org/officeDocument/2006/relationships/hyperlink" Target="https://www.sports-reference.com/cbb/schools/appalachian-state/2021.html" TargetMode="External"/><Relationship Id="rId4" Type="http://schemas.openxmlformats.org/officeDocument/2006/relationships/hyperlink" Target="https://www.sports-reference.com/cbb/schools/alabama/2021.html" TargetMode="External"/><Relationship Id="rId9" Type="http://schemas.openxmlformats.org/officeDocument/2006/relationships/hyperlink" Target="https://www.sports-reference.com/cbb/schools/southern-california/2021.html" TargetMode="External"/><Relationship Id="rId13" Type="http://schemas.openxmlformats.org/officeDocument/2006/relationships/hyperlink" Target="https://www.sports-reference.com/cbb/schools/colorado/2021.html" TargetMode="External"/><Relationship Id="rId18" Type="http://schemas.openxmlformats.org/officeDocument/2006/relationships/hyperlink" Target="https://www.sports-reference.com/cbb/schools/winthrop/2021.html" TargetMode="External"/><Relationship Id="rId39" Type="http://schemas.openxmlformats.org/officeDocument/2006/relationships/hyperlink" Target="https://www.sports-reference.com/cbb/schools/cleveland-state/2021.html" TargetMode="External"/><Relationship Id="rId34" Type="http://schemas.openxmlformats.org/officeDocument/2006/relationships/hyperlink" Target="https://www.sports-reference.com/cbb/schools/memphis/2021.html" TargetMode="External"/><Relationship Id="rId50" Type="http://schemas.openxmlformats.org/officeDocument/2006/relationships/hyperlink" Target="https://www.sports-reference.com/cbb/schools/mercer/2021.html" TargetMode="External"/><Relationship Id="rId55" Type="http://schemas.openxmlformats.org/officeDocument/2006/relationships/hyperlink" Target="https://www.sports-reference.com/cbb/schools/oral-roberts/2021.html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ports-reference.com/cbb/schools/virginia-tech/2022.html" TargetMode="External"/><Relationship Id="rId21" Type="http://schemas.openxmlformats.org/officeDocument/2006/relationships/hyperlink" Target="https://www.sports-reference.com/cbb/schools/san-francisco/2022.html" TargetMode="External"/><Relationship Id="rId42" Type="http://schemas.openxmlformats.org/officeDocument/2006/relationships/hyperlink" Target="https://www.sports-reference.com/cbb/schools/texas-am/2022.html" TargetMode="External"/><Relationship Id="rId47" Type="http://schemas.openxmlformats.org/officeDocument/2006/relationships/hyperlink" Target="https://www.sports-reference.com/cbb/schools/colorado-state/2022.html" TargetMode="External"/><Relationship Id="rId63" Type="http://schemas.openxmlformats.org/officeDocument/2006/relationships/hyperlink" Target="https://www.sports-reference.com/cbb/schools/brigham-young/2022.html" TargetMode="External"/><Relationship Id="rId68" Type="http://schemas.openxmlformats.org/officeDocument/2006/relationships/hyperlink" Target="https://www.sports-reference.com/cbb/schools/virginia-commonwealth/2022.html" TargetMode="External"/><Relationship Id="rId7" Type="http://schemas.openxmlformats.org/officeDocument/2006/relationships/hyperlink" Target="https://www.sports-reference.com/cbb/schools/tennessee/2022.html" TargetMode="External"/><Relationship Id="rId71" Type="http://schemas.openxmlformats.org/officeDocument/2006/relationships/table" Target="../tables/table5.xml"/><Relationship Id="rId2" Type="http://schemas.openxmlformats.org/officeDocument/2006/relationships/hyperlink" Target="https://www.sports-reference.com/cbb/schools/arizona/2022.html" TargetMode="External"/><Relationship Id="rId16" Type="http://schemas.openxmlformats.org/officeDocument/2006/relationships/hyperlink" Target="https://www.sports-reference.com/cbb/schools/illinois/2022.html" TargetMode="External"/><Relationship Id="rId29" Type="http://schemas.openxmlformats.org/officeDocument/2006/relationships/hyperlink" Target="https://www.sports-reference.com/cbb/schools/seton-hall/2022.html" TargetMode="External"/><Relationship Id="rId11" Type="http://schemas.openxmlformats.org/officeDocument/2006/relationships/hyperlink" Target="https://www.sports-reference.com/cbb/schools/texas-tech/2022.html" TargetMode="External"/><Relationship Id="rId24" Type="http://schemas.openxmlformats.org/officeDocument/2006/relationships/hyperlink" Target="https://www.sports-reference.com/cbb/schools/ohio-state/2022.html" TargetMode="External"/><Relationship Id="rId32" Type="http://schemas.openxmlformats.org/officeDocument/2006/relationships/hyperlink" Target="https://www.sports-reference.com/cbb/schools/indiana/2022.html" TargetMode="External"/><Relationship Id="rId37" Type="http://schemas.openxmlformats.org/officeDocument/2006/relationships/hyperlink" Target="https://www.sports-reference.com/cbb/schools/north-carolina/2022.html" TargetMode="External"/><Relationship Id="rId40" Type="http://schemas.openxmlformats.org/officeDocument/2006/relationships/hyperlink" Target="https://www.sports-reference.com/cbb/schools/florida/2022.html" TargetMode="External"/><Relationship Id="rId45" Type="http://schemas.openxmlformats.org/officeDocument/2006/relationships/hyperlink" Target="https://www.sports-reference.com/cbb/schools/iowa-state/2022.html" TargetMode="External"/><Relationship Id="rId53" Type="http://schemas.openxmlformats.org/officeDocument/2006/relationships/hyperlink" Target="https://www.sports-reference.com/cbb/schools/vanderbilt/2022.html" TargetMode="External"/><Relationship Id="rId58" Type="http://schemas.openxmlformats.org/officeDocument/2006/relationships/hyperlink" Target="https://www.sports-reference.com/cbb/schools/colorado/2022.html" TargetMode="External"/><Relationship Id="rId66" Type="http://schemas.openxmlformats.org/officeDocument/2006/relationships/hyperlink" Target="https://www.sports-reference.com/cbb/schools/wyoming/2022.html" TargetMode="External"/><Relationship Id="rId5" Type="http://schemas.openxmlformats.org/officeDocument/2006/relationships/hyperlink" Target="https://www.sports-reference.com/cbb/schools/kentucky/2022.html" TargetMode="External"/><Relationship Id="rId61" Type="http://schemas.openxmlformats.org/officeDocument/2006/relationships/hyperlink" Target="https://www.sports-reference.com/cbb/schools/saint-louis/2022.html" TargetMode="External"/><Relationship Id="rId19" Type="http://schemas.openxmlformats.org/officeDocument/2006/relationships/hyperlink" Target="https://www.sports-reference.com/cbb/schools/arkansas/2022.html" TargetMode="External"/><Relationship Id="rId14" Type="http://schemas.openxmlformats.org/officeDocument/2006/relationships/hyperlink" Target="https://www.sports-reference.com/cbb/schools/duke/2022.html" TargetMode="External"/><Relationship Id="rId22" Type="http://schemas.openxmlformats.org/officeDocument/2006/relationships/hyperlink" Target="https://www.sports-reference.com/cbb/schools/saint-marys-ca/2022.html" TargetMode="External"/><Relationship Id="rId27" Type="http://schemas.openxmlformats.org/officeDocument/2006/relationships/hyperlink" Target="https://www.sports-reference.com/cbb/schools/oklahoma/2022.html" TargetMode="External"/><Relationship Id="rId30" Type="http://schemas.openxmlformats.org/officeDocument/2006/relationships/hyperlink" Target="https://www.sports-reference.com/cbb/schools/wisconsin/2022.html" TargetMode="External"/><Relationship Id="rId35" Type="http://schemas.openxmlformats.org/officeDocument/2006/relationships/hyperlink" Target="https://www.sports-reference.com/cbb/schools/wake-forest/2022.html" TargetMode="External"/><Relationship Id="rId43" Type="http://schemas.openxmlformats.org/officeDocument/2006/relationships/hyperlink" Target="https://www.sports-reference.com/cbb/schools/marquette/2022.html" TargetMode="External"/><Relationship Id="rId48" Type="http://schemas.openxmlformats.org/officeDocument/2006/relationships/hyperlink" Target="https://www.sports-reference.com/cbb/schools/providence/2022.html" TargetMode="External"/><Relationship Id="rId56" Type="http://schemas.openxmlformats.org/officeDocument/2006/relationships/hyperlink" Target="https://www.sports-reference.com/cbb/schools/kansas-state/2022.html" TargetMode="External"/><Relationship Id="rId64" Type="http://schemas.openxmlformats.org/officeDocument/2006/relationships/hyperlink" Target="https://www.sports-reference.com/cbb/schools/dayton/2022.html" TargetMode="External"/><Relationship Id="rId69" Type="http://schemas.openxmlformats.org/officeDocument/2006/relationships/printerSettings" Target="../printerSettings/printerSettings2.bin"/><Relationship Id="rId8" Type="http://schemas.openxmlformats.org/officeDocument/2006/relationships/hyperlink" Target="https://www.sports-reference.com/cbb/schools/auburn/2022.html" TargetMode="External"/><Relationship Id="rId51" Type="http://schemas.openxmlformats.org/officeDocument/2006/relationships/hyperlink" Target="https://www.sports-reference.com/cbb/schools/creighton/2022.html" TargetMode="External"/><Relationship Id="rId3" Type="http://schemas.openxmlformats.org/officeDocument/2006/relationships/hyperlink" Target="https://www.sports-reference.com/cbb/schools/houston/2022.html" TargetMode="External"/><Relationship Id="rId12" Type="http://schemas.openxmlformats.org/officeDocument/2006/relationships/hyperlink" Target="https://www.sports-reference.com/cbb/schools/iowa/2022.html" TargetMode="External"/><Relationship Id="rId17" Type="http://schemas.openxmlformats.org/officeDocument/2006/relationships/hyperlink" Target="https://www.sports-reference.com/cbb/schools/connecticut/2022.html" TargetMode="External"/><Relationship Id="rId25" Type="http://schemas.openxmlformats.org/officeDocument/2006/relationships/hyperlink" Target="https://www.sports-reference.com/cbb/schools/loyola-il/2022.html" TargetMode="External"/><Relationship Id="rId33" Type="http://schemas.openxmlformats.org/officeDocument/2006/relationships/hyperlink" Target="https://www.sports-reference.com/cbb/schools/michigan-state/2022.html" TargetMode="External"/><Relationship Id="rId38" Type="http://schemas.openxmlformats.org/officeDocument/2006/relationships/hyperlink" Target="https://www.sports-reference.com/cbb/schools/southern-california/2022.html" TargetMode="External"/><Relationship Id="rId46" Type="http://schemas.openxmlformats.org/officeDocument/2006/relationships/hyperlink" Target="https://www.sports-reference.com/cbb/schools/mississippi-state/2022.html" TargetMode="External"/><Relationship Id="rId59" Type="http://schemas.openxmlformats.org/officeDocument/2006/relationships/hyperlink" Target="https://www.sports-reference.com/cbb/schools/oregon/2022.html" TargetMode="External"/><Relationship Id="rId67" Type="http://schemas.openxmlformats.org/officeDocument/2006/relationships/hyperlink" Target="https://www.sports-reference.com/cbb/schools/syracuse/2022.html" TargetMode="External"/><Relationship Id="rId20" Type="http://schemas.openxmlformats.org/officeDocument/2006/relationships/hyperlink" Target="https://www.sports-reference.com/cbb/schools/alabama/2022.html" TargetMode="External"/><Relationship Id="rId41" Type="http://schemas.openxmlformats.org/officeDocument/2006/relationships/hyperlink" Target="https://www.sports-reference.com/cbb/schools/boise-state/2022.html" TargetMode="External"/><Relationship Id="rId54" Type="http://schemas.openxmlformats.org/officeDocument/2006/relationships/hyperlink" Target="https://www.sports-reference.com/cbb/schools/alabama-birmingham/2022.html" TargetMode="External"/><Relationship Id="rId62" Type="http://schemas.openxmlformats.org/officeDocument/2006/relationships/hyperlink" Target="https://www.sports-reference.com/cbb/schools/west-virginia/2022.html" TargetMode="External"/><Relationship Id="rId70" Type="http://schemas.openxmlformats.org/officeDocument/2006/relationships/table" Target="../tables/table4.xml"/><Relationship Id="rId1" Type="http://schemas.openxmlformats.org/officeDocument/2006/relationships/hyperlink" Target="https://www.sports-reference.com/cbb/schools/gonzaga/2022.html" TargetMode="External"/><Relationship Id="rId6" Type="http://schemas.openxmlformats.org/officeDocument/2006/relationships/hyperlink" Target="https://www.sports-reference.com/cbb/schools/kansas/2022.html" TargetMode="External"/><Relationship Id="rId15" Type="http://schemas.openxmlformats.org/officeDocument/2006/relationships/hyperlink" Target="https://www.sports-reference.com/cbb/schools/louisiana-state/2022.html" TargetMode="External"/><Relationship Id="rId23" Type="http://schemas.openxmlformats.org/officeDocument/2006/relationships/hyperlink" Target="https://www.sports-reference.com/cbb/schools/memphis/2022.html" TargetMode="External"/><Relationship Id="rId28" Type="http://schemas.openxmlformats.org/officeDocument/2006/relationships/hyperlink" Target="https://www.sports-reference.com/cbb/schools/michigan/2022.html" TargetMode="External"/><Relationship Id="rId36" Type="http://schemas.openxmlformats.org/officeDocument/2006/relationships/hyperlink" Target="https://www.sports-reference.com/cbb/schools/oklahoma-state/2022.html" TargetMode="External"/><Relationship Id="rId49" Type="http://schemas.openxmlformats.org/officeDocument/2006/relationships/hyperlink" Target="https://www.sports-reference.com/cbb/schools/st-johns-ny/2022.html" TargetMode="External"/><Relationship Id="rId57" Type="http://schemas.openxmlformats.org/officeDocument/2006/relationships/hyperlink" Target="https://www.sports-reference.com/cbb/schools/davidson/2022.html" TargetMode="External"/><Relationship Id="rId10" Type="http://schemas.openxmlformats.org/officeDocument/2006/relationships/hyperlink" Target="https://www.sports-reference.com/cbb/schools/purdue/2022.html" TargetMode="External"/><Relationship Id="rId31" Type="http://schemas.openxmlformats.org/officeDocument/2006/relationships/hyperlink" Target="https://www.sports-reference.com/cbb/schools/san-diego-state/2022.html" TargetMode="External"/><Relationship Id="rId44" Type="http://schemas.openxmlformats.org/officeDocument/2006/relationships/hyperlink" Target="https://www.sports-reference.com/cbb/schools/washington-state/2022.html" TargetMode="External"/><Relationship Id="rId52" Type="http://schemas.openxmlformats.org/officeDocument/2006/relationships/hyperlink" Target="https://www.sports-reference.com/cbb/schools/utah-state/2022.html" TargetMode="External"/><Relationship Id="rId60" Type="http://schemas.openxmlformats.org/officeDocument/2006/relationships/hyperlink" Target="https://www.sports-reference.com/cbb/schools/murray-state/2022.html" TargetMode="External"/><Relationship Id="rId65" Type="http://schemas.openxmlformats.org/officeDocument/2006/relationships/hyperlink" Target="https://www.sports-reference.com/cbb/schools/miami-fl/2022.html" TargetMode="External"/><Relationship Id="rId4" Type="http://schemas.openxmlformats.org/officeDocument/2006/relationships/hyperlink" Target="https://www.sports-reference.com/cbb/schools/baylor/2022.html" TargetMode="External"/><Relationship Id="rId9" Type="http://schemas.openxmlformats.org/officeDocument/2006/relationships/hyperlink" Target="https://www.sports-reference.com/cbb/schools/ucla/2022.html" TargetMode="External"/><Relationship Id="rId13" Type="http://schemas.openxmlformats.org/officeDocument/2006/relationships/hyperlink" Target="https://www.sports-reference.com/cbb/schools/villanova/2022.html" TargetMode="External"/><Relationship Id="rId18" Type="http://schemas.openxmlformats.org/officeDocument/2006/relationships/hyperlink" Target="https://www.sports-reference.com/cbb/schools/texas/2022.html" TargetMode="External"/><Relationship Id="rId39" Type="http://schemas.openxmlformats.org/officeDocument/2006/relationships/hyperlink" Target="https://www.sports-reference.com/cbb/schools/texas-christian/2022.html" TargetMode="External"/><Relationship Id="rId34" Type="http://schemas.openxmlformats.org/officeDocument/2006/relationships/hyperlink" Target="https://www.sports-reference.com/cbb/schools/xavier/2022.html" TargetMode="External"/><Relationship Id="rId50" Type="http://schemas.openxmlformats.org/officeDocument/2006/relationships/hyperlink" Target="https://www.sports-reference.com/cbb/schools/southern-methodist/2022.html" TargetMode="External"/><Relationship Id="rId55" Type="http://schemas.openxmlformats.org/officeDocument/2006/relationships/hyperlink" Target="https://www.sports-reference.com/cbb/schools/notre-dame/202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5EA0B-DB8F-42D8-9F38-0BEC1E9882F9}">
  <dimension ref="A3:C20"/>
  <sheetViews>
    <sheetView workbookViewId="0">
      <selection activeCell="B11" sqref="B11"/>
    </sheetView>
  </sheetViews>
  <sheetFormatPr defaultRowHeight="14.25" x14ac:dyDescent="0.45"/>
  <sheetData>
    <row r="3" spans="1:3" x14ac:dyDescent="0.45">
      <c r="A3" s="8"/>
      <c r="B3" s="9"/>
      <c r="C3" s="10"/>
    </row>
    <row r="4" spans="1:3" x14ac:dyDescent="0.45">
      <c r="A4" s="11"/>
      <c r="B4" s="12"/>
      <c r="C4" s="13"/>
    </row>
    <row r="5" spans="1:3" x14ac:dyDescent="0.45">
      <c r="A5" s="11"/>
      <c r="B5" s="12"/>
      <c r="C5" s="13"/>
    </row>
    <row r="6" spans="1:3" x14ac:dyDescent="0.45">
      <c r="A6" s="11"/>
      <c r="B6" s="12"/>
      <c r="C6" s="13"/>
    </row>
    <row r="7" spans="1:3" x14ac:dyDescent="0.45">
      <c r="A7" s="11"/>
      <c r="B7" s="12"/>
      <c r="C7" s="13"/>
    </row>
    <row r="8" spans="1:3" x14ac:dyDescent="0.45">
      <c r="A8" s="11"/>
      <c r="B8" s="12"/>
      <c r="C8" s="13"/>
    </row>
    <row r="9" spans="1:3" x14ac:dyDescent="0.45">
      <c r="A9" s="11"/>
      <c r="B9" s="12"/>
      <c r="C9" s="13"/>
    </row>
    <row r="10" spans="1:3" x14ac:dyDescent="0.45">
      <c r="A10" s="11"/>
      <c r="B10" s="12"/>
      <c r="C10" s="13"/>
    </row>
    <row r="11" spans="1:3" x14ac:dyDescent="0.45">
      <c r="A11" s="11"/>
      <c r="B11" s="12"/>
      <c r="C11" s="13"/>
    </row>
    <row r="12" spans="1:3" x14ac:dyDescent="0.45">
      <c r="A12" s="11"/>
      <c r="B12" s="12"/>
      <c r="C12" s="13"/>
    </row>
    <row r="13" spans="1:3" x14ac:dyDescent="0.45">
      <c r="A13" s="11"/>
      <c r="B13" s="12"/>
      <c r="C13" s="13"/>
    </row>
    <row r="14" spans="1:3" x14ac:dyDescent="0.45">
      <c r="A14" s="11"/>
      <c r="B14" s="12"/>
      <c r="C14" s="13"/>
    </row>
    <row r="15" spans="1:3" x14ac:dyDescent="0.45">
      <c r="A15" s="11"/>
      <c r="B15" s="12"/>
      <c r="C15" s="13"/>
    </row>
    <row r="16" spans="1:3" x14ac:dyDescent="0.45">
      <c r="A16" s="11"/>
      <c r="B16" s="12"/>
      <c r="C16" s="13"/>
    </row>
    <row r="17" spans="1:3" x14ac:dyDescent="0.45">
      <c r="A17" s="11"/>
      <c r="B17" s="12"/>
      <c r="C17" s="13"/>
    </row>
    <row r="18" spans="1:3" x14ac:dyDescent="0.45">
      <c r="A18" s="11"/>
      <c r="B18" s="12"/>
      <c r="C18" s="13"/>
    </row>
    <row r="19" spans="1:3" x14ac:dyDescent="0.45">
      <c r="A19" s="11"/>
      <c r="B19" s="12"/>
      <c r="C19" s="13"/>
    </row>
    <row r="20" spans="1:3" x14ac:dyDescent="0.45">
      <c r="A20" s="14"/>
      <c r="B20" s="15"/>
      <c r="C20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B98FF-CB1B-422C-8CCB-D0F4DFE77996}">
  <dimension ref="A1:DA77"/>
  <sheetViews>
    <sheetView zoomScale="65" workbookViewId="0">
      <selection activeCell="BX31" sqref="BX31:DB31"/>
    </sheetView>
  </sheetViews>
  <sheetFormatPr defaultRowHeight="14.25" x14ac:dyDescent="0.45"/>
  <cols>
    <col min="9" max="9" width="10.1328125" customWidth="1"/>
    <col min="10" max="10" width="9.33203125" customWidth="1"/>
    <col min="12" max="12" width="10.1328125" customWidth="1"/>
    <col min="13" max="13" width="9.265625" customWidth="1"/>
    <col min="15" max="15" width="10.1328125" customWidth="1"/>
    <col min="18" max="18" width="10.1328125" customWidth="1"/>
    <col min="21" max="21" width="10.1328125" customWidth="1"/>
    <col min="39" max="42" width="9.86328125" customWidth="1"/>
    <col min="43" max="68" width="10.86328125" customWidth="1"/>
    <col min="80" max="80" width="17.19921875" bestFit="1" customWidth="1"/>
    <col min="81" max="81" width="15.73046875" bestFit="1" customWidth="1"/>
    <col min="82" max="82" width="15.6640625" bestFit="1" customWidth="1"/>
    <col min="84" max="84" width="15.46484375" bestFit="1" customWidth="1"/>
    <col min="86" max="86" width="15.46484375" bestFit="1" customWidth="1"/>
    <col min="88" max="88" width="12.3984375" bestFit="1" customWidth="1"/>
    <col min="90" max="90" width="13.73046875" bestFit="1" customWidth="1"/>
    <col min="91" max="91" width="17.6640625" bestFit="1" customWidth="1"/>
    <col min="92" max="92" width="17.73046875" bestFit="1" customWidth="1"/>
    <col min="93" max="93" width="13.796875" bestFit="1" customWidth="1"/>
    <col min="94" max="94" width="17.73046875" bestFit="1" customWidth="1"/>
    <col min="96" max="96" width="15.06640625" bestFit="1" customWidth="1"/>
    <col min="97" max="97" width="19.265625" bestFit="1" customWidth="1"/>
    <col min="98" max="98" width="18.73046875" bestFit="1" customWidth="1"/>
    <col min="99" max="99" width="16.265625" bestFit="1" customWidth="1"/>
    <col min="100" max="100" width="12.46484375" bestFit="1" customWidth="1"/>
  </cols>
  <sheetData>
    <row r="1" spans="1:105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105" x14ac:dyDescent="0.4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BX2" t="s">
        <v>137</v>
      </c>
      <c r="BY2" t="s">
        <v>138</v>
      </c>
      <c r="BZ2" t="s">
        <v>139</v>
      </c>
      <c r="CA2" t="s">
        <v>140</v>
      </c>
      <c r="CB2" t="s">
        <v>141</v>
      </c>
      <c r="CC2" t="s">
        <v>142</v>
      </c>
      <c r="CD2" t="s">
        <v>143</v>
      </c>
      <c r="CE2" t="s">
        <v>145</v>
      </c>
      <c r="CF2" t="s">
        <v>146</v>
      </c>
      <c r="CG2" t="s">
        <v>147</v>
      </c>
      <c r="CH2" t="s">
        <v>148</v>
      </c>
      <c r="CI2" t="s">
        <v>144</v>
      </c>
      <c r="CJ2" t="s">
        <v>149</v>
      </c>
      <c r="CK2" t="s">
        <v>150</v>
      </c>
      <c r="CL2" t="s">
        <v>151</v>
      </c>
      <c r="CM2" t="s">
        <v>152</v>
      </c>
      <c r="CN2" t="s">
        <v>153</v>
      </c>
      <c r="CO2" t="s">
        <v>154</v>
      </c>
      <c r="CP2" t="s">
        <v>155</v>
      </c>
      <c r="CQ2" t="s">
        <v>156</v>
      </c>
      <c r="CR2" t="s">
        <v>157</v>
      </c>
      <c r="CS2" t="s">
        <v>158</v>
      </c>
      <c r="CT2" t="s">
        <v>159</v>
      </c>
      <c r="CU2" t="s">
        <v>160</v>
      </c>
      <c r="CV2" t="s">
        <v>161</v>
      </c>
      <c r="CW2" t="s">
        <v>162</v>
      </c>
      <c r="CX2" t="s">
        <v>163</v>
      </c>
      <c r="CY2" t="s">
        <v>164</v>
      </c>
      <c r="CZ2" t="s">
        <v>165</v>
      </c>
      <c r="DA2" t="s">
        <v>166</v>
      </c>
    </row>
    <row r="3" spans="1:105" x14ac:dyDescent="0.45">
      <c r="A3" s="2" t="s">
        <v>100</v>
      </c>
      <c r="B3" s="2" t="s">
        <v>3</v>
      </c>
      <c r="C3" s="2" t="s">
        <v>4</v>
      </c>
      <c r="D3" s="7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131</v>
      </c>
      <c r="J3" s="2" t="s">
        <v>94</v>
      </c>
      <c r="K3" s="2" t="s">
        <v>95</v>
      </c>
      <c r="L3" s="2" t="s">
        <v>132</v>
      </c>
      <c r="M3" s="2" t="s">
        <v>96</v>
      </c>
      <c r="N3" s="2" t="s">
        <v>97</v>
      </c>
      <c r="O3" s="2" t="s">
        <v>133</v>
      </c>
      <c r="P3" s="2" t="s">
        <v>98</v>
      </c>
      <c r="Q3" s="2" t="s">
        <v>99</v>
      </c>
      <c r="R3" s="2" t="s">
        <v>134</v>
      </c>
      <c r="S3" s="2" t="s">
        <v>10</v>
      </c>
      <c r="T3" s="2" t="s">
        <v>11</v>
      </c>
      <c r="U3" s="2" t="s">
        <v>135</v>
      </c>
      <c r="V3" s="2" t="s">
        <v>12</v>
      </c>
      <c r="W3" s="2" t="s">
        <v>13</v>
      </c>
      <c r="X3" s="2" t="s">
        <v>14</v>
      </c>
      <c r="Y3" s="2" t="s">
        <v>0</v>
      </c>
      <c r="Z3" s="2" t="s">
        <v>15</v>
      </c>
      <c r="AA3" s="2" t="s">
        <v>16</v>
      </c>
      <c r="AB3" s="2" t="s">
        <v>2</v>
      </c>
      <c r="AC3" s="2" t="s">
        <v>17</v>
      </c>
      <c r="AD3" s="2" t="s">
        <v>18</v>
      </c>
      <c r="AE3" s="2" t="s">
        <v>1</v>
      </c>
      <c r="AF3" s="2" t="s">
        <v>19</v>
      </c>
      <c r="AG3" s="2" t="s">
        <v>20</v>
      </c>
      <c r="AH3" s="2" t="s">
        <v>21</v>
      </c>
      <c r="AI3" s="2" t="s">
        <v>22</v>
      </c>
      <c r="AJ3" s="2" t="s">
        <v>23</v>
      </c>
      <c r="AK3" s="2" t="s">
        <v>24</v>
      </c>
      <c r="AL3" s="2" t="s">
        <v>25</v>
      </c>
      <c r="AM3" t="s">
        <v>101</v>
      </c>
      <c r="AN3" t="s">
        <v>102</v>
      </c>
      <c r="AO3" t="s">
        <v>103</v>
      </c>
      <c r="AP3" t="s">
        <v>104</v>
      </c>
      <c r="AQ3" t="s">
        <v>105</v>
      </c>
      <c r="AR3" t="s">
        <v>106</v>
      </c>
      <c r="AS3" t="s">
        <v>107</v>
      </c>
      <c r="AT3" t="s">
        <v>108</v>
      </c>
      <c r="AU3" t="s">
        <v>109</v>
      </c>
      <c r="AV3" t="s">
        <v>110</v>
      </c>
      <c r="AW3" t="s">
        <v>111</v>
      </c>
      <c r="AX3" t="s">
        <v>112</v>
      </c>
      <c r="AY3" t="s">
        <v>113</v>
      </c>
      <c r="AZ3" t="s">
        <v>114</v>
      </c>
      <c r="BA3" t="s">
        <v>115</v>
      </c>
      <c r="BB3" t="s">
        <v>116</v>
      </c>
      <c r="BC3" t="s">
        <v>117</v>
      </c>
      <c r="BD3" t="s">
        <v>118</v>
      </c>
      <c r="BE3" t="s">
        <v>119</v>
      </c>
      <c r="BF3" t="s">
        <v>120</v>
      </c>
      <c r="BG3" t="s">
        <v>121</v>
      </c>
      <c r="BH3" t="s">
        <v>122</v>
      </c>
      <c r="BI3" t="s">
        <v>123</v>
      </c>
      <c r="BJ3" t="s">
        <v>124</v>
      </c>
      <c r="BK3" t="s">
        <v>125</v>
      </c>
      <c r="BL3" t="s">
        <v>126</v>
      </c>
      <c r="BM3" t="s">
        <v>127</v>
      </c>
      <c r="BN3" t="s">
        <v>128</v>
      </c>
      <c r="BO3" t="s">
        <v>129</v>
      </c>
      <c r="BP3" t="s">
        <v>130</v>
      </c>
      <c r="BQ3" t="s">
        <v>136</v>
      </c>
      <c r="BX3">
        <v>2</v>
      </c>
      <c r="BY3">
        <v>-2</v>
      </c>
      <c r="BZ3">
        <v>200</v>
      </c>
      <c r="CA3">
        <v>3.5</v>
      </c>
      <c r="CB3">
        <v>1.5</v>
      </c>
      <c r="CC3">
        <v>2.2000000000000002</v>
      </c>
      <c r="CD3">
        <v>-2.2000000000000002</v>
      </c>
      <c r="CE3">
        <v>1</v>
      </c>
      <c r="CF3">
        <v>1</v>
      </c>
      <c r="CG3">
        <v>1</v>
      </c>
      <c r="CH3">
        <v>1</v>
      </c>
      <c r="CI3">
        <v>1.7</v>
      </c>
      <c r="CJ3">
        <v>-1.5</v>
      </c>
      <c r="CK3">
        <v>1</v>
      </c>
      <c r="CL3">
        <v>1.5</v>
      </c>
      <c r="CM3">
        <v>-1.5</v>
      </c>
      <c r="CN3">
        <v>250</v>
      </c>
      <c r="CO3">
        <v>2</v>
      </c>
      <c r="CP3">
        <v>-1</v>
      </c>
      <c r="CQ3">
        <v>330</v>
      </c>
      <c r="CR3">
        <v>0.5</v>
      </c>
      <c r="CS3">
        <v>0.5</v>
      </c>
      <c r="CT3">
        <v>350</v>
      </c>
      <c r="CU3">
        <v>2</v>
      </c>
      <c r="CV3">
        <v>2</v>
      </c>
      <c r="CW3">
        <v>1.3</v>
      </c>
      <c r="CX3">
        <v>1</v>
      </c>
      <c r="CY3">
        <v>1</v>
      </c>
      <c r="CZ3">
        <v>-2.5</v>
      </c>
      <c r="DA3">
        <v>1</v>
      </c>
    </row>
    <row r="4" spans="1:105" x14ac:dyDescent="0.45">
      <c r="A4" s="2"/>
      <c r="B4" s="2"/>
      <c r="C4" s="2"/>
      <c r="D4" s="7" t="s">
        <v>44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t="s">
        <v>101</v>
      </c>
      <c r="AN4" t="s">
        <v>102</v>
      </c>
      <c r="AO4" t="s">
        <v>103</v>
      </c>
      <c r="AP4" t="s">
        <v>104</v>
      </c>
      <c r="AQ4" t="s">
        <v>105</v>
      </c>
      <c r="AR4" t="s">
        <v>106</v>
      </c>
      <c r="AS4" t="s">
        <v>107</v>
      </c>
      <c r="AT4" t="s">
        <v>108</v>
      </c>
      <c r="AU4" t="s">
        <v>109</v>
      </c>
      <c r="AV4" t="s">
        <v>110</v>
      </c>
      <c r="AW4" t="s">
        <v>111</v>
      </c>
      <c r="AX4" t="s">
        <v>112</v>
      </c>
      <c r="AY4" t="s">
        <v>113</v>
      </c>
      <c r="AZ4" t="s">
        <v>114</v>
      </c>
      <c r="BA4" t="s">
        <v>115</v>
      </c>
      <c r="BB4" t="s">
        <v>116</v>
      </c>
      <c r="BC4" t="s">
        <v>117</v>
      </c>
      <c r="BD4" t="s">
        <v>118</v>
      </c>
      <c r="BE4" t="s">
        <v>119</v>
      </c>
      <c r="BF4" t="s">
        <v>120</v>
      </c>
      <c r="BG4" t="s">
        <v>121</v>
      </c>
      <c r="BH4" t="s">
        <v>122</v>
      </c>
      <c r="BI4" t="s">
        <v>123</v>
      </c>
      <c r="BJ4" t="s">
        <v>124</v>
      </c>
      <c r="BK4" t="s">
        <v>125</v>
      </c>
      <c r="BL4" t="s">
        <v>126</v>
      </c>
      <c r="BM4" t="s">
        <v>127</v>
      </c>
      <c r="BN4" t="s">
        <v>128</v>
      </c>
      <c r="BO4" t="s">
        <v>129</v>
      </c>
      <c r="BP4" t="s">
        <v>130</v>
      </c>
      <c r="BQ4">
        <f>SUM(Table1[[#This Row],[SCW]:[SCPF]])</f>
        <v>0</v>
      </c>
    </row>
    <row r="5" spans="1:105" x14ac:dyDescent="0.45">
      <c r="A5" s="3">
        <v>67</v>
      </c>
      <c r="B5" s="4" t="s">
        <v>38</v>
      </c>
      <c r="C5" s="3">
        <v>27</v>
      </c>
      <c r="D5" s="3">
        <v>17</v>
      </c>
      <c r="E5" s="3">
        <v>10</v>
      </c>
      <c r="F5" s="3">
        <v>0.63</v>
      </c>
      <c r="G5" s="3">
        <v>-6.82</v>
      </c>
      <c r="H5" s="3">
        <v>-7.34</v>
      </c>
      <c r="I5" s="3"/>
      <c r="J5" s="3">
        <v>11</v>
      </c>
      <c r="K5" s="3">
        <v>6</v>
      </c>
      <c r="L5" s="3"/>
      <c r="M5" s="3">
        <v>9</v>
      </c>
      <c r="N5" s="3">
        <v>3</v>
      </c>
      <c r="O5" s="3"/>
      <c r="P5" s="3">
        <v>6</v>
      </c>
      <c r="Q5" s="3">
        <v>7</v>
      </c>
      <c r="R5" s="3"/>
      <c r="S5" s="3">
        <v>1917</v>
      </c>
      <c r="T5" s="3">
        <v>1840</v>
      </c>
      <c r="U5" s="3"/>
      <c r="V5" s="3">
        <v>1095</v>
      </c>
      <c r="W5" s="3">
        <v>699</v>
      </c>
      <c r="X5" s="3">
        <v>1409</v>
      </c>
      <c r="Y5" s="3">
        <v>0.496</v>
      </c>
      <c r="Z5" s="3">
        <v>195</v>
      </c>
      <c r="AA5" s="3">
        <v>520</v>
      </c>
      <c r="AB5" s="3">
        <v>0.375</v>
      </c>
      <c r="AC5" s="3">
        <v>324</v>
      </c>
      <c r="AD5" s="3">
        <v>478</v>
      </c>
      <c r="AE5" s="3">
        <v>0.67800000000000005</v>
      </c>
      <c r="AF5" s="3">
        <v>165</v>
      </c>
      <c r="AG5" s="3">
        <v>767</v>
      </c>
      <c r="AH5" s="3">
        <v>387</v>
      </c>
      <c r="AI5" s="3">
        <v>165</v>
      </c>
      <c r="AJ5" s="3">
        <v>61</v>
      </c>
      <c r="AK5" s="3">
        <v>327</v>
      </c>
      <c r="AL5" s="3">
        <v>459</v>
      </c>
      <c r="AM5" s="3">
        <f>Table1[[#This Row],[W]]*$BX$18</f>
        <v>37.774000000000001</v>
      </c>
      <c r="AN5" s="3">
        <f>Table1[[#This Row],[L]]*$BY$18</f>
        <v>-19.98</v>
      </c>
      <c r="AO5" s="3">
        <f>Table1[[#This Row],[W-L%]]*$BZ$18</f>
        <v>125.99987399999999</v>
      </c>
      <c r="AP5" s="3">
        <f>Table1[[#This Row],[SRS]]*$CA$18</f>
        <v>-19.891553000000002</v>
      </c>
      <c r="AQ5" s="3">
        <f>1.5*Table1[[#This Row],[SOS]]</f>
        <v>-11.01</v>
      </c>
      <c r="AR5">
        <f>Table1[[#This Row],[Conf. W]]*$CC$18</f>
        <v>33.880000000000003</v>
      </c>
      <c r="AS5">
        <f>Table1[[#This Row],[Conf. L]]*$CD$18</f>
        <v>-18.48</v>
      </c>
      <c r="AT5">
        <f>Table1[[#This Row],[HomeW]]*$CE$18</f>
        <v>9</v>
      </c>
      <c r="AU5">
        <f>Table1[[#This Row],[HomeL]]*$CF$18</f>
        <v>3</v>
      </c>
      <c r="AV5">
        <f>Table1[[#This Row],[AwayW]]*$CG$18</f>
        <v>9.9989999999999988</v>
      </c>
      <c r="AW5">
        <f>Table1[[#This Row],[AwayL]]*$CH$18</f>
        <v>11.6655</v>
      </c>
      <c r="AX5">
        <f>Table1[[#This Row],[Tm.]]*$CI$18</f>
        <v>3621.0212999999999</v>
      </c>
      <c r="AY5">
        <f>$CJ$18*Table1[[#This Row],[Opp.]]</f>
        <v>-2760.0552000000002</v>
      </c>
      <c r="AZ5">
        <f>Table1[[#This Row],[MP]]*$CK$18</f>
        <v>1095</v>
      </c>
      <c r="BA5">
        <f>$CL$18*Table1[[#This Row],[FG]]</f>
        <v>1048.5</v>
      </c>
      <c r="BB5">
        <f>$CM$18*Table1[[#This Row],[FGA]]</f>
        <v>-2113.4365950000001</v>
      </c>
      <c r="BC5">
        <f>Table1[[#This Row],[FG%]]*$CN$18</f>
        <v>124.00000992</v>
      </c>
      <c r="BD5">
        <f>Table1[[#This Row],[3P]]*$CO$18</f>
        <v>433.29</v>
      </c>
      <c r="BE5">
        <f>$CP$18*Table1[[#This Row],[3PA]]</f>
        <v>-520</v>
      </c>
      <c r="BF5">
        <f>Table1[[#This Row],[3P%]]*$CQ$18</f>
        <v>123.7501125</v>
      </c>
      <c r="BG5">
        <f>$CR$18*Table1[[#This Row],[FT]]</f>
        <v>170.52119999999999</v>
      </c>
      <c r="BH5">
        <f>$CS$18*Table1[[#This Row],[FTA]]</f>
        <v>251.57139999999998</v>
      </c>
      <c r="BI5">
        <f>Table1[[#This Row],[FT%]]*$CT$18</f>
        <v>249.78943800000005</v>
      </c>
      <c r="BJ5">
        <f>Table1[[#This Row],[ORB]]*$CU$18</f>
        <v>439.95599999999996</v>
      </c>
      <c r="BK5">
        <f>Table1[[#This Row],[TRB]]*$CV$18</f>
        <v>1753.1165600000002</v>
      </c>
      <c r="BL5">
        <f>$CW$18*Table1[[#This Row],[AST]]</f>
        <v>503.08838999999995</v>
      </c>
      <c r="BM5">
        <f>Table1[[#This Row],[STL]]</f>
        <v>165</v>
      </c>
      <c r="BN5">
        <f>Table1[[#This Row],[BLK]]*$CY$18</f>
        <v>106.75</v>
      </c>
      <c r="BO5">
        <f>$CZ$18*Table1[[#This Row],[TOV]]</f>
        <v>-817.50654000000009</v>
      </c>
      <c r="BP5">
        <f>Table1[[#This Row],[PF]]*$DA$18</f>
        <v>509.94900000000001</v>
      </c>
      <c r="BQ5">
        <f>SUM(Table1[[#This Row],[SCW]:[SCPF]])</f>
        <v>4546.2618964199992</v>
      </c>
    </row>
    <row r="6" spans="1:105" x14ac:dyDescent="0.45">
      <c r="A6" s="3">
        <v>46</v>
      </c>
      <c r="B6" s="4" t="s">
        <v>39</v>
      </c>
      <c r="C6" s="3">
        <v>26</v>
      </c>
      <c r="D6" s="3">
        <v>18</v>
      </c>
      <c r="E6" s="3">
        <v>8</v>
      </c>
      <c r="F6" s="3">
        <v>0.69199999999999995</v>
      </c>
      <c r="G6" s="3">
        <v>-1.54</v>
      </c>
      <c r="H6" s="3">
        <v>-2.92</v>
      </c>
      <c r="I6" s="3"/>
      <c r="J6" s="3">
        <v>9</v>
      </c>
      <c r="K6" s="3">
        <v>7</v>
      </c>
      <c r="L6" s="3"/>
      <c r="M6" s="3">
        <v>9</v>
      </c>
      <c r="N6" s="3">
        <v>3</v>
      </c>
      <c r="O6" s="3"/>
      <c r="P6" s="3">
        <v>9</v>
      </c>
      <c r="Q6" s="3">
        <v>4</v>
      </c>
      <c r="R6" s="3"/>
      <c r="S6" s="3">
        <v>1888</v>
      </c>
      <c r="T6" s="3">
        <v>1801</v>
      </c>
      <c r="U6" s="3"/>
      <c r="V6" s="3">
        <v>1050</v>
      </c>
      <c r="W6" s="3">
        <v>667</v>
      </c>
      <c r="X6" s="3">
        <v>1522</v>
      </c>
      <c r="Y6" s="3">
        <v>0.438</v>
      </c>
      <c r="Z6" s="3">
        <v>218</v>
      </c>
      <c r="AA6" s="3">
        <v>607</v>
      </c>
      <c r="AB6" s="3">
        <v>0.35899999999999999</v>
      </c>
      <c r="AC6" s="3">
        <v>336</v>
      </c>
      <c r="AD6" s="3">
        <v>429</v>
      </c>
      <c r="AE6" s="3">
        <v>0.78300000000000003</v>
      </c>
      <c r="AF6" s="3">
        <v>217</v>
      </c>
      <c r="AG6" s="3">
        <v>881</v>
      </c>
      <c r="AH6" s="3">
        <v>319</v>
      </c>
      <c r="AI6" s="3">
        <v>178</v>
      </c>
      <c r="AJ6" s="3">
        <v>48</v>
      </c>
      <c r="AK6" s="3">
        <v>289</v>
      </c>
      <c r="AL6" s="3">
        <v>370</v>
      </c>
      <c r="AM6" s="3">
        <f>Table1[[#This Row],[W]]*$BX$18</f>
        <v>39.996000000000002</v>
      </c>
      <c r="AN6" s="3">
        <f>Table1[[#This Row],[L]]*$BY$18</f>
        <v>-15.984</v>
      </c>
      <c r="AO6" s="3">
        <f>Table1[[#This Row],[W-L%]]*$BZ$18</f>
        <v>138.39986159999998</v>
      </c>
      <c r="AP6" s="3">
        <f>Table1[[#This Row],[SRS]]*$CA$18</f>
        <v>-4.4916410000000004</v>
      </c>
      <c r="AQ6" s="3">
        <f>1.5*Table1[[#This Row],[SOS]]</f>
        <v>-4.38</v>
      </c>
      <c r="AR6">
        <f>Table1[[#This Row],[Conf. W]]*$CC$18</f>
        <v>27.72</v>
      </c>
      <c r="AS6">
        <f>Table1[[#This Row],[Conf. L]]*$CD$18</f>
        <v>-21.560000000000002</v>
      </c>
      <c r="AT6">
        <f>Table1[[#This Row],[HomeW]]*$CE$18</f>
        <v>9</v>
      </c>
      <c r="AU6">
        <f>Table1[[#This Row],[HomeL]]*$CF$18</f>
        <v>3</v>
      </c>
      <c r="AV6">
        <f>Table1[[#This Row],[AwayW]]*$CG$18</f>
        <v>14.998499999999998</v>
      </c>
      <c r="AW6">
        <f>Table1[[#This Row],[AwayL]]*$CH$18</f>
        <v>6.6659999999999995</v>
      </c>
      <c r="AX6">
        <f>Table1[[#This Row],[Tm.]]*$CI$18</f>
        <v>3566.2431999999999</v>
      </c>
      <c r="AY6">
        <f>$CJ$18*Table1[[#This Row],[Opp.]]</f>
        <v>-2701.5540300000002</v>
      </c>
      <c r="AZ6">
        <f>Table1[[#This Row],[MP]]*$CK$18</f>
        <v>1050</v>
      </c>
      <c r="BA6">
        <f>$CL$18*Table1[[#This Row],[FG]]</f>
        <v>1000.5</v>
      </c>
      <c r="BB6">
        <f>$CM$18*Table1[[#This Row],[FGA]]</f>
        <v>-2282.9315099999999</v>
      </c>
      <c r="BC6">
        <f>Table1[[#This Row],[FG%]]*$CN$18</f>
        <v>109.50000876</v>
      </c>
      <c r="BD6">
        <f>Table1[[#This Row],[3P]]*$CO$18</f>
        <v>484.39600000000002</v>
      </c>
      <c r="BE6">
        <f>$CP$18*Table1[[#This Row],[3PA]]</f>
        <v>-607</v>
      </c>
      <c r="BF6">
        <f>Table1[[#This Row],[3P%]]*$CQ$18</f>
        <v>118.47010769999999</v>
      </c>
      <c r="BG6">
        <f>$CR$18*Table1[[#This Row],[FT]]</f>
        <v>176.83679999999998</v>
      </c>
      <c r="BH6">
        <f>$CS$18*Table1[[#This Row],[FTA]]</f>
        <v>225.78270000000001</v>
      </c>
      <c r="BI6">
        <f>Table1[[#This Row],[FT%]]*$CT$18</f>
        <v>288.47364300000004</v>
      </c>
      <c r="BJ6">
        <f>Table1[[#This Row],[ORB]]*$CU$18</f>
        <v>578.60879999999997</v>
      </c>
      <c r="BK6">
        <f>Table1[[#This Row],[TRB]]*$CV$18</f>
        <v>2013.6840800000002</v>
      </c>
      <c r="BL6">
        <f>$CW$18*Table1[[#This Row],[AST]]</f>
        <v>414.69042999999994</v>
      </c>
      <c r="BM6">
        <f>Table1[[#This Row],[STL]]</f>
        <v>178</v>
      </c>
      <c r="BN6">
        <f>Table1[[#This Row],[BLK]]*$CY$18</f>
        <v>84</v>
      </c>
      <c r="BO6">
        <f>$CZ$18*Table1[[#This Row],[TOV]]</f>
        <v>-722.50578000000007</v>
      </c>
      <c r="BP6">
        <f>Table1[[#This Row],[PF]]*$DA$18</f>
        <v>411.07</v>
      </c>
      <c r="BQ6">
        <f>SUM(Table1[[#This Row],[SCW]:[SCPF]])</f>
        <v>4579.6291700599986</v>
      </c>
    </row>
    <row r="7" spans="1:105" x14ac:dyDescent="0.45">
      <c r="A7" s="3">
        <v>59</v>
      </c>
      <c r="B7" s="4" t="s">
        <v>88</v>
      </c>
      <c r="C7" s="3">
        <v>25</v>
      </c>
      <c r="D7" s="3">
        <v>18</v>
      </c>
      <c r="E7" s="3">
        <v>7</v>
      </c>
      <c r="F7" s="3">
        <v>0.72</v>
      </c>
      <c r="G7" s="3">
        <v>-3.85</v>
      </c>
      <c r="H7" s="3">
        <v>-7.37</v>
      </c>
      <c r="I7" s="3"/>
      <c r="J7" s="3">
        <v>12</v>
      </c>
      <c r="K7" s="3">
        <v>3</v>
      </c>
      <c r="L7" s="3"/>
      <c r="M7" s="3">
        <v>8</v>
      </c>
      <c r="N7" s="3">
        <v>3</v>
      </c>
      <c r="O7" s="3"/>
      <c r="P7" s="3">
        <v>9</v>
      </c>
      <c r="Q7" s="3">
        <v>3</v>
      </c>
      <c r="R7" s="3"/>
      <c r="S7" s="3">
        <v>1660</v>
      </c>
      <c r="T7" s="3">
        <v>1543</v>
      </c>
      <c r="U7" s="3"/>
      <c r="V7" s="3">
        <v>1015</v>
      </c>
      <c r="W7" s="3">
        <v>629</v>
      </c>
      <c r="X7" s="3">
        <v>1361</v>
      </c>
      <c r="Y7" s="3">
        <v>0.46200000000000002</v>
      </c>
      <c r="Z7" s="3">
        <v>139</v>
      </c>
      <c r="AA7" s="3">
        <v>366</v>
      </c>
      <c r="AB7" s="3">
        <v>0.38</v>
      </c>
      <c r="AC7" s="3">
        <v>263</v>
      </c>
      <c r="AD7" s="3">
        <v>372</v>
      </c>
      <c r="AE7" s="3">
        <v>0.70699999999999996</v>
      </c>
      <c r="AF7" s="3">
        <v>231</v>
      </c>
      <c r="AG7" s="3">
        <v>822</v>
      </c>
      <c r="AH7" s="3">
        <v>339</v>
      </c>
      <c r="AI7" s="3">
        <v>172</v>
      </c>
      <c r="AJ7" s="3">
        <v>73</v>
      </c>
      <c r="AK7" s="3">
        <v>332</v>
      </c>
      <c r="AL7" s="3">
        <v>422</v>
      </c>
      <c r="AM7" s="3">
        <f>Table1[[#This Row],[W]]*$BX$18</f>
        <v>39.996000000000002</v>
      </c>
      <c r="AN7" s="3">
        <f>Table1[[#This Row],[L]]*$BY$18</f>
        <v>-13.986000000000001</v>
      </c>
      <c r="AO7" s="3">
        <f>Table1[[#This Row],[W-L%]]*$BZ$18</f>
        <v>143.99985599999999</v>
      </c>
      <c r="AP7" s="3">
        <f>Table1[[#This Row],[SRS]]*$CA$18</f>
        <v>-11.229102500000002</v>
      </c>
      <c r="AQ7" s="3">
        <f>1.5*Table1[[#This Row],[SOS]]</f>
        <v>-11.055</v>
      </c>
      <c r="AR7">
        <f>Table1[[#This Row],[Conf. W]]*$CC$18</f>
        <v>36.96</v>
      </c>
      <c r="AS7">
        <f>Table1[[#This Row],[Conf. L]]*$CD$18</f>
        <v>-9.24</v>
      </c>
      <c r="AT7">
        <f>Table1[[#This Row],[HomeW]]*$CE$18</f>
        <v>8</v>
      </c>
      <c r="AU7">
        <f>Table1[[#This Row],[HomeL]]*$CF$18</f>
        <v>3</v>
      </c>
      <c r="AV7">
        <f>Table1[[#This Row],[AwayW]]*$CG$18</f>
        <v>14.998499999999998</v>
      </c>
      <c r="AW7">
        <f>Table1[[#This Row],[AwayL]]*$CH$18</f>
        <v>4.9994999999999994</v>
      </c>
      <c r="AX7">
        <f>Table1[[#This Row],[Tm.]]*$CI$18</f>
        <v>3135.5740000000001</v>
      </c>
      <c r="AY7">
        <f>$CJ$18*Table1[[#This Row],[Opp.]]</f>
        <v>-2314.5462900000002</v>
      </c>
      <c r="AZ7">
        <f>Table1[[#This Row],[MP]]*$CK$18</f>
        <v>1015</v>
      </c>
      <c r="BA7">
        <f>$CL$18*Table1[[#This Row],[FG]]</f>
        <v>943.5</v>
      </c>
      <c r="BB7">
        <f>$CM$18*Table1[[#This Row],[FGA]]</f>
        <v>-2041.4387549999999</v>
      </c>
      <c r="BC7">
        <f>Table1[[#This Row],[FG%]]*$CN$18</f>
        <v>115.50000924000001</v>
      </c>
      <c r="BD7">
        <f>Table1[[#This Row],[3P]]*$CO$18</f>
        <v>308.858</v>
      </c>
      <c r="BE7">
        <f>$CP$18*Table1[[#This Row],[3PA]]</f>
        <v>-366</v>
      </c>
      <c r="BF7">
        <f>Table1[[#This Row],[3P%]]*$CQ$18</f>
        <v>125.40011399999999</v>
      </c>
      <c r="BG7">
        <f>$CR$18*Table1[[#This Row],[FT]]</f>
        <v>138.4169</v>
      </c>
      <c r="BH7">
        <f>$CS$18*Table1[[#This Row],[FTA]]</f>
        <v>195.78360000000001</v>
      </c>
      <c r="BI7">
        <f>Table1[[#This Row],[FT%]]*$CT$18</f>
        <v>260.47364700000003</v>
      </c>
      <c r="BJ7">
        <f>Table1[[#This Row],[ORB]]*$CU$18</f>
        <v>615.9384</v>
      </c>
      <c r="BK7">
        <f>Table1[[#This Row],[TRB]]*$CV$18</f>
        <v>1878.8289600000001</v>
      </c>
      <c r="BL7">
        <f>$CW$18*Table1[[#This Row],[AST]]</f>
        <v>440.68982999999997</v>
      </c>
      <c r="BM7">
        <f>Table1[[#This Row],[STL]]</f>
        <v>172</v>
      </c>
      <c r="BN7">
        <f>Table1[[#This Row],[BLK]]*$CY$18</f>
        <v>127.75</v>
      </c>
      <c r="BO7">
        <f>$CZ$18*Table1[[#This Row],[TOV]]</f>
        <v>-830.00664000000006</v>
      </c>
      <c r="BP7">
        <f>Table1[[#This Row],[PF]]*$DA$18</f>
        <v>468.84199999999998</v>
      </c>
      <c r="BQ7">
        <f>SUM(Table1[[#This Row],[SCW]:[SCPF]])</f>
        <v>4597.0075287400005</v>
      </c>
    </row>
    <row r="8" spans="1:105" x14ac:dyDescent="0.45">
      <c r="A8" s="3">
        <v>62</v>
      </c>
      <c r="B8" s="4" t="s">
        <v>91</v>
      </c>
      <c r="C8" s="3">
        <v>25</v>
      </c>
      <c r="D8" s="3">
        <v>18</v>
      </c>
      <c r="E8" s="3">
        <v>7</v>
      </c>
      <c r="F8" s="3">
        <v>0.72</v>
      </c>
      <c r="G8" s="3">
        <v>15.27</v>
      </c>
      <c r="H8" s="3">
        <v>7.59</v>
      </c>
      <c r="I8" s="3"/>
      <c r="J8" s="3">
        <v>13</v>
      </c>
      <c r="K8" s="3">
        <v>4</v>
      </c>
      <c r="L8" s="3"/>
      <c r="M8" s="3">
        <v>10</v>
      </c>
      <c r="N8" s="3">
        <v>1</v>
      </c>
      <c r="O8" s="3"/>
      <c r="P8" s="3">
        <v>6</v>
      </c>
      <c r="Q8" s="3">
        <v>3</v>
      </c>
      <c r="R8" s="3"/>
      <c r="S8" s="3">
        <v>1705</v>
      </c>
      <c r="T8" s="3">
        <v>1513</v>
      </c>
      <c r="U8" s="3"/>
      <c r="V8" s="3">
        <v>1005</v>
      </c>
      <c r="W8" s="3">
        <v>629</v>
      </c>
      <c r="X8" s="3">
        <v>1326</v>
      </c>
      <c r="Y8" s="3">
        <v>0.47399999999999998</v>
      </c>
      <c r="Z8" s="3">
        <v>212</v>
      </c>
      <c r="AA8" s="3">
        <v>566</v>
      </c>
      <c r="AB8" s="3">
        <v>0.375</v>
      </c>
      <c r="AC8" s="3">
        <v>235</v>
      </c>
      <c r="AD8" s="3">
        <v>288</v>
      </c>
      <c r="AE8" s="3">
        <v>0.81599999999999995</v>
      </c>
      <c r="AF8" s="3">
        <v>162</v>
      </c>
      <c r="AG8" s="3">
        <v>791</v>
      </c>
      <c r="AH8" s="3">
        <v>345</v>
      </c>
      <c r="AI8" s="3">
        <v>123</v>
      </c>
      <c r="AJ8" s="3">
        <v>111</v>
      </c>
      <c r="AK8" s="3">
        <v>229</v>
      </c>
      <c r="AL8" s="3">
        <v>323</v>
      </c>
      <c r="AM8" s="3">
        <f>Table1[[#This Row],[W]]*$BX$18</f>
        <v>39.996000000000002</v>
      </c>
      <c r="AN8" s="3">
        <f>Table1[[#This Row],[L]]*$BY$18</f>
        <v>-13.986000000000001</v>
      </c>
      <c r="AO8" s="3">
        <f>Table1[[#This Row],[W-L%]]*$BZ$18</f>
        <v>143.99985599999999</v>
      </c>
      <c r="AP8" s="3">
        <f>Table1[[#This Row],[SRS]]*$CA$18</f>
        <v>44.537245500000004</v>
      </c>
      <c r="AQ8" s="3">
        <f>1.5*Table1[[#This Row],[SOS]]</f>
        <v>11.385</v>
      </c>
      <c r="AR8">
        <f>Table1[[#This Row],[Conf. W]]*$CC$18</f>
        <v>40.04</v>
      </c>
      <c r="AS8">
        <f>Table1[[#This Row],[Conf. L]]*$CD$18</f>
        <v>-12.32</v>
      </c>
      <c r="AT8">
        <f>Table1[[#This Row],[HomeW]]*$CE$18</f>
        <v>10</v>
      </c>
      <c r="AU8">
        <f>Table1[[#This Row],[HomeL]]*$CF$18</f>
        <v>1</v>
      </c>
      <c r="AV8">
        <f>Table1[[#This Row],[AwayW]]*$CG$18</f>
        <v>9.9989999999999988</v>
      </c>
      <c r="AW8">
        <f>Table1[[#This Row],[AwayL]]*$CH$18</f>
        <v>4.9994999999999994</v>
      </c>
      <c r="AX8">
        <f>Table1[[#This Row],[Tm.]]*$CI$18</f>
        <v>3220.5745000000002</v>
      </c>
      <c r="AY8">
        <f>$CJ$18*Table1[[#This Row],[Opp.]]</f>
        <v>-2269.5453900000002</v>
      </c>
      <c r="AZ8">
        <f>Table1[[#This Row],[MP]]*$CK$18</f>
        <v>1005</v>
      </c>
      <c r="BA8">
        <f>$CL$18*Table1[[#This Row],[FG]]</f>
        <v>943.5</v>
      </c>
      <c r="BB8">
        <f>$CM$18*Table1[[#This Row],[FGA]]</f>
        <v>-1988.9403299999999</v>
      </c>
      <c r="BC8">
        <f>Table1[[#This Row],[FG%]]*$CN$18</f>
        <v>118.50000948</v>
      </c>
      <c r="BD8">
        <f>Table1[[#This Row],[3P]]*$CO$18</f>
        <v>471.06400000000002</v>
      </c>
      <c r="BE8">
        <f>$CP$18*Table1[[#This Row],[3PA]]</f>
        <v>-566</v>
      </c>
      <c r="BF8">
        <f>Table1[[#This Row],[3P%]]*$CQ$18</f>
        <v>123.7501125</v>
      </c>
      <c r="BG8">
        <f>$CR$18*Table1[[#This Row],[FT]]</f>
        <v>123.68049999999999</v>
      </c>
      <c r="BH8">
        <f>$CS$18*Table1[[#This Row],[FTA]]</f>
        <v>151.5744</v>
      </c>
      <c r="BI8">
        <f>Table1[[#This Row],[FT%]]*$CT$18</f>
        <v>300.63153600000004</v>
      </c>
      <c r="BJ8">
        <f>Table1[[#This Row],[ORB]]*$CU$18</f>
        <v>431.95679999999999</v>
      </c>
      <c r="BK8">
        <f>Table1[[#This Row],[TRB]]*$CV$18</f>
        <v>1807.97288</v>
      </c>
      <c r="BL8">
        <f>$CW$18*Table1[[#This Row],[AST]]</f>
        <v>448.48964999999993</v>
      </c>
      <c r="BM8">
        <f>Table1[[#This Row],[STL]]</f>
        <v>123</v>
      </c>
      <c r="BN8">
        <f>Table1[[#This Row],[BLK]]*$CY$18</f>
        <v>194.25</v>
      </c>
      <c r="BO8">
        <f>$CZ$18*Table1[[#This Row],[TOV]]</f>
        <v>-572.50458000000003</v>
      </c>
      <c r="BP8">
        <f>Table1[[#This Row],[PF]]*$DA$18</f>
        <v>358.85300000000001</v>
      </c>
      <c r="BQ8">
        <f>SUM(Table1[[#This Row],[SCW]:[SCPF]])</f>
        <v>4705.4576894800002</v>
      </c>
      <c r="BX8" t="s">
        <v>167</v>
      </c>
      <c r="BY8" t="s">
        <v>168</v>
      </c>
      <c r="BZ8" t="s">
        <v>169</v>
      </c>
      <c r="CA8" t="s">
        <v>170</v>
      </c>
      <c r="CB8" t="s">
        <v>171</v>
      </c>
      <c r="CC8" t="s">
        <v>172</v>
      </c>
      <c r="CD8" t="s">
        <v>173</v>
      </c>
      <c r="CE8" t="s">
        <v>174</v>
      </c>
      <c r="CF8" t="s">
        <v>175</v>
      </c>
      <c r="CG8" t="s">
        <v>176</v>
      </c>
      <c r="CH8" t="s">
        <v>177</v>
      </c>
      <c r="CI8" t="s">
        <v>178</v>
      </c>
      <c r="CJ8" t="s">
        <v>179</v>
      </c>
      <c r="CK8" t="s">
        <v>180</v>
      </c>
      <c r="CL8" t="s">
        <v>181</v>
      </c>
      <c r="CM8" t="s">
        <v>182</v>
      </c>
      <c r="CN8" t="s">
        <v>183</v>
      </c>
      <c r="CO8" t="s">
        <v>184</v>
      </c>
      <c r="CP8" t="s">
        <v>185</v>
      </c>
      <c r="CQ8" t="s">
        <v>186</v>
      </c>
      <c r="CR8" t="s">
        <v>187</v>
      </c>
      <c r="CS8" t="s">
        <v>195</v>
      </c>
      <c r="CT8" t="s">
        <v>188</v>
      </c>
      <c r="CU8" t="s">
        <v>189</v>
      </c>
      <c r="CV8" t="s">
        <v>190</v>
      </c>
      <c r="CW8" t="s">
        <v>191</v>
      </c>
      <c r="CX8" t="s">
        <v>192</v>
      </c>
      <c r="CY8" t="s">
        <v>193</v>
      </c>
      <c r="CZ8" t="s">
        <v>194</v>
      </c>
      <c r="DA8" t="s">
        <v>196</v>
      </c>
    </row>
    <row r="9" spans="1:105" x14ac:dyDescent="0.45">
      <c r="A9" s="3">
        <v>39</v>
      </c>
      <c r="B9" s="4" t="s">
        <v>40</v>
      </c>
      <c r="C9" s="3">
        <v>27</v>
      </c>
      <c r="D9" s="3">
        <v>19</v>
      </c>
      <c r="E9" s="3">
        <v>8</v>
      </c>
      <c r="F9" s="3">
        <v>0.70399999999999996</v>
      </c>
      <c r="G9" s="3">
        <v>-5.12</v>
      </c>
      <c r="H9" s="3">
        <v>-4.82</v>
      </c>
      <c r="I9" s="3"/>
      <c r="J9" s="3">
        <v>16</v>
      </c>
      <c r="K9" s="3">
        <v>4</v>
      </c>
      <c r="L9" s="3"/>
      <c r="M9" s="3">
        <v>9</v>
      </c>
      <c r="N9" s="3">
        <v>2</v>
      </c>
      <c r="O9" s="3"/>
      <c r="P9" s="3">
        <v>8</v>
      </c>
      <c r="Q9" s="3">
        <v>5</v>
      </c>
      <c r="R9" s="3"/>
      <c r="S9" s="3">
        <v>1914</v>
      </c>
      <c r="T9" s="3">
        <v>1922</v>
      </c>
      <c r="U9" s="3"/>
      <c r="V9" s="3">
        <v>1105</v>
      </c>
      <c r="W9" s="3">
        <v>701</v>
      </c>
      <c r="X9" s="3">
        <v>1558</v>
      </c>
      <c r="Y9" s="3">
        <v>0.45</v>
      </c>
      <c r="Z9" s="3">
        <v>172</v>
      </c>
      <c r="AA9" s="3">
        <v>535</v>
      </c>
      <c r="AB9" s="3">
        <v>0.32100000000000001</v>
      </c>
      <c r="AC9" s="3">
        <v>340</v>
      </c>
      <c r="AD9" s="3">
        <v>507</v>
      </c>
      <c r="AE9" s="3">
        <v>0.67100000000000004</v>
      </c>
      <c r="AF9" s="3">
        <v>284</v>
      </c>
      <c r="AG9" s="3">
        <v>934</v>
      </c>
      <c r="AH9" s="3">
        <v>371</v>
      </c>
      <c r="AI9" s="3">
        <v>188</v>
      </c>
      <c r="AJ9" s="3">
        <v>69</v>
      </c>
      <c r="AK9" s="3">
        <v>348</v>
      </c>
      <c r="AL9" s="3">
        <v>524</v>
      </c>
      <c r="AM9" s="3">
        <f>Table1[[#This Row],[W]]*$BX$18</f>
        <v>42.217999999999996</v>
      </c>
      <c r="AN9" s="3">
        <f>Table1[[#This Row],[L]]*$BY$18</f>
        <v>-15.984</v>
      </c>
      <c r="AO9" s="3">
        <f>Table1[[#This Row],[W-L%]]*$BZ$18</f>
        <v>140.79985919999999</v>
      </c>
      <c r="AP9" s="3">
        <f>Table1[[#This Row],[SRS]]*$CA$18</f>
        <v>-14.933248000000001</v>
      </c>
      <c r="AQ9" s="3">
        <f>1.5*Table1[[#This Row],[SOS]]</f>
        <v>-7.23</v>
      </c>
      <c r="AR9">
        <f>Table1[[#This Row],[Conf. W]]*$CC$18</f>
        <v>49.28</v>
      </c>
      <c r="AS9">
        <f>Table1[[#This Row],[Conf. L]]*$CD$18</f>
        <v>-12.32</v>
      </c>
      <c r="AT9">
        <f>Table1[[#This Row],[HomeW]]*$CE$18</f>
        <v>9</v>
      </c>
      <c r="AU9">
        <f>Table1[[#This Row],[HomeL]]*$CF$18</f>
        <v>2</v>
      </c>
      <c r="AV9">
        <f>Table1[[#This Row],[AwayW]]*$CG$18</f>
        <v>13.331999999999999</v>
      </c>
      <c r="AW9">
        <f>Table1[[#This Row],[AwayL]]*$CH$18</f>
        <v>8.3324999999999996</v>
      </c>
      <c r="AX9">
        <f>Table1[[#This Row],[Tm.]]*$CI$18</f>
        <v>3615.3546000000001</v>
      </c>
      <c r="AY9">
        <f>$CJ$18*Table1[[#This Row],[Opp.]]</f>
        <v>-2883.0576600000004</v>
      </c>
      <c r="AZ9">
        <f>Table1[[#This Row],[MP]]*$CK$18</f>
        <v>1105</v>
      </c>
      <c r="BA9">
        <f>$CL$18*Table1[[#This Row],[FG]]</f>
        <v>1051.5</v>
      </c>
      <c r="BB9">
        <f>$CM$18*Table1[[#This Row],[FGA]]</f>
        <v>-2336.9298899999999</v>
      </c>
      <c r="BC9">
        <f>Table1[[#This Row],[FG%]]*$CN$18</f>
        <v>112.50000900000001</v>
      </c>
      <c r="BD9">
        <f>Table1[[#This Row],[3P]]*$CO$18</f>
        <v>382.18399999999997</v>
      </c>
      <c r="BE9">
        <f>$CP$18*Table1[[#This Row],[3PA]]</f>
        <v>-535</v>
      </c>
      <c r="BF9">
        <f>Table1[[#This Row],[3P%]]*$CQ$18</f>
        <v>105.9300963</v>
      </c>
      <c r="BG9">
        <f>$CR$18*Table1[[#This Row],[FT]]</f>
        <v>178.94200000000001</v>
      </c>
      <c r="BH9">
        <f>$CS$18*Table1[[#This Row],[FTA]]</f>
        <v>266.83409999999998</v>
      </c>
      <c r="BI9">
        <f>Table1[[#This Row],[FT%]]*$CT$18</f>
        <v>247.21049100000005</v>
      </c>
      <c r="BJ9">
        <f>Table1[[#This Row],[ORB]]*$CU$18</f>
        <v>757.25759999999991</v>
      </c>
      <c r="BK9">
        <f>Table1[[#This Row],[TRB]]*$CV$18</f>
        <v>2134.82512</v>
      </c>
      <c r="BL9">
        <f>$CW$18*Table1[[#This Row],[AST]]</f>
        <v>482.28886999999992</v>
      </c>
      <c r="BM9">
        <f>Table1[[#This Row],[STL]]</f>
        <v>188</v>
      </c>
      <c r="BN9">
        <f>Table1[[#This Row],[BLK]]*$CY$18</f>
        <v>120.75</v>
      </c>
      <c r="BO9">
        <f>$CZ$18*Table1[[#This Row],[TOV]]</f>
        <v>-870.00696000000005</v>
      </c>
      <c r="BP9">
        <f>Table1[[#This Row],[PF]]*$DA$18</f>
        <v>582.16399999999999</v>
      </c>
      <c r="BQ9">
        <f>SUM(Table1[[#This Row],[SCW]:[SCPF]])</f>
        <v>4920.2414874999995</v>
      </c>
      <c r="BX9">
        <v>10</v>
      </c>
      <c r="BY9">
        <v>9</v>
      </c>
      <c r="BZ9">
        <v>9</v>
      </c>
      <c r="CA9">
        <v>5</v>
      </c>
      <c r="CB9">
        <v>8</v>
      </c>
      <c r="CC9">
        <v>7</v>
      </c>
      <c r="CD9">
        <v>7</v>
      </c>
      <c r="CE9">
        <v>1</v>
      </c>
      <c r="CF9">
        <v>1</v>
      </c>
      <c r="CG9">
        <v>5</v>
      </c>
      <c r="CH9">
        <v>5</v>
      </c>
      <c r="CI9">
        <v>10</v>
      </c>
      <c r="CJ9">
        <v>9</v>
      </c>
      <c r="CK9">
        <v>1</v>
      </c>
      <c r="CL9">
        <v>10</v>
      </c>
      <c r="CM9">
        <v>9.5</v>
      </c>
      <c r="CN9">
        <v>9</v>
      </c>
      <c r="CO9">
        <v>10</v>
      </c>
      <c r="CP9">
        <v>9</v>
      </c>
      <c r="CQ9">
        <v>9</v>
      </c>
      <c r="CR9">
        <v>10</v>
      </c>
      <c r="CS9">
        <v>10</v>
      </c>
      <c r="CT9">
        <v>10</v>
      </c>
      <c r="CU9">
        <v>8</v>
      </c>
      <c r="CV9">
        <v>8</v>
      </c>
      <c r="CW9">
        <v>7</v>
      </c>
      <c r="CX9">
        <v>7</v>
      </c>
      <c r="CY9">
        <v>7</v>
      </c>
      <c r="CZ9">
        <v>9</v>
      </c>
      <c r="DA9">
        <v>10</v>
      </c>
    </row>
    <row r="10" spans="1:105" x14ac:dyDescent="0.45">
      <c r="A10" s="3">
        <v>52</v>
      </c>
      <c r="B10" s="4" t="s">
        <v>81</v>
      </c>
      <c r="C10" s="3">
        <v>25</v>
      </c>
      <c r="D10" s="3">
        <v>18</v>
      </c>
      <c r="E10" s="3">
        <v>7</v>
      </c>
      <c r="F10" s="3">
        <v>0.72</v>
      </c>
      <c r="G10" s="3">
        <v>-5.21</v>
      </c>
      <c r="H10" s="3">
        <v>-8.7100000000000009</v>
      </c>
      <c r="I10" s="3"/>
      <c r="J10" s="3">
        <v>14</v>
      </c>
      <c r="K10" s="3">
        <v>2</v>
      </c>
      <c r="L10" s="3"/>
      <c r="M10" s="3">
        <v>8</v>
      </c>
      <c r="N10" s="3">
        <v>1</v>
      </c>
      <c r="O10" s="3"/>
      <c r="P10" s="3">
        <v>7</v>
      </c>
      <c r="Q10" s="3">
        <v>5</v>
      </c>
      <c r="R10" s="3"/>
      <c r="S10" s="3">
        <v>1960</v>
      </c>
      <c r="T10" s="3">
        <v>1831</v>
      </c>
      <c r="U10" s="3"/>
      <c r="V10" s="3">
        <v>1010</v>
      </c>
      <c r="W10" s="3">
        <v>734</v>
      </c>
      <c r="X10" s="3">
        <v>1611</v>
      </c>
      <c r="Y10" s="3">
        <v>0.45600000000000002</v>
      </c>
      <c r="Z10" s="3">
        <v>194</v>
      </c>
      <c r="AA10" s="3">
        <v>605</v>
      </c>
      <c r="AB10" s="3">
        <v>0.32100000000000001</v>
      </c>
      <c r="AC10" s="3">
        <v>298</v>
      </c>
      <c r="AD10" s="3">
        <v>446</v>
      </c>
      <c r="AE10" s="3">
        <v>0.66800000000000004</v>
      </c>
      <c r="AF10" s="3">
        <v>273</v>
      </c>
      <c r="AG10" s="3">
        <v>952</v>
      </c>
      <c r="AH10" s="3">
        <v>336</v>
      </c>
      <c r="AI10" s="3">
        <v>228</v>
      </c>
      <c r="AJ10" s="3">
        <v>83</v>
      </c>
      <c r="AK10" s="3">
        <v>326</v>
      </c>
      <c r="AL10" s="3">
        <v>462</v>
      </c>
      <c r="AM10" s="3">
        <f>Table1[[#This Row],[W]]*$BX$18</f>
        <v>39.996000000000002</v>
      </c>
      <c r="AN10" s="3">
        <f>Table1[[#This Row],[L]]*$BY$18</f>
        <v>-13.986000000000001</v>
      </c>
      <c r="AO10" s="3">
        <f>Table1[[#This Row],[W-L%]]*$BZ$18</f>
        <v>143.99985599999999</v>
      </c>
      <c r="AP10" s="3">
        <f>Table1[[#This Row],[SRS]]*$CA$18</f>
        <v>-15.1957465</v>
      </c>
      <c r="AQ10" s="3">
        <f>1.5*Table1[[#This Row],[SOS]]</f>
        <v>-13.065000000000001</v>
      </c>
      <c r="AR10">
        <f>Table1[[#This Row],[Conf. W]]*$CC$18</f>
        <v>43.120000000000005</v>
      </c>
      <c r="AS10">
        <f>Table1[[#This Row],[Conf. L]]*$CD$18</f>
        <v>-6.16</v>
      </c>
      <c r="AT10">
        <f>Table1[[#This Row],[HomeW]]*$CE$18</f>
        <v>8</v>
      </c>
      <c r="AU10">
        <f>Table1[[#This Row],[HomeL]]*$CF$18</f>
        <v>1</v>
      </c>
      <c r="AV10">
        <f>Table1[[#This Row],[AwayW]]*$CG$18</f>
        <v>11.6655</v>
      </c>
      <c r="AW10">
        <f>Table1[[#This Row],[AwayL]]*$CH$18</f>
        <v>8.3324999999999996</v>
      </c>
      <c r="AX10">
        <f>Table1[[#This Row],[Tm.]]*$CI$18</f>
        <v>3702.2440000000001</v>
      </c>
      <c r="AY10">
        <f>$CJ$18*Table1[[#This Row],[Opp.]]</f>
        <v>-2746.5549300000002</v>
      </c>
      <c r="AZ10">
        <f>Table1[[#This Row],[MP]]*$CK$18</f>
        <v>1010</v>
      </c>
      <c r="BA10">
        <f>$CL$18*Table1[[#This Row],[FG]]</f>
        <v>1101</v>
      </c>
      <c r="BB10">
        <f>$CM$18*Table1[[#This Row],[FGA]]</f>
        <v>-2416.4275049999997</v>
      </c>
      <c r="BC10">
        <f>Table1[[#This Row],[FG%]]*$CN$18</f>
        <v>114.00000912</v>
      </c>
      <c r="BD10">
        <f>Table1[[#This Row],[3P]]*$CO$18</f>
        <v>431.06799999999998</v>
      </c>
      <c r="BE10">
        <f>$CP$18*Table1[[#This Row],[3PA]]</f>
        <v>-605</v>
      </c>
      <c r="BF10">
        <f>Table1[[#This Row],[3P%]]*$CQ$18</f>
        <v>105.9300963</v>
      </c>
      <c r="BG10">
        <f>$CR$18*Table1[[#This Row],[FT]]</f>
        <v>156.8374</v>
      </c>
      <c r="BH10">
        <f>$CS$18*Table1[[#This Row],[FTA]]</f>
        <v>234.72979999999998</v>
      </c>
      <c r="BI10">
        <f>Table1[[#This Row],[FT%]]*$CT$18</f>
        <v>246.10522800000004</v>
      </c>
      <c r="BJ10">
        <f>Table1[[#This Row],[ORB]]*$CU$18</f>
        <v>727.92719999999997</v>
      </c>
      <c r="BK10">
        <f>Table1[[#This Row],[TRB]]*$CV$18</f>
        <v>2175.9673600000001</v>
      </c>
      <c r="BL10">
        <f>$CW$18*Table1[[#This Row],[AST]]</f>
        <v>436.78991999999994</v>
      </c>
      <c r="BM10">
        <f>Table1[[#This Row],[STL]]</f>
        <v>228</v>
      </c>
      <c r="BN10">
        <f>Table1[[#This Row],[BLK]]*$CY$18</f>
        <v>145.25</v>
      </c>
      <c r="BO10">
        <f>$CZ$18*Table1[[#This Row],[TOV]]</f>
        <v>-815.00652000000002</v>
      </c>
      <c r="BP10">
        <f>Table1[[#This Row],[PF]]*$DA$18</f>
        <v>513.28200000000004</v>
      </c>
      <c r="BQ10">
        <f>SUM(Table1[[#This Row],[SCW]:[SCPF]])</f>
        <v>4953.8491679200006</v>
      </c>
    </row>
    <row r="11" spans="1:105" x14ac:dyDescent="0.45">
      <c r="A11" s="3">
        <v>61</v>
      </c>
      <c r="B11" s="4" t="s">
        <v>90</v>
      </c>
      <c r="C11" s="3">
        <v>25</v>
      </c>
      <c r="D11" s="3">
        <v>18</v>
      </c>
      <c r="E11" s="3">
        <v>7</v>
      </c>
      <c r="F11" s="3">
        <v>0.72</v>
      </c>
      <c r="G11" s="3">
        <v>17.47</v>
      </c>
      <c r="H11" s="3">
        <v>9.19</v>
      </c>
      <c r="I11" s="3"/>
      <c r="J11" s="3">
        <v>11</v>
      </c>
      <c r="K11" s="3">
        <v>4</v>
      </c>
      <c r="L11" s="3"/>
      <c r="M11" s="3">
        <v>9</v>
      </c>
      <c r="N11" s="3">
        <v>0</v>
      </c>
      <c r="O11" s="3"/>
      <c r="P11" s="3">
        <v>4</v>
      </c>
      <c r="Q11" s="3">
        <v>4</v>
      </c>
      <c r="R11" s="3"/>
      <c r="S11" s="3">
        <v>1870</v>
      </c>
      <c r="T11" s="3">
        <v>1663</v>
      </c>
      <c r="U11" s="3"/>
      <c r="V11" s="3">
        <v>1005</v>
      </c>
      <c r="W11" s="3">
        <v>655</v>
      </c>
      <c r="X11" s="3">
        <v>1446</v>
      </c>
      <c r="Y11" s="3">
        <v>0.45300000000000001</v>
      </c>
      <c r="Z11" s="3">
        <v>229</v>
      </c>
      <c r="AA11" s="3">
        <v>648</v>
      </c>
      <c r="AB11" s="3">
        <v>0.35299999999999998</v>
      </c>
      <c r="AC11" s="3">
        <v>331</v>
      </c>
      <c r="AD11" s="3">
        <v>434</v>
      </c>
      <c r="AE11" s="3">
        <v>0.76300000000000001</v>
      </c>
      <c r="AF11" s="3">
        <v>232</v>
      </c>
      <c r="AG11" s="3">
        <v>847</v>
      </c>
      <c r="AH11" s="3">
        <v>374</v>
      </c>
      <c r="AI11" s="3">
        <v>127</v>
      </c>
      <c r="AJ11" s="3">
        <v>47</v>
      </c>
      <c r="AK11" s="3">
        <v>227</v>
      </c>
      <c r="AL11" s="3">
        <v>387</v>
      </c>
      <c r="AM11" s="3">
        <f>Table1[[#This Row],[W]]*$BX$18</f>
        <v>39.996000000000002</v>
      </c>
      <c r="AN11" s="3">
        <f>Table1[[#This Row],[L]]*$BY$18</f>
        <v>-13.986000000000001</v>
      </c>
      <c r="AO11" s="3">
        <f>Table1[[#This Row],[W-L%]]*$BZ$18</f>
        <v>143.99985599999999</v>
      </c>
      <c r="AP11" s="3">
        <f>Table1[[#This Row],[SRS]]*$CA$18</f>
        <v>50.953875500000002</v>
      </c>
      <c r="AQ11" s="3">
        <f>1.5*Table1[[#This Row],[SOS]]</f>
        <v>13.785</v>
      </c>
      <c r="AR11">
        <f>Table1[[#This Row],[Conf. W]]*$CC$18</f>
        <v>33.880000000000003</v>
      </c>
      <c r="AS11">
        <f>Table1[[#This Row],[Conf. L]]*$CD$18</f>
        <v>-12.32</v>
      </c>
      <c r="AT11">
        <f>Table1[[#This Row],[HomeW]]*$CE$18</f>
        <v>9</v>
      </c>
      <c r="AU11">
        <f>Table1[[#This Row],[HomeL]]*$CF$18</f>
        <v>0</v>
      </c>
      <c r="AV11">
        <f>Table1[[#This Row],[AwayW]]*$CG$18</f>
        <v>6.6659999999999995</v>
      </c>
      <c r="AW11">
        <f>Table1[[#This Row],[AwayL]]*$CH$18</f>
        <v>6.6659999999999995</v>
      </c>
      <c r="AX11">
        <f>Table1[[#This Row],[Tm.]]*$CI$18</f>
        <v>3532.2429999999999</v>
      </c>
      <c r="AY11">
        <f>$CJ$18*Table1[[#This Row],[Opp.]]</f>
        <v>-2494.5498900000002</v>
      </c>
      <c r="AZ11">
        <f>Table1[[#This Row],[MP]]*$CK$18</f>
        <v>1005</v>
      </c>
      <c r="BA11">
        <f>$CL$18*Table1[[#This Row],[FG]]</f>
        <v>982.5</v>
      </c>
      <c r="BB11">
        <f>$CM$18*Table1[[#This Row],[FGA]]</f>
        <v>-2168.9349299999999</v>
      </c>
      <c r="BC11">
        <f>Table1[[#This Row],[FG%]]*$CN$18</f>
        <v>113.25000906000001</v>
      </c>
      <c r="BD11">
        <f>Table1[[#This Row],[3P]]*$CO$18</f>
        <v>508.83800000000002</v>
      </c>
      <c r="BE11">
        <f>$CP$18*Table1[[#This Row],[3PA]]</f>
        <v>-648</v>
      </c>
      <c r="BF11">
        <f>Table1[[#This Row],[3P%]]*$CQ$18</f>
        <v>116.49010589999999</v>
      </c>
      <c r="BG11">
        <f>$CR$18*Table1[[#This Row],[FT]]</f>
        <v>174.20529999999999</v>
      </c>
      <c r="BH11">
        <f>$CS$18*Table1[[#This Row],[FTA]]</f>
        <v>228.41419999999999</v>
      </c>
      <c r="BI11">
        <f>Table1[[#This Row],[FT%]]*$CT$18</f>
        <v>281.10522300000002</v>
      </c>
      <c r="BJ11">
        <f>Table1[[#This Row],[ORB]]*$CU$18</f>
        <v>618.60479999999995</v>
      </c>
      <c r="BK11">
        <f>Table1[[#This Row],[TRB]]*$CV$18</f>
        <v>1935.9709600000001</v>
      </c>
      <c r="BL11">
        <f>$CW$18*Table1[[#This Row],[AST]]</f>
        <v>486.18877999999995</v>
      </c>
      <c r="BM11">
        <f>Table1[[#This Row],[STL]]</f>
        <v>127</v>
      </c>
      <c r="BN11">
        <f>Table1[[#This Row],[BLK]]*$CY$18</f>
        <v>82.25</v>
      </c>
      <c r="BO11">
        <f>$CZ$18*Table1[[#This Row],[TOV]]</f>
        <v>-567.50454000000002</v>
      </c>
      <c r="BP11">
        <f>Table1[[#This Row],[PF]]*$DA$18</f>
        <v>429.95699999999999</v>
      </c>
      <c r="BQ11">
        <f>SUM(Table1[[#This Row],[SCW]:[SCPF]])</f>
        <v>5021.668749460001</v>
      </c>
    </row>
    <row r="12" spans="1:105" x14ac:dyDescent="0.45">
      <c r="A12" s="3">
        <v>43</v>
      </c>
      <c r="B12" s="4" t="s">
        <v>75</v>
      </c>
      <c r="C12" s="3">
        <v>27</v>
      </c>
      <c r="D12" s="3">
        <v>19</v>
      </c>
      <c r="E12" s="3">
        <v>7</v>
      </c>
      <c r="F12" s="3">
        <v>0.73099999999999998</v>
      </c>
      <c r="G12" s="3">
        <v>11.3</v>
      </c>
      <c r="H12" s="3">
        <v>4.76</v>
      </c>
      <c r="I12" s="3"/>
      <c r="J12" s="3">
        <v>10</v>
      </c>
      <c r="K12" s="3">
        <v>4</v>
      </c>
      <c r="L12" s="3"/>
      <c r="M12" s="3">
        <v>12</v>
      </c>
      <c r="N12" s="3">
        <v>2</v>
      </c>
      <c r="O12" s="3"/>
      <c r="P12" s="3">
        <v>5</v>
      </c>
      <c r="Q12" s="3">
        <v>3</v>
      </c>
      <c r="R12" s="3"/>
      <c r="S12" s="3">
        <v>1864</v>
      </c>
      <c r="T12" s="3">
        <v>1694</v>
      </c>
      <c r="U12" s="3"/>
      <c r="V12" s="3">
        <v>1085</v>
      </c>
      <c r="W12" s="3">
        <v>659</v>
      </c>
      <c r="X12" s="3">
        <v>1460</v>
      </c>
      <c r="Y12" s="3">
        <v>0.45100000000000001</v>
      </c>
      <c r="Z12" s="3">
        <v>168</v>
      </c>
      <c r="AA12" s="3">
        <v>510</v>
      </c>
      <c r="AB12" s="3">
        <v>0.32900000000000001</v>
      </c>
      <c r="AC12" s="3">
        <v>378</v>
      </c>
      <c r="AD12" s="3">
        <v>497</v>
      </c>
      <c r="AE12" s="3">
        <v>0.76100000000000001</v>
      </c>
      <c r="AF12" s="3">
        <v>238</v>
      </c>
      <c r="AG12" s="3">
        <v>890</v>
      </c>
      <c r="AH12" s="3">
        <v>347</v>
      </c>
      <c r="AI12" s="3">
        <v>240</v>
      </c>
      <c r="AJ12" s="3">
        <v>140</v>
      </c>
      <c r="AK12" s="3">
        <v>380</v>
      </c>
      <c r="AL12" s="3">
        <v>485</v>
      </c>
      <c r="AM12" s="3">
        <f>Table1[[#This Row],[W]]*$BX$18</f>
        <v>42.217999999999996</v>
      </c>
      <c r="AN12" s="3">
        <f>Table1[[#This Row],[L]]*$BY$18</f>
        <v>-13.986000000000001</v>
      </c>
      <c r="AO12" s="3">
        <f>Table1[[#This Row],[W-L%]]*$BZ$18</f>
        <v>146.1998538</v>
      </c>
      <c r="AP12" s="3">
        <f>Table1[[#This Row],[SRS]]*$CA$18</f>
        <v>32.958145000000002</v>
      </c>
      <c r="AQ12" s="3">
        <f>1.5*Table1[[#This Row],[SOS]]</f>
        <v>7.14</v>
      </c>
      <c r="AR12">
        <f>Table1[[#This Row],[Conf. W]]*$CC$18</f>
        <v>30.8</v>
      </c>
      <c r="AS12">
        <f>Table1[[#This Row],[Conf. L]]*$CD$18</f>
        <v>-12.32</v>
      </c>
      <c r="AT12">
        <f>Table1[[#This Row],[HomeW]]*$CE$18</f>
        <v>12</v>
      </c>
      <c r="AU12">
        <f>Table1[[#This Row],[HomeL]]*$CF$18</f>
        <v>2</v>
      </c>
      <c r="AV12">
        <f>Table1[[#This Row],[AwayW]]*$CG$18</f>
        <v>8.3324999999999996</v>
      </c>
      <c r="AW12">
        <f>Table1[[#This Row],[AwayL]]*$CH$18</f>
        <v>4.9994999999999994</v>
      </c>
      <c r="AX12">
        <f>Table1[[#This Row],[Tm.]]*$CI$18</f>
        <v>3520.9096</v>
      </c>
      <c r="AY12">
        <f>$CJ$18*Table1[[#This Row],[Opp.]]</f>
        <v>-2541.0508200000004</v>
      </c>
      <c r="AZ12">
        <f>Table1[[#This Row],[MP]]*$CK$18</f>
        <v>1085</v>
      </c>
      <c r="BA12">
        <f>$CL$18*Table1[[#This Row],[FG]]</f>
        <v>988.5</v>
      </c>
      <c r="BB12">
        <f>$CM$18*Table1[[#This Row],[FGA]]</f>
        <v>-2189.9342999999999</v>
      </c>
      <c r="BC12">
        <f>Table1[[#This Row],[FG%]]*$CN$18</f>
        <v>112.75000902000001</v>
      </c>
      <c r="BD12">
        <f>Table1[[#This Row],[3P]]*$CO$18</f>
        <v>373.29599999999999</v>
      </c>
      <c r="BE12">
        <f>$CP$18*Table1[[#This Row],[3PA]]</f>
        <v>-510</v>
      </c>
      <c r="BF12">
        <f>Table1[[#This Row],[3P%]]*$CQ$18</f>
        <v>108.5700987</v>
      </c>
      <c r="BG12">
        <f>$CR$18*Table1[[#This Row],[FT]]</f>
        <v>198.94139999999999</v>
      </c>
      <c r="BH12">
        <f>$CS$18*Table1[[#This Row],[FTA]]</f>
        <v>261.5711</v>
      </c>
      <c r="BI12">
        <f>Table1[[#This Row],[FT%]]*$CT$18</f>
        <v>280.36838100000006</v>
      </c>
      <c r="BJ12">
        <f>Table1[[#This Row],[ORB]]*$CU$18</f>
        <v>634.60320000000002</v>
      </c>
      <c r="BK12">
        <f>Table1[[#This Row],[TRB]]*$CV$18</f>
        <v>2034.2552000000001</v>
      </c>
      <c r="BL12">
        <f>$CW$18*Table1[[#This Row],[AST]]</f>
        <v>451.08958999999993</v>
      </c>
      <c r="BM12">
        <f>Table1[[#This Row],[STL]]</f>
        <v>240</v>
      </c>
      <c r="BN12">
        <f>Table1[[#This Row],[BLK]]*$CY$18</f>
        <v>245</v>
      </c>
      <c r="BO12">
        <f>$CZ$18*Table1[[#This Row],[TOV]]</f>
        <v>-950.00760000000002</v>
      </c>
      <c r="BP12">
        <f>Table1[[#This Row],[PF]]*$DA$18</f>
        <v>538.83500000000004</v>
      </c>
      <c r="BQ12">
        <f>SUM(Table1[[#This Row],[SCW]:[SCPF]])</f>
        <v>5143.0388575199995</v>
      </c>
      <c r="BX12" t="s">
        <v>197</v>
      </c>
      <c r="BY12" t="s">
        <v>198</v>
      </c>
      <c r="BZ12" t="s">
        <v>199</v>
      </c>
      <c r="CA12" t="s">
        <v>200</v>
      </c>
      <c r="CB12" t="s">
        <v>201</v>
      </c>
      <c r="CC12" t="s">
        <v>202</v>
      </c>
      <c r="CD12" t="s">
        <v>203</v>
      </c>
      <c r="CE12" t="s">
        <v>204</v>
      </c>
      <c r="CF12" t="s">
        <v>205</v>
      </c>
      <c r="CG12" t="s">
        <v>206</v>
      </c>
      <c r="CH12" t="s">
        <v>207</v>
      </c>
      <c r="CI12" t="s">
        <v>208</v>
      </c>
      <c r="CJ12" t="s">
        <v>209</v>
      </c>
      <c r="CK12" t="s">
        <v>210</v>
      </c>
      <c r="CL12" t="s">
        <v>211</v>
      </c>
      <c r="CM12" t="s">
        <v>212</v>
      </c>
      <c r="CN12" t="s">
        <v>213</v>
      </c>
      <c r="CO12" t="s">
        <v>214</v>
      </c>
      <c r="CP12" t="s">
        <v>215</v>
      </c>
      <c r="CQ12" t="s">
        <v>216</v>
      </c>
      <c r="CR12" t="s">
        <v>217</v>
      </c>
      <c r="CS12" t="s">
        <v>218</v>
      </c>
      <c r="CT12" t="s">
        <v>219</v>
      </c>
      <c r="CU12" t="s">
        <v>220</v>
      </c>
      <c r="CV12" t="s">
        <v>221</v>
      </c>
      <c r="CW12" t="s">
        <v>222</v>
      </c>
      <c r="CX12" t="s">
        <v>223</v>
      </c>
      <c r="CY12" t="s">
        <v>224</v>
      </c>
      <c r="CZ12" t="s">
        <v>225</v>
      </c>
      <c r="DA12" t="s">
        <v>208</v>
      </c>
    </row>
    <row r="13" spans="1:105" x14ac:dyDescent="0.45">
      <c r="A13" s="3">
        <v>54</v>
      </c>
      <c r="B13" s="4" t="s">
        <v>83</v>
      </c>
      <c r="C13" s="3">
        <v>28</v>
      </c>
      <c r="D13" s="3">
        <v>18</v>
      </c>
      <c r="E13" s="3">
        <v>10</v>
      </c>
      <c r="F13" s="3">
        <v>0.64300000000000002</v>
      </c>
      <c r="G13" s="3">
        <v>7.58</v>
      </c>
      <c r="H13" s="3">
        <v>1.02</v>
      </c>
      <c r="I13" s="3"/>
      <c r="J13" s="3">
        <v>9</v>
      </c>
      <c r="K13" s="3">
        <v>5</v>
      </c>
      <c r="L13" s="3"/>
      <c r="M13" s="3">
        <v>8</v>
      </c>
      <c r="N13" s="3">
        <v>3</v>
      </c>
      <c r="O13" s="3"/>
      <c r="P13" s="3">
        <v>5</v>
      </c>
      <c r="Q13" s="3">
        <v>6</v>
      </c>
      <c r="R13" s="3"/>
      <c r="S13" s="3">
        <v>1954</v>
      </c>
      <c r="T13" s="3">
        <v>1745</v>
      </c>
      <c r="U13" s="3"/>
      <c r="V13" s="3">
        <v>1130</v>
      </c>
      <c r="W13" s="3">
        <v>717</v>
      </c>
      <c r="X13" s="3">
        <v>1516</v>
      </c>
      <c r="Y13" s="3">
        <v>0.47299999999999998</v>
      </c>
      <c r="Z13" s="3">
        <v>214</v>
      </c>
      <c r="AA13" s="3">
        <v>571</v>
      </c>
      <c r="AB13" s="3">
        <v>0.375</v>
      </c>
      <c r="AC13" s="3">
        <v>306</v>
      </c>
      <c r="AD13" s="3">
        <v>411</v>
      </c>
      <c r="AE13" s="3">
        <v>0.745</v>
      </c>
      <c r="AF13" s="3">
        <v>238</v>
      </c>
      <c r="AG13" s="3">
        <v>927</v>
      </c>
      <c r="AH13" s="3">
        <v>373</v>
      </c>
      <c r="AI13" s="3">
        <v>182</v>
      </c>
      <c r="AJ13" s="3">
        <v>81</v>
      </c>
      <c r="AK13" s="3">
        <v>360</v>
      </c>
      <c r="AL13" s="3">
        <v>440</v>
      </c>
      <c r="AM13" s="3">
        <f>Table1[[#This Row],[W]]*$BX$18</f>
        <v>39.996000000000002</v>
      </c>
      <c r="AN13" s="3">
        <f>Table1[[#This Row],[L]]*$BY$18</f>
        <v>-19.98</v>
      </c>
      <c r="AO13" s="3">
        <f>Table1[[#This Row],[W-L%]]*$BZ$18</f>
        <v>128.59987140000001</v>
      </c>
      <c r="AP13" s="3">
        <f>Table1[[#This Row],[SRS]]*$CA$18</f>
        <v>22.108207</v>
      </c>
      <c r="AQ13" s="3">
        <f>1.5*Table1[[#This Row],[SOS]]</f>
        <v>1.53</v>
      </c>
      <c r="AR13">
        <f>Table1[[#This Row],[Conf. W]]*$CC$18</f>
        <v>27.72</v>
      </c>
      <c r="AS13">
        <f>Table1[[#This Row],[Conf. L]]*$CD$18</f>
        <v>-15.4</v>
      </c>
      <c r="AT13">
        <f>Table1[[#This Row],[HomeW]]*$CE$18</f>
        <v>8</v>
      </c>
      <c r="AU13">
        <f>Table1[[#This Row],[HomeL]]*$CF$18</f>
        <v>3</v>
      </c>
      <c r="AV13">
        <f>Table1[[#This Row],[AwayW]]*$CG$18</f>
        <v>8.3324999999999996</v>
      </c>
      <c r="AW13">
        <f>Table1[[#This Row],[AwayL]]*$CH$18</f>
        <v>9.9989999999999988</v>
      </c>
      <c r="AX13">
        <f>Table1[[#This Row],[Tm.]]*$CI$18</f>
        <v>3690.9106000000002</v>
      </c>
      <c r="AY13">
        <f>$CJ$18*Table1[[#This Row],[Opp.]]</f>
        <v>-2617.5523500000004</v>
      </c>
      <c r="AZ13">
        <f>Table1[[#This Row],[MP]]*$CK$18</f>
        <v>1130</v>
      </c>
      <c r="BA13">
        <f>$CL$18*Table1[[#This Row],[FG]]</f>
        <v>1075.5</v>
      </c>
      <c r="BB13">
        <f>$CM$18*Table1[[#This Row],[FGA]]</f>
        <v>-2273.9317799999999</v>
      </c>
      <c r="BC13">
        <f>Table1[[#This Row],[FG%]]*$CN$18</f>
        <v>118.25000946</v>
      </c>
      <c r="BD13">
        <f>Table1[[#This Row],[3P]]*$CO$18</f>
        <v>475.50799999999998</v>
      </c>
      <c r="BE13">
        <f>$CP$18*Table1[[#This Row],[3PA]]</f>
        <v>-571</v>
      </c>
      <c r="BF13">
        <f>Table1[[#This Row],[3P%]]*$CQ$18</f>
        <v>123.7501125</v>
      </c>
      <c r="BG13">
        <f>$CR$18*Table1[[#This Row],[FT]]</f>
        <v>161.0478</v>
      </c>
      <c r="BH13">
        <f>$CS$18*Table1[[#This Row],[FTA]]</f>
        <v>216.30930000000001</v>
      </c>
      <c r="BI13">
        <f>Table1[[#This Row],[FT%]]*$CT$18</f>
        <v>274.47364500000003</v>
      </c>
      <c r="BJ13">
        <f>Table1[[#This Row],[ORB]]*$CU$18</f>
        <v>634.60320000000002</v>
      </c>
      <c r="BK13">
        <f>Table1[[#This Row],[TRB]]*$CV$18</f>
        <v>2118.8253600000003</v>
      </c>
      <c r="BL13">
        <f>$CW$18*Table1[[#This Row],[AST]]</f>
        <v>484.88880999999992</v>
      </c>
      <c r="BM13">
        <f>Table1[[#This Row],[STL]]</f>
        <v>182</v>
      </c>
      <c r="BN13">
        <f>Table1[[#This Row],[BLK]]*$CY$18</f>
        <v>141.75</v>
      </c>
      <c r="BO13">
        <f>$CZ$18*Table1[[#This Row],[TOV]]</f>
        <v>-900.00720000000001</v>
      </c>
      <c r="BP13">
        <f>Table1[[#This Row],[PF]]*$DA$18</f>
        <v>488.84</v>
      </c>
      <c r="BQ13">
        <f>SUM(Table1[[#This Row],[SCW]:[SCPF]])</f>
        <v>5168.0710853600012</v>
      </c>
    </row>
    <row r="14" spans="1:105" x14ac:dyDescent="0.45">
      <c r="A14" s="3">
        <v>33</v>
      </c>
      <c r="B14" s="4" t="s">
        <v>42</v>
      </c>
      <c r="C14" s="3">
        <v>28</v>
      </c>
      <c r="D14" s="3">
        <v>20</v>
      </c>
      <c r="E14" s="3">
        <v>8</v>
      </c>
      <c r="F14" s="3">
        <v>0.71399999999999997</v>
      </c>
      <c r="G14" s="3">
        <v>8.06</v>
      </c>
      <c r="H14" s="3">
        <v>1.06</v>
      </c>
      <c r="I14" s="3"/>
      <c r="J14" s="3">
        <v>14</v>
      </c>
      <c r="K14" s="3">
        <v>4</v>
      </c>
      <c r="L14" s="3"/>
      <c r="M14" s="3">
        <v>10</v>
      </c>
      <c r="N14" s="3">
        <v>1</v>
      </c>
      <c r="O14" s="3"/>
      <c r="P14" s="3">
        <v>6</v>
      </c>
      <c r="Q14" s="3">
        <v>4</v>
      </c>
      <c r="R14" s="3"/>
      <c r="S14" s="3">
        <v>2072</v>
      </c>
      <c r="T14" s="3">
        <v>1871</v>
      </c>
      <c r="U14" s="3"/>
      <c r="V14" s="3">
        <v>1120</v>
      </c>
      <c r="W14" s="3">
        <v>715</v>
      </c>
      <c r="X14" s="3">
        <v>1536</v>
      </c>
      <c r="Y14" s="3">
        <v>0.46500000000000002</v>
      </c>
      <c r="Z14" s="3">
        <v>235</v>
      </c>
      <c r="AA14" s="3">
        <v>666</v>
      </c>
      <c r="AB14" s="3">
        <v>0.35299999999999998</v>
      </c>
      <c r="AC14" s="3">
        <v>407</v>
      </c>
      <c r="AD14" s="3">
        <v>514</v>
      </c>
      <c r="AE14" s="3">
        <v>0.79200000000000004</v>
      </c>
      <c r="AF14" s="3">
        <v>212</v>
      </c>
      <c r="AG14" s="3">
        <v>965</v>
      </c>
      <c r="AH14" s="3">
        <v>408</v>
      </c>
      <c r="AI14" s="3">
        <v>164</v>
      </c>
      <c r="AJ14" s="3">
        <v>75</v>
      </c>
      <c r="AK14" s="3">
        <v>378</v>
      </c>
      <c r="AL14" s="3">
        <v>465</v>
      </c>
      <c r="AM14" s="3">
        <f>Table1[[#This Row],[W]]*$BX$18</f>
        <v>44.44</v>
      </c>
      <c r="AN14" s="3">
        <f>Table1[[#This Row],[L]]*$BY$18</f>
        <v>-15.984</v>
      </c>
      <c r="AO14" s="3">
        <f>Table1[[#This Row],[W-L%]]*$BZ$18</f>
        <v>142.79985719999999</v>
      </c>
      <c r="AP14" s="3">
        <f>Table1[[#This Row],[SRS]]*$CA$18</f>
        <v>23.508199000000005</v>
      </c>
      <c r="AQ14" s="3">
        <f>1.5*Table1[[#This Row],[SOS]]</f>
        <v>1.59</v>
      </c>
      <c r="AR14">
        <f>Table1[[#This Row],[Conf. W]]*$CC$18</f>
        <v>43.120000000000005</v>
      </c>
      <c r="AS14">
        <f>Table1[[#This Row],[Conf. L]]*$CD$18</f>
        <v>-12.32</v>
      </c>
      <c r="AT14">
        <f>Table1[[#This Row],[HomeW]]*$CE$18</f>
        <v>10</v>
      </c>
      <c r="AU14">
        <f>Table1[[#This Row],[HomeL]]*$CF$18</f>
        <v>1</v>
      </c>
      <c r="AV14">
        <f>Table1[[#This Row],[AwayW]]*$CG$18</f>
        <v>9.9989999999999988</v>
      </c>
      <c r="AW14">
        <f>Table1[[#This Row],[AwayL]]*$CH$18</f>
        <v>6.6659999999999995</v>
      </c>
      <c r="AX14">
        <f>Table1[[#This Row],[Tm.]]*$CI$18</f>
        <v>3913.8008</v>
      </c>
      <c r="AY14">
        <f>$CJ$18*Table1[[#This Row],[Opp.]]</f>
        <v>-2806.5561300000004</v>
      </c>
      <c r="AZ14">
        <f>Table1[[#This Row],[MP]]*$CK$18</f>
        <v>1120</v>
      </c>
      <c r="BA14">
        <f>$CL$18*Table1[[#This Row],[FG]]</f>
        <v>1072.5</v>
      </c>
      <c r="BB14">
        <f>$CM$18*Table1[[#This Row],[FGA]]</f>
        <v>-2303.9308799999999</v>
      </c>
      <c r="BC14">
        <f>Table1[[#This Row],[FG%]]*$CN$18</f>
        <v>116.2500093</v>
      </c>
      <c r="BD14">
        <f>Table1[[#This Row],[3P]]*$CO$18</f>
        <v>522.16999999999996</v>
      </c>
      <c r="BE14">
        <f>$CP$18*Table1[[#This Row],[3PA]]</f>
        <v>-666</v>
      </c>
      <c r="BF14">
        <f>Table1[[#This Row],[3P%]]*$CQ$18</f>
        <v>116.49010589999999</v>
      </c>
      <c r="BG14">
        <f>$CR$18*Table1[[#This Row],[FT]]</f>
        <v>214.20409999999998</v>
      </c>
      <c r="BH14">
        <f>$CS$18*Table1[[#This Row],[FTA]]</f>
        <v>270.51819999999998</v>
      </c>
      <c r="BI14">
        <f>Table1[[#This Row],[FT%]]*$CT$18</f>
        <v>291.78943200000003</v>
      </c>
      <c r="BJ14">
        <f>Table1[[#This Row],[ORB]]*$CU$18</f>
        <v>565.27679999999998</v>
      </c>
      <c r="BK14">
        <f>Table1[[#This Row],[TRB]]*$CV$18</f>
        <v>2205.6812</v>
      </c>
      <c r="BL14">
        <f>$CW$18*Table1[[#This Row],[AST]]</f>
        <v>530.38775999999996</v>
      </c>
      <c r="BM14">
        <f>Table1[[#This Row],[STL]]</f>
        <v>164</v>
      </c>
      <c r="BN14">
        <f>Table1[[#This Row],[BLK]]*$CY$18</f>
        <v>131.25</v>
      </c>
      <c r="BO14">
        <f>$CZ$18*Table1[[#This Row],[TOV]]</f>
        <v>-945.00756000000001</v>
      </c>
      <c r="BP14">
        <f>Table1[[#This Row],[PF]]*$DA$18</f>
        <v>516.61500000000001</v>
      </c>
      <c r="BQ14">
        <f>SUM(Table1[[#This Row],[SCW]:[SCPF]])</f>
        <v>5284.2578933999994</v>
      </c>
      <c r="BX14">
        <v>0.22220000000000001</v>
      </c>
      <c r="BY14">
        <v>-0.222</v>
      </c>
      <c r="BZ14">
        <v>22.222200000000001</v>
      </c>
      <c r="CA14">
        <v>0.58333000000000002</v>
      </c>
      <c r="CB14">
        <v>0.1875</v>
      </c>
      <c r="CC14">
        <v>0.44</v>
      </c>
      <c r="CD14">
        <v>-0.44</v>
      </c>
      <c r="CE14">
        <v>1</v>
      </c>
      <c r="CF14">
        <v>1</v>
      </c>
      <c r="CG14">
        <v>0.33329999999999999</v>
      </c>
      <c r="CH14">
        <v>0.33329999999999999</v>
      </c>
      <c r="CI14">
        <v>0.18889</v>
      </c>
      <c r="CJ14">
        <v>-0.16667000000000001</v>
      </c>
      <c r="CK14">
        <v>1</v>
      </c>
      <c r="CL14">
        <v>0.15</v>
      </c>
      <c r="CM14">
        <v>-0.15789</v>
      </c>
      <c r="CN14">
        <v>27.77778</v>
      </c>
      <c r="CO14">
        <v>0.22220000000000001</v>
      </c>
      <c r="CP14" cm="1">
        <f t="array" ref="CP14">Table2[CONS.3PA]/Table3[3PASC]</f>
        <v>-0.1111111111111111</v>
      </c>
      <c r="CQ14">
        <v>36.666699999999999</v>
      </c>
      <c r="CR14">
        <v>5.2630000000000003E-2</v>
      </c>
      <c r="CS14">
        <v>5.2630000000000003E-2</v>
      </c>
      <c r="CT14">
        <v>36.842100000000002</v>
      </c>
      <c r="CU14">
        <v>0.33329999999999999</v>
      </c>
      <c r="CV14">
        <v>0.28571000000000002</v>
      </c>
      <c r="CW14">
        <v>0.18570999999999999</v>
      </c>
      <c r="CX14">
        <v>0.25</v>
      </c>
      <c r="CY14">
        <v>0.25</v>
      </c>
      <c r="CZ14">
        <v>-0.27778000000000003</v>
      </c>
      <c r="DA14">
        <v>0.1111</v>
      </c>
    </row>
    <row r="15" spans="1:105" x14ac:dyDescent="0.45">
      <c r="A15" s="3">
        <v>48</v>
      </c>
      <c r="B15" s="4" t="s">
        <v>77</v>
      </c>
      <c r="C15" s="3">
        <v>25</v>
      </c>
      <c r="D15" s="3">
        <v>18</v>
      </c>
      <c r="E15" s="3">
        <v>7</v>
      </c>
      <c r="F15" s="3">
        <v>0.72</v>
      </c>
      <c r="G15" s="3">
        <v>17.12</v>
      </c>
      <c r="H15" s="3">
        <v>9.16</v>
      </c>
      <c r="I15" s="3"/>
      <c r="J15" s="3">
        <v>11</v>
      </c>
      <c r="K15" s="3">
        <v>4</v>
      </c>
      <c r="L15" s="3"/>
      <c r="M15" s="3">
        <v>12</v>
      </c>
      <c r="N15" s="3">
        <v>1</v>
      </c>
      <c r="O15" s="3"/>
      <c r="P15" s="3">
        <v>3</v>
      </c>
      <c r="Q15" s="3">
        <v>4</v>
      </c>
      <c r="R15" s="3"/>
      <c r="S15" s="3">
        <v>1929</v>
      </c>
      <c r="T15" s="3">
        <v>1730</v>
      </c>
      <c r="U15" s="3"/>
      <c r="V15" s="3">
        <v>1010</v>
      </c>
      <c r="W15" s="3">
        <v>693</v>
      </c>
      <c r="X15" s="3">
        <v>1461</v>
      </c>
      <c r="Y15" s="3">
        <v>0.47399999999999998</v>
      </c>
      <c r="Z15" s="3">
        <v>192</v>
      </c>
      <c r="AA15" s="3">
        <v>510</v>
      </c>
      <c r="AB15" s="3">
        <v>0.376</v>
      </c>
      <c r="AC15" s="3">
        <v>351</v>
      </c>
      <c r="AD15" s="3">
        <v>474</v>
      </c>
      <c r="AE15" s="3">
        <v>0.74099999999999999</v>
      </c>
      <c r="AF15" s="3">
        <v>272</v>
      </c>
      <c r="AG15" s="3">
        <v>918</v>
      </c>
      <c r="AH15" s="3">
        <v>363</v>
      </c>
      <c r="AI15" s="3">
        <v>182</v>
      </c>
      <c r="AJ15" s="3">
        <v>127</v>
      </c>
      <c r="AK15" s="3">
        <v>359</v>
      </c>
      <c r="AL15" s="3">
        <v>459</v>
      </c>
      <c r="AM15" s="3">
        <f>Table1[[#This Row],[W]]*$BX$18</f>
        <v>39.996000000000002</v>
      </c>
      <c r="AN15" s="3">
        <f>Table1[[#This Row],[L]]*$BY$18</f>
        <v>-13.986000000000001</v>
      </c>
      <c r="AO15" s="3">
        <f>Table1[[#This Row],[W-L%]]*$BZ$18</f>
        <v>143.99985599999999</v>
      </c>
      <c r="AP15" s="3">
        <f>Table1[[#This Row],[SRS]]*$CA$18</f>
        <v>49.933048000000007</v>
      </c>
      <c r="AQ15" s="3">
        <f>1.5*Table1[[#This Row],[SOS]]</f>
        <v>13.74</v>
      </c>
      <c r="AR15">
        <f>Table1[[#This Row],[Conf. W]]*$CC$18</f>
        <v>33.880000000000003</v>
      </c>
      <c r="AS15">
        <f>Table1[[#This Row],[Conf. L]]*$CD$18</f>
        <v>-12.32</v>
      </c>
      <c r="AT15">
        <f>Table1[[#This Row],[HomeW]]*$CE$18</f>
        <v>12</v>
      </c>
      <c r="AU15">
        <f>Table1[[#This Row],[HomeL]]*$CF$18</f>
        <v>1</v>
      </c>
      <c r="AV15">
        <f>Table1[[#This Row],[AwayW]]*$CG$18</f>
        <v>4.9994999999999994</v>
      </c>
      <c r="AW15">
        <f>Table1[[#This Row],[AwayL]]*$CH$18</f>
        <v>6.6659999999999995</v>
      </c>
      <c r="AX15">
        <f>Table1[[#This Row],[Tm.]]*$CI$18</f>
        <v>3643.6880999999998</v>
      </c>
      <c r="AY15">
        <f>$CJ$18*Table1[[#This Row],[Opp.]]</f>
        <v>-2595.0519000000004</v>
      </c>
      <c r="AZ15">
        <f>Table1[[#This Row],[MP]]*$CK$18</f>
        <v>1010</v>
      </c>
      <c r="BA15">
        <f>$CL$18*Table1[[#This Row],[FG]]</f>
        <v>1039.5</v>
      </c>
      <c r="BB15">
        <f>$CM$18*Table1[[#This Row],[FGA]]</f>
        <v>-2191.4342550000001</v>
      </c>
      <c r="BC15">
        <f>Table1[[#This Row],[FG%]]*$CN$18</f>
        <v>118.50000948</v>
      </c>
      <c r="BD15">
        <f>Table1[[#This Row],[3P]]*$CO$18</f>
        <v>426.62400000000002</v>
      </c>
      <c r="BE15">
        <f>$CP$18*Table1[[#This Row],[3PA]]</f>
        <v>-510</v>
      </c>
      <c r="BF15">
        <f>Table1[[#This Row],[3P%]]*$CQ$18</f>
        <v>124.08011279999999</v>
      </c>
      <c r="BG15">
        <f>$CR$18*Table1[[#This Row],[FT]]</f>
        <v>184.7313</v>
      </c>
      <c r="BH15">
        <f>$CS$18*Table1[[#This Row],[FTA]]</f>
        <v>249.46619999999999</v>
      </c>
      <c r="BI15">
        <f>Table1[[#This Row],[FT%]]*$CT$18</f>
        <v>272.99996100000004</v>
      </c>
      <c r="BJ15">
        <f>Table1[[#This Row],[ORB]]*$CU$18</f>
        <v>725.26080000000002</v>
      </c>
      <c r="BK15">
        <f>Table1[[#This Row],[TRB]]*$CV$18</f>
        <v>2098.2542400000002</v>
      </c>
      <c r="BL15">
        <f>$CW$18*Table1[[#This Row],[AST]]</f>
        <v>471.88910999999996</v>
      </c>
      <c r="BM15">
        <f>Table1[[#This Row],[STL]]</f>
        <v>182</v>
      </c>
      <c r="BN15">
        <f>Table1[[#This Row],[BLK]]*$CY$18</f>
        <v>222.25</v>
      </c>
      <c r="BO15">
        <f>$CZ$18*Table1[[#This Row],[TOV]]</f>
        <v>-897.50718000000006</v>
      </c>
      <c r="BP15">
        <f>Table1[[#This Row],[PF]]*$DA$18</f>
        <v>509.94900000000001</v>
      </c>
      <c r="BQ15">
        <f>SUM(Table1[[#This Row],[SCW]:[SCPF]])</f>
        <v>5365.1079022799995</v>
      </c>
    </row>
    <row r="16" spans="1:105" x14ac:dyDescent="0.45">
      <c r="A16" s="3">
        <v>65</v>
      </c>
      <c r="B16" s="4" t="s">
        <v>29</v>
      </c>
      <c r="C16" s="3">
        <v>29</v>
      </c>
      <c r="D16" s="3">
        <v>17</v>
      </c>
      <c r="E16" s="3">
        <v>12</v>
      </c>
      <c r="F16" s="3">
        <v>0.58599999999999997</v>
      </c>
      <c r="G16" s="3">
        <v>-5.84</v>
      </c>
      <c r="H16" s="3">
        <v>-5.72</v>
      </c>
      <c r="I16" s="3"/>
      <c r="J16" s="3">
        <v>7</v>
      </c>
      <c r="K16" s="3">
        <v>8</v>
      </c>
      <c r="L16" s="3"/>
      <c r="M16" s="3">
        <v>9</v>
      </c>
      <c r="N16" s="3">
        <v>4</v>
      </c>
      <c r="O16" s="3"/>
      <c r="P16" s="3">
        <v>4</v>
      </c>
      <c r="Q16" s="3">
        <v>7</v>
      </c>
      <c r="R16" s="3"/>
      <c r="S16" s="3">
        <v>2039</v>
      </c>
      <c r="T16" s="3">
        <v>1860</v>
      </c>
      <c r="U16" s="3"/>
      <c r="V16" s="3">
        <v>1185</v>
      </c>
      <c r="W16" s="3">
        <v>690</v>
      </c>
      <c r="X16" s="3">
        <v>1688</v>
      </c>
      <c r="Y16" s="3">
        <v>0.40899999999999997</v>
      </c>
      <c r="Z16" s="3">
        <v>233</v>
      </c>
      <c r="AA16" s="3">
        <v>737</v>
      </c>
      <c r="AB16" s="3">
        <v>0.316</v>
      </c>
      <c r="AC16" s="3">
        <v>426</v>
      </c>
      <c r="AD16" s="3">
        <v>574</v>
      </c>
      <c r="AE16" s="3">
        <v>0.74199999999999999</v>
      </c>
      <c r="AF16" s="3">
        <v>319</v>
      </c>
      <c r="AG16" s="3">
        <v>1053</v>
      </c>
      <c r="AH16" s="3">
        <v>344</v>
      </c>
      <c r="AI16" s="3">
        <v>230</v>
      </c>
      <c r="AJ16" s="3">
        <v>107</v>
      </c>
      <c r="AK16" s="3">
        <v>343</v>
      </c>
      <c r="AL16" s="3">
        <v>394</v>
      </c>
      <c r="AM16" s="3">
        <f>Table1[[#This Row],[W]]*$BX$18</f>
        <v>37.774000000000001</v>
      </c>
      <c r="AN16" s="3">
        <f>Table1[[#This Row],[L]]*$BY$18</f>
        <v>-23.975999999999999</v>
      </c>
      <c r="AO16" s="3">
        <f>Table1[[#This Row],[W-L%]]*$BZ$18</f>
        <v>117.19988279999998</v>
      </c>
      <c r="AP16" s="3">
        <f>Table1[[#This Row],[SRS]]*$CA$18</f>
        <v>-17.033236000000002</v>
      </c>
      <c r="AQ16" s="3">
        <f>1.5*Table1[[#This Row],[SOS]]</f>
        <v>-8.58</v>
      </c>
      <c r="AR16">
        <f>Table1[[#This Row],[Conf. W]]*$CC$18</f>
        <v>21.560000000000002</v>
      </c>
      <c r="AS16">
        <f>Table1[[#This Row],[Conf. L]]*$CD$18</f>
        <v>-24.64</v>
      </c>
      <c r="AT16">
        <f>Table1[[#This Row],[HomeW]]*$CE$18</f>
        <v>9</v>
      </c>
      <c r="AU16">
        <f>Table1[[#This Row],[HomeL]]*$CF$18</f>
        <v>4</v>
      </c>
      <c r="AV16">
        <f>Table1[[#This Row],[AwayW]]*$CG$18</f>
        <v>6.6659999999999995</v>
      </c>
      <c r="AW16">
        <f>Table1[[#This Row],[AwayL]]*$CH$18</f>
        <v>11.6655</v>
      </c>
      <c r="AX16">
        <f>Table1[[#This Row],[Tm.]]*$CI$18</f>
        <v>3851.4670999999998</v>
      </c>
      <c r="AY16">
        <f>$CJ$18*Table1[[#This Row],[Opp.]]</f>
        <v>-2790.0558000000005</v>
      </c>
      <c r="AZ16">
        <f>Table1[[#This Row],[MP]]*$CK$18</f>
        <v>1185</v>
      </c>
      <c r="BA16">
        <f>$CL$18*Table1[[#This Row],[FG]]</f>
        <v>1035</v>
      </c>
      <c r="BB16">
        <f>$CM$18*Table1[[#This Row],[FGA]]</f>
        <v>-2531.9240399999999</v>
      </c>
      <c r="BC16">
        <f>Table1[[#This Row],[FG%]]*$CN$18</f>
        <v>102.25000817999999</v>
      </c>
      <c r="BD16">
        <f>Table1[[#This Row],[3P]]*$CO$18</f>
        <v>517.726</v>
      </c>
      <c r="BE16">
        <f>$CP$18*Table1[[#This Row],[3PA]]</f>
        <v>-737</v>
      </c>
      <c r="BF16">
        <f>Table1[[#This Row],[3P%]]*$CQ$18</f>
        <v>104.2800948</v>
      </c>
      <c r="BG16">
        <f>$CR$18*Table1[[#This Row],[FT]]</f>
        <v>224.2038</v>
      </c>
      <c r="BH16">
        <f>$CS$18*Table1[[#This Row],[FTA]]</f>
        <v>302.09620000000001</v>
      </c>
      <c r="BI16">
        <f>Table1[[#This Row],[FT%]]*$CT$18</f>
        <v>273.36838200000005</v>
      </c>
      <c r="BJ16">
        <f>Table1[[#This Row],[ORB]]*$CU$18</f>
        <v>850.58159999999998</v>
      </c>
      <c r="BK16">
        <f>Table1[[#This Row],[TRB]]*$CV$18</f>
        <v>2406.8210400000003</v>
      </c>
      <c r="BL16">
        <f>$CW$18*Table1[[#This Row],[AST]]</f>
        <v>447.18967999999995</v>
      </c>
      <c r="BM16">
        <f>Table1[[#This Row],[STL]]</f>
        <v>230</v>
      </c>
      <c r="BN16">
        <f>Table1[[#This Row],[BLK]]*$CY$18</f>
        <v>187.25</v>
      </c>
      <c r="BO16">
        <f>$CZ$18*Table1[[#This Row],[TOV]]</f>
        <v>-857.50686000000007</v>
      </c>
      <c r="BP16">
        <f>Table1[[#This Row],[PF]]*$DA$18</f>
        <v>437.73399999999998</v>
      </c>
      <c r="BQ16">
        <f>SUM(Table1[[#This Row],[SCW]:[SCPF]])</f>
        <v>5372.1173517799989</v>
      </c>
    </row>
    <row r="17" spans="1:105" x14ac:dyDescent="0.45">
      <c r="A17" s="3">
        <v>49</v>
      </c>
      <c r="B17" s="4" t="s">
        <v>78</v>
      </c>
      <c r="C17" s="3">
        <v>27</v>
      </c>
      <c r="D17" s="3">
        <v>18</v>
      </c>
      <c r="E17" s="3">
        <v>9</v>
      </c>
      <c r="F17" s="3">
        <v>0.66700000000000004</v>
      </c>
      <c r="G17" s="3">
        <v>-3.02</v>
      </c>
      <c r="H17" s="3">
        <v>-6.06</v>
      </c>
      <c r="I17" s="3"/>
      <c r="J17" s="3">
        <v>13</v>
      </c>
      <c r="K17" s="3">
        <v>6</v>
      </c>
      <c r="L17" s="3"/>
      <c r="M17" s="3">
        <v>8</v>
      </c>
      <c r="N17" s="3">
        <v>3</v>
      </c>
      <c r="O17" s="3"/>
      <c r="P17" s="3">
        <v>7</v>
      </c>
      <c r="Q17" s="3">
        <v>5</v>
      </c>
      <c r="R17" s="3"/>
      <c r="S17" s="3">
        <v>2005</v>
      </c>
      <c r="T17" s="3">
        <v>1851</v>
      </c>
      <c r="U17" s="3"/>
      <c r="V17" s="3">
        <v>1095</v>
      </c>
      <c r="W17" s="3">
        <v>723</v>
      </c>
      <c r="X17" s="3">
        <v>1568</v>
      </c>
      <c r="Y17" s="3">
        <v>0.46100000000000002</v>
      </c>
      <c r="Z17" s="3">
        <v>219</v>
      </c>
      <c r="AA17" s="3">
        <v>616</v>
      </c>
      <c r="AB17" s="3">
        <v>0.35599999999999998</v>
      </c>
      <c r="AC17" s="3">
        <v>340</v>
      </c>
      <c r="AD17" s="3">
        <v>496</v>
      </c>
      <c r="AE17" s="3">
        <v>0.68500000000000005</v>
      </c>
      <c r="AF17" s="3">
        <v>299</v>
      </c>
      <c r="AG17" s="3">
        <v>1048</v>
      </c>
      <c r="AH17" s="3">
        <v>383</v>
      </c>
      <c r="AI17" s="3">
        <v>135</v>
      </c>
      <c r="AJ17" s="3">
        <v>94</v>
      </c>
      <c r="AK17" s="3">
        <v>360</v>
      </c>
      <c r="AL17" s="3">
        <v>413</v>
      </c>
      <c r="AM17" s="3">
        <f>Table1[[#This Row],[W]]*$BX$18</f>
        <v>39.996000000000002</v>
      </c>
      <c r="AN17" s="3">
        <f>Table1[[#This Row],[L]]*$BY$18</f>
        <v>-17.981999999999999</v>
      </c>
      <c r="AO17" s="3">
        <f>Table1[[#This Row],[W-L%]]*$BZ$18</f>
        <v>133.3998666</v>
      </c>
      <c r="AP17" s="3">
        <f>Table1[[#This Row],[SRS]]*$CA$18</f>
        <v>-8.8082830000000012</v>
      </c>
      <c r="AQ17" s="3">
        <f>1.5*Table1[[#This Row],[SOS]]</f>
        <v>-9.09</v>
      </c>
      <c r="AR17">
        <f>Table1[[#This Row],[Conf. W]]*$CC$18</f>
        <v>40.04</v>
      </c>
      <c r="AS17">
        <f>Table1[[#This Row],[Conf. L]]*$CD$18</f>
        <v>-18.48</v>
      </c>
      <c r="AT17">
        <f>Table1[[#This Row],[HomeW]]*$CE$18</f>
        <v>8</v>
      </c>
      <c r="AU17">
        <f>Table1[[#This Row],[HomeL]]*$CF$18</f>
        <v>3</v>
      </c>
      <c r="AV17">
        <f>Table1[[#This Row],[AwayW]]*$CG$18</f>
        <v>11.6655</v>
      </c>
      <c r="AW17">
        <f>Table1[[#This Row],[AwayL]]*$CH$18</f>
        <v>8.3324999999999996</v>
      </c>
      <c r="AX17">
        <f>Table1[[#This Row],[Tm.]]*$CI$18</f>
        <v>3787.2445000000002</v>
      </c>
      <c r="AY17">
        <f>$CJ$18*Table1[[#This Row],[Opp.]]</f>
        <v>-2776.5555300000005</v>
      </c>
      <c r="AZ17">
        <f>Table1[[#This Row],[MP]]*$CK$18</f>
        <v>1095</v>
      </c>
      <c r="BA17">
        <f>$CL$18*Table1[[#This Row],[FG]]</f>
        <v>1084.5</v>
      </c>
      <c r="BB17">
        <f>$CM$18*Table1[[#This Row],[FGA]]</f>
        <v>-2351.9294399999999</v>
      </c>
      <c r="BC17">
        <f>Table1[[#This Row],[FG%]]*$CN$18</f>
        <v>115.25000922000001</v>
      </c>
      <c r="BD17">
        <f>Table1[[#This Row],[3P]]*$CO$18</f>
        <v>486.61799999999999</v>
      </c>
      <c r="BE17">
        <f>$CP$18*Table1[[#This Row],[3PA]]</f>
        <v>-616</v>
      </c>
      <c r="BF17">
        <f>Table1[[#This Row],[3P%]]*$CQ$18</f>
        <v>117.48010679999999</v>
      </c>
      <c r="BG17">
        <f>$CR$18*Table1[[#This Row],[FT]]</f>
        <v>178.94200000000001</v>
      </c>
      <c r="BH17">
        <f>$CS$18*Table1[[#This Row],[FTA]]</f>
        <v>261.04480000000001</v>
      </c>
      <c r="BI17">
        <f>Table1[[#This Row],[FT%]]*$CT$18</f>
        <v>252.36838500000005</v>
      </c>
      <c r="BJ17">
        <f>Table1[[#This Row],[ORB]]*$CU$18</f>
        <v>797.25360000000001</v>
      </c>
      <c r="BK17">
        <f>Table1[[#This Row],[TRB]]*$CV$18</f>
        <v>2395.39264</v>
      </c>
      <c r="BL17">
        <f>$CW$18*Table1[[#This Row],[AST]]</f>
        <v>497.88850999999994</v>
      </c>
      <c r="BM17">
        <f>Table1[[#This Row],[STL]]</f>
        <v>135</v>
      </c>
      <c r="BN17">
        <f>Table1[[#This Row],[BLK]]*$CY$18</f>
        <v>164.5</v>
      </c>
      <c r="BO17">
        <f>$CZ$18*Table1[[#This Row],[TOV]]</f>
        <v>-900.00720000000001</v>
      </c>
      <c r="BP17">
        <f>Table1[[#This Row],[PF]]*$DA$18</f>
        <v>458.84300000000002</v>
      </c>
      <c r="BQ17">
        <f>SUM(Table1[[#This Row],[SCW]:[SCPF]])</f>
        <v>5372.9069646199996</v>
      </c>
      <c r="BX17" t="s">
        <v>226</v>
      </c>
    </row>
    <row r="18" spans="1:105" x14ac:dyDescent="0.45">
      <c r="A18" s="3">
        <v>29</v>
      </c>
      <c r="B18" s="4" t="s">
        <v>65</v>
      </c>
      <c r="C18" s="3">
        <v>29</v>
      </c>
      <c r="D18" s="3">
        <v>21</v>
      </c>
      <c r="E18" s="3">
        <v>7</v>
      </c>
      <c r="F18" s="3">
        <v>0.75</v>
      </c>
      <c r="G18" s="3">
        <v>16.149999999999999</v>
      </c>
      <c r="H18" s="3">
        <v>9.65</v>
      </c>
      <c r="I18" s="3"/>
      <c r="J18" s="3">
        <v>14</v>
      </c>
      <c r="K18" s="3">
        <v>4</v>
      </c>
      <c r="L18" s="3"/>
      <c r="M18" s="3">
        <v>11</v>
      </c>
      <c r="N18" s="3">
        <v>2</v>
      </c>
      <c r="O18" s="3"/>
      <c r="P18" s="3">
        <v>7</v>
      </c>
      <c r="Q18" s="3">
        <v>2</v>
      </c>
      <c r="R18" s="3"/>
      <c r="S18" s="3">
        <v>2097</v>
      </c>
      <c r="T18" s="3">
        <v>1915</v>
      </c>
      <c r="U18" s="3"/>
      <c r="V18" s="3">
        <v>1160</v>
      </c>
      <c r="W18" s="3">
        <v>779</v>
      </c>
      <c r="X18" s="3">
        <v>1652</v>
      </c>
      <c r="Y18" s="3">
        <v>0.47199999999999998</v>
      </c>
      <c r="Z18" s="3">
        <v>234</v>
      </c>
      <c r="AA18" s="3">
        <v>621</v>
      </c>
      <c r="AB18" s="3">
        <v>0.377</v>
      </c>
      <c r="AC18" s="3">
        <v>305</v>
      </c>
      <c r="AD18" s="3">
        <v>429</v>
      </c>
      <c r="AE18" s="3">
        <v>0.71099999999999997</v>
      </c>
      <c r="AF18" s="3">
        <v>263</v>
      </c>
      <c r="AG18" s="3">
        <v>926</v>
      </c>
      <c r="AH18" s="3">
        <v>389</v>
      </c>
      <c r="AI18" s="3">
        <v>208</v>
      </c>
      <c r="AJ18" s="3">
        <v>103</v>
      </c>
      <c r="AK18" s="3">
        <v>319</v>
      </c>
      <c r="AL18" s="3">
        <v>434</v>
      </c>
      <c r="AM18" s="3">
        <f>Table1[[#This Row],[W]]*$BX$18</f>
        <v>46.661999999999999</v>
      </c>
      <c r="AN18" s="3">
        <f>Table1[[#This Row],[L]]*$BY$18</f>
        <v>-13.986000000000001</v>
      </c>
      <c r="AO18" s="3">
        <f>Table1[[#This Row],[W-L%]]*$BZ$18</f>
        <v>149.99984999999998</v>
      </c>
      <c r="AP18" s="3">
        <f>Table1[[#This Row],[SRS]]*$CA$18</f>
        <v>47.103897500000002</v>
      </c>
      <c r="AQ18" s="3">
        <f>1.5*Table1[[#This Row],[SOS]]</f>
        <v>14.475000000000001</v>
      </c>
      <c r="AR18">
        <f>Table1[[#This Row],[Conf. W]]*$CC$18</f>
        <v>43.120000000000005</v>
      </c>
      <c r="AS18">
        <f>Table1[[#This Row],[Conf. L]]*$CD$18</f>
        <v>-12.32</v>
      </c>
      <c r="AT18">
        <f>Table1[[#This Row],[HomeW]]*$CE$18</f>
        <v>11</v>
      </c>
      <c r="AU18">
        <f>Table1[[#This Row],[HomeL]]*$CF$18</f>
        <v>2</v>
      </c>
      <c r="AV18">
        <f>Table1[[#This Row],[AwayW]]*$CG$18</f>
        <v>11.6655</v>
      </c>
      <c r="AW18">
        <f>Table1[[#This Row],[AwayL]]*$CH$18</f>
        <v>3.3329999999999997</v>
      </c>
      <c r="AX18">
        <f>Table1[[#This Row],[Tm.]]*$CI$18</f>
        <v>3961.0232999999998</v>
      </c>
      <c r="AY18">
        <f>$CJ$18*Table1[[#This Row],[Opp.]]</f>
        <v>-2872.5574500000002</v>
      </c>
      <c r="AZ18">
        <f>Table1[[#This Row],[MP]]*$CK$18</f>
        <v>1160</v>
      </c>
      <c r="BA18">
        <f>$CL$18*Table1[[#This Row],[FG]]</f>
        <v>1168.5</v>
      </c>
      <c r="BB18">
        <f>$CM$18*Table1[[#This Row],[FGA]]</f>
        <v>-2477.9256599999999</v>
      </c>
      <c r="BC18">
        <f>Table1[[#This Row],[FG%]]*$CN$18</f>
        <v>118.00000944</v>
      </c>
      <c r="BD18">
        <f>Table1[[#This Row],[3P]]*$CO$18</f>
        <v>519.94799999999998</v>
      </c>
      <c r="BE18">
        <f>$CP$18*Table1[[#This Row],[3PA]]</f>
        <v>-621</v>
      </c>
      <c r="BF18">
        <f>Table1[[#This Row],[3P%]]*$CQ$18</f>
        <v>124.41011309999999</v>
      </c>
      <c r="BG18">
        <f>$CR$18*Table1[[#This Row],[FT]]</f>
        <v>160.5215</v>
      </c>
      <c r="BH18">
        <f>$CS$18*Table1[[#This Row],[FTA]]</f>
        <v>225.78270000000001</v>
      </c>
      <c r="BI18">
        <f>Table1[[#This Row],[FT%]]*$CT$18</f>
        <v>261.94733100000002</v>
      </c>
      <c r="BJ18">
        <f>Table1[[#This Row],[ORB]]*$CU$18</f>
        <v>701.26319999999998</v>
      </c>
      <c r="BK18">
        <f>Table1[[#This Row],[TRB]]*$CV$18</f>
        <v>2116.5396800000003</v>
      </c>
      <c r="BL18">
        <f>$CW$18*Table1[[#This Row],[AST]]</f>
        <v>505.68832999999995</v>
      </c>
      <c r="BM18">
        <f>Table1[[#This Row],[STL]]</f>
        <v>208</v>
      </c>
      <c r="BN18">
        <f>Table1[[#This Row],[BLK]]*$CY$18</f>
        <v>180.25</v>
      </c>
      <c r="BO18">
        <f>$CZ$18*Table1[[#This Row],[TOV]]</f>
        <v>-797.50638000000004</v>
      </c>
      <c r="BP18">
        <f>Table1[[#This Row],[PF]]*$DA$18</f>
        <v>482.17399999999998</v>
      </c>
      <c r="BQ18">
        <f>SUM(Table1[[#This Row],[SCW]:[SCPF]])</f>
        <v>5428.1119210400002</v>
      </c>
      <c r="BX18" cm="1">
        <f t="array" ref="BX18">Table3[WSC]*BX14</f>
        <v>2.222</v>
      </c>
      <c r="BY18" cm="1">
        <f t="array" ref="BY18">Table3[LSC]*BY14</f>
        <v>-1.998</v>
      </c>
      <c r="BZ18" cm="1">
        <f t="array" ref="BZ18">Table3[W-LSC]*BZ14</f>
        <v>199.99979999999999</v>
      </c>
      <c r="CA18" cm="1">
        <f t="array" ref="CA18">Table3[SRSSC]*CA14</f>
        <v>2.9166500000000002</v>
      </c>
      <c r="CB18" cm="1">
        <f t="array" ref="CB18">Table3[SOSSC]*CB14</f>
        <v>1.5</v>
      </c>
      <c r="CC18" cm="1">
        <f t="array" ref="CC18">Table3[CONFWSC]*CC14</f>
        <v>3.08</v>
      </c>
      <c r="CD18" cm="1">
        <f t="array" ref="CD18">Table3[CONFLSC]*CD14</f>
        <v>-3.08</v>
      </c>
      <c r="CE18" cm="1">
        <f t="array" ref="CE18">Table3[HWSC]*CE14</f>
        <v>1</v>
      </c>
      <c r="CF18" cm="1">
        <f t="array" ref="CF18">Table3[HLSC]*CF14</f>
        <v>1</v>
      </c>
      <c r="CG18" cm="1">
        <f t="array" ref="CG18">Table3[AWSC]*CG14</f>
        <v>1.6664999999999999</v>
      </c>
      <c r="CH18" cm="1">
        <f t="array" ref="CH18">Table3[ALSC]*CH14</f>
        <v>1.6664999999999999</v>
      </c>
      <c r="CI18" cm="1">
        <f t="array" ref="CI18">Table3[PFSC]*CI14</f>
        <v>1.8889</v>
      </c>
      <c r="CJ18" cm="1">
        <f t="array" ref="CJ18">Table3[PASC]*CJ14</f>
        <v>-1.5000300000000002</v>
      </c>
      <c r="CK18" cm="1">
        <f t="array" ref="CK18">Table3[MPSC]*CK14</f>
        <v>1</v>
      </c>
      <c r="CL18" cm="1">
        <f t="array" ref="CL18">Table3[FGSC]*CL14</f>
        <v>1.5</v>
      </c>
      <c r="CM18" cm="1">
        <f t="array" ref="CM18">Table3[FGASC]*CM14</f>
        <v>-1.4999549999999999</v>
      </c>
      <c r="CN18" cm="1">
        <f t="array" ref="CN18">Table3[FG%SC]*CN14</f>
        <v>250.00002000000001</v>
      </c>
      <c r="CO18" cm="1">
        <f t="array" ref="CO18">Table3[3PSC]*CO14</f>
        <v>2.222</v>
      </c>
      <c r="CP18" cm="1">
        <f t="array" ref="CP18">Table3[3PASC]*CP14</f>
        <v>-1</v>
      </c>
      <c r="CQ18" cm="1">
        <f t="array" ref="CQ18">Table3[3p%SC]*CQ14</f>
        <v>330.00029999999998</v>
      </c>
      <c r="CR18" cm="1">
        <f t="array" ref="CR18">Table3[FTSC]*CR14</f>
        <v>0.52629999999999999</v>
      </c>
      <c r="CS18" cm="1">
        <f t="array" ref="CS18">Table3[FTASC]*CS14</f>
        <v>0.52629999999999999</v>
      </c>
      <c r="CT18" cm="1">
        <f t="array" ref="CT18">Table3[FT%SC]*CT14</f>
        <v>368.42100000000005</v>
      </c>
      <c r="CU18" cm="1">
        <f t="array" ref="CU18">Table3[ORBSC]*CU14</f>
        <v>2.6663999999999999</v>
      </c>
      <c r="CV18" cm="1">
        <f t="array" ref="CV18">Table3[TRBSC]*CV14</f>
        <v>2.2856800000000002</v>
      </c>
      <c r="CW18" cm="1">
        <f t="array" ref="CW18">Table3[ASTSC]*CW14</f>
        <v>1.2999699999999998</v>
      </c>
      <c r="CX18" cm="1">
        <f t="array" ref="CX18">Table3[STLSC]*CX14</f>
        <v>1.75</v>
      </c>
      <c r="CY18" cm="1">
        <f t="array" ref="CY18">Table3[BLKSC]*CY14</f>
        <v>1.75</v>
      </c>
      <c r="CZ18" cm="1">
        <f t="array" ref="CZ18">Table3[TOVSC]*CZ14</f>
        <v>-2.5000200000000001</v>
      </c>
      <c r="DA18" cm="1">
        <f t="array" ref="DA18">Table3[PFSC2]*DA14</f>
        <v>1.111</v>
      </c>
    </row>
    <row r="19" spans="1:105" x14ac:dyDescent="0.45">
      <c r="A19" s="3">
        <v>55</v>
      </c>
      <c r="B19" s="4" t="s">
        <v>84</v>
      </c>
      <c r="C19" s="3">
        <v>29</v>
      </c>
      <c r="D19" s="3">
        <v>18</v>
      </c>
      <c r="E19" s="3">
        <v>11</v>
      </c>
      <c r="F19" s="3">
        <v>0.621</v>
      </c>
      <c r="G19" s="3">
        <v>1.73</v>
      </c>
      <c r="H19" s="3">
        <v>-0.04</v>
      </c>
      <c r="I19" s="3"/>
      <c r="J19" s="3">
        <v>10</v>
      </c>
      <c r="K19" s="3">
        <v>5</v>
      </c>
      <c r="L19" s="3"/>
      <c r="M19" s="3">
        <v>8</v>
      </c>
      <c r="N19" s="3">
        <v>3</v>
      </c>
      <c r="O19" s="3"/>
      <c r="P19" s="3">
        <v>5</v>
      </c>
      <c r="Q19" s="3">
        <v>7</v>
      </c>
      <c r="R19" s="3"/>
      <c r="S19" s="3">
        <v>2352</v>
      </c>
      <c r="T19" s="3">
        <v>2192</v>
      </c>
      <c r="U19" s="3"/>
      <c r="V19" s="3">
        <v>1165</v>
      </c>
      <c r="W19" s="3">
        <v>811</v>
      </c>
      <c r="X19" s="3">
        <v>1805</v>
      </c>
      <c r="Y19" s="3">
        <v>0.44900000000000001</v>
      </c>
      <c r="Z19" s="3">
        <v>323</v>
      </c>
      <c r="AA19" s="3">
        <v>850</v>
      </c>
      <c r="AB19" s="3">
        <v>0.38</v>
      </c>
      <c r="AC19" s="3">
        <v>407</v>
      </c>
      <c r="AD19" s="3">
        <v>496</v>
      </c>
      <c r="AE19" s="3">
        <v>0.82099999999999995</v>
      </c>
      <c r="AF19" s="3">
        <v>237</v>
      </c>
      <c r="AG19" s="3">
        <v>1006</v>
      </c>
      <c r="AH19" s="3">
        <v>370</v>
      </c>
      <c r="AI19" s="3">
        <v>191</v>
      </c>
      <c r="AJ19" s="3">
        <v>111</v>
      </c>
      <c r="AK19" s="3">
        <v>330</v>
      </c>
      <c r="AL19" s="3">
        <v>502</v>
      </c>
      <c r="AM19" s="3">
        <f>Table1[[#This Row],[W]]*$BX$18</f>
        <v>39.996000000000002</v>
      </c>
      <c r="AN19" s="3">
        <f>Table1[[#This Row],[L]]*$BY$18</f>
        <v>-21.978000000000002</v>
      </c>
      <c r="AO19" s="3">
        <f>Table1[[#This Row],[W-L%]]*$BZ$18</f>
        <v>124.1998758</v>
      </c>
      <c r="AP19" s="3">
        <f>Table1[[#This Row],[SRS]]*$CA$18</f>
        <v>5.0458045</v>
      </c>
      <c r="AQ19" s="3">
        <f>1.5*Table1[[#This Row],[SOS]]</f>
        <v>-0.06</v>
      </c>
      <c r="AR19">
        <f>Table1[[#This Row],[Conf. W]]*$CC$18</f>
        <v>30.8</v>
      </c>
      <c r="AS19">
        <f>Table1[[#This Row],[Conf. L]]*$CD$18</f>
        <v>-15.4</v>
      </c>
      <c r="AT19">
        <f>Table1[[#This Row],[HomeW]]*$CE$18</f>
        <v>8</v>
      </c>
      <c r="AU19">
        <f>Table1[[#This Row],[HomeL]]*$CF$18</f>
        <v>3</v>
      </c>
      <c r="AV19">
        <f>Table1[[#This Row],[AwayW]]*$CG$18</f>
        <v>8.3324999999999996</v>
      </c>
      <c r="AW19">
        <f>Table1[[#This Row],[AwayL]]*$CH$18</f>
        <v>11.6655</v>
      </c>
      <c r="AX19">
        <f>Table1[[#This Row],[Tm.]]*$CI$18</f>
        <v>4442.6927999999998</v>
      </c>
      <c r="AY19">
        <f>$CJ$18*Table1[[#This Row],[Opp.]]</f>
        <v>-3288.0657600000004</v>
      </c>
      <c r="AZ19">
        <f>Table1[[#This Row],[MP]]*$CK$18</f>
        <v>1165</v>
      </c>
      <c r="BA19">
        <f>$CL$18*Table1[[#This Row],[FG]]</f>
        <v>1216.5</v>
      </c>
      <c r="BB19">
        <f>$CM$18*Table1[[#This Row],[FGA]]</f>
        <v>-2707.4187750000001</v>
      </c>
      <c r="BC19">
        <f>Table1[[#This Row],[FG%]]*$CN$18</f>
        <v>112.25000898</v>
      </c>
      <c r="BD19">
        <f>Table1[[#This Row],[3P]]*$CO$18</f>
        <v>717.70600000000002</v>
      </c>
      <c r="BE19">
        <f>$CP$18*Table1[[#This Row],[3PA]]</f>
        <v>-850</v>
      </c>
      <c r="BF19">
        <f>Table1[[#This Row],[3P%]]*$CQ$18</f>
        <v>125.40011399999999</v>
      </c>
      <c r="BG19">
        <f>$CR$18*Table1[[#This Row],[FT]]</f>
        <v>214.20409999999998</v>
      </c>
      <c r="BH19">
        <f>$CS$18*Table1[[#This Row],[FTA]]</f>
        <v>261.04480000000001</v>
      </c>
      <c r="BI19">
        <f>Table1[[#This Row],[FT%]]*$CT$18</f>
        <v>302.47364100000004</v>
      </c>
      <c r="BJ19">
        <f>Table1[[#This Row],[ORB]]*$CU$18</f>
        <v>631.93679999999995</v>
      </c>
      <c r="BK19">
        <f>Table1[[#This Row],[TRB]]*$CV$18</f>
        <v>2299.39408</v>
      </c>
      <c r="BL19">
        <f>$CW$18*Table1[[#This Row],[AST]]</f>
        <v>480.98889999999994</v>
      </c>
      <c r="BM19">
        <f>Table1[[#This Row],[STL]]</f>
        <v>191</v>
      </c>
      <c r="BN19">
        <f>Table1[[#This Row],[BLK]]*$CY$18</f>
        <v>194.25</v>
      </c>
      <c r="BO19">
        <f>$CZ$18*Table1[[#This Row],[TOV]]</f>
        <v>-825.00660000000005</v>
      </c>
      <c r="BP19">
        <f>Table1[[#This Row],[PF]]*$DA$18</f>
        <v>557.72199999999998</v>
      </c>
      <c r="BQ19">
        <f>SUM(Table1[[#This Row],[SCW]:[SCPF]])</f>
        <v>5435.6737892800002</v>
      </c>
    </row>
    <row r="20" spans="1:105" x14ac:dyDescent="0.45">
      <c r="A20" s="3">
        <v>50</v>
      </c>
      <c r="B20" s="4" t="s">
        <v>79</v>
      </c>
      <c r="C20" s="3">
        <v>29</v>
      </c>
      <c r="D20" s="3">
        <v>18</v>
      </c>
      <c r="E20" s="3">
        <v>11</v>
      </c>
      <c r="F20" s="3">
        <v>0.621</v>
      </c>
      <c r="G20" s="3">
        <v>1.28</v>
      </c>
      <c r="H20" s="3">
        <v>-1.6</v>
      </c>
      <c r="I20" s="3"/>
      <c r="J20" s="3">
        <v>8</v>
      </c>
      <c r="K20" s="3">
        <v>9</v>
      </c>
      <c r="L20" s="3"/>
      <c r="M20" s="3">
        <v>9</v>
      </c>
      <c r="N20" s="3">
        <v>4</v>
      </c>
      <c r="O20" s="3"/>
      <c r="P20" s="3">
        <v>6</v>
      </c>
      <c r="Q20" s="3">
        <v>6</v>
      </c>
      <c r="R20" s="3"/>
      <c r="S20" s="3">
        <v>2225</v>
      </c>
      <c r="T20" s="3">
        <v>2082</v>
      </c>
      <c r="U20" s="3"/>
      <c r="V20" s="3">
        <v>1180</v>
      </c>
      <c r="W20" s="3">
        <v>832</v>
      </c>
      <c r="X20" s="3">
        <v>1738</v>
      </c>
      <c r="Y20" s="3">
        <v>0.47899999999999998</v>
      </c>
      <c r="Z20" s="3">
        <v>250</v>
      </c>
      <c r="AA20" s="3">
        <v>673</v>
      </c>
      <c r="AB20" s="3">
        <v>0.371</v>
      </c>
      <c r="AC20" s="3">
        <v>311</v>
      </c>
      <c r="AD20" s="3">
        <v>433</v>
      </c>
      <c r="AE20" s="3">
        <v>0.71799999999999997</v>
      </c>
      <c r="AF20" s="3">
        <v>252</v>
      </c>
      <c r="AG20" s="3">
        <v>1053</v>
      </c>
      <c r="AH20" s="3">
        <v>479</v>
      </c>
      <c r="AI20" s="3">
        <v>200</v>
      </c>
      <c r="AJ20" s="3">
        <v>86</v>
      </c>
      <c r="AK20" s="3">
        <v>373</v>
      </c>
      <c r="AL20" s="3">
        <v>445</v>
      </c>
      <c r="AM20" s="3">
        <f>Table1[[#This Row],[W]]*$BX$18</f>
        <v>39.996000000000002</v>
      </c>
      <c r="AN20" s="3">
        <f>Table1[[#This Row],[L]]*$BY$18</f>
        <v>-21.978000000000002</v>
      </c>
      <c r="AO20" s="3">
        <f>Table1[[#This Row],[W-L%]]*$BZ$18</f>
        <v>124.1998758</v>
      </c>
      <c r="AP20" s="3">
        <f>Table1[[#This Row],[SRS]]*$CA$18</f>
        <v>3.7333120000000002</v>
      </c>
      <c r="AQ20" s="3">
        <f>1.5*Table1[[#This Row],[SOS]]</f>
        <v>-2.4000000000000004</v>
      </c>
      <c r="AR20">
        <f>Table1[[#This Row],[Conf. W]]*$CC$18</f>
        <v>24.64</v>
      </c>
      <c r="AS20">
        <f>Table1[[#This Row],[Conf. L]]*$CD$18</f>
        <v>-27.72</v>
      </c>
      <c r="AT20">
        <f>Table1[[#This Row],[HomeW]]*$CE$18</f>
        <v>9</v>
      </c>
      <c r="AU20">
        <f>Table1[[#This Row],[HomeL]]*$CF$18</f>
        <v>4</v>
      </c>
      <c r="AV20">
        <f>Table1[[#This Row],[AwayW]]*$CG$18</f>
        <v>9.9989999999999988</v>
      </c>
      <c r="AW20">
        <f>Table1[[#This Row],[AwayL]]*$CH$18</f>
        <v>9.9989999999999988</v>
      </c>
      <c r="AX20">
        <f>Table1[[#This Row],[Tm.]]*$CI$18</f>
        <v>4202.8024999999998</v>
      </c>
      <c r="AY20">
        <f>$CJ$18*Table1[[#This Row],[Opp.]]</f>
        <v>-3123.0624600000006</v>
      </c>
      <c r="AZ20">
        <f>Table1[[#This Row],[MP]]*$CK$18</f>
        <v>1180</v>
      </c>
      <c r="BA20">
        <f>$CL$18*Table1[[#This Row],[FG]]</f>
        <v>1248</v>
      </c>
      <c r="BB20">
        <f>$CM$18*Table1[[#This Row],[FGA]]</f>
        <v>-2606.9217899999999</v>
      </c>
      <c r="BC20">
        <f>Table1[[#This Row],[FG%]]*$CN$18</f>
        <v>119.75000958</v>
      </c>
      <c r="BD20">
        <f>Table1[[#This Row],[3P]]*$CO$18</f>
        <v>555.5</v>
      </c>
      <c r="BE20">
        <f>$CP$18*Table1[[#This Row],[3PA]]</f>
        <v>-673</v>
      </c>
      <c r="BF20">
        <f>Table1[[#This Row],[3P%]]*$CQ$18</f>
        <v>122.43011129999999</v>
      </c>
      <c r="BG20">
        <f>$CR$18*Table1[[#This Row],[FT]]</f>
        <v>163.67929999999998</v>
      </c>
      <c r="BH20">
        <f>$CS$18*Table1[[#This Row],[FTA]]</f>
        <v>227.8879</v>
      </c>
      <c r="BI20">
        <f>Table1[[#This Row],[FT%]]*$CT$18</f>
        <v>264.52627800000005</v>
      </c>
      <c r="BJ20">
        <f>Table1[[#This Row],[ORB]]*$CU$18</f>
        <v>671.93279999999993</v>
      </c>
      <c r="BK20">
        <f>Table1[[#This Row],[TRB]]*$CV$18</f>
        <v>2406.8210400000003</v>
      </c>
      <c r="BL20">
        <f>$CW$18*Table1[[#This Row],[AST]]</f>
        <v>622.68562999999995</v>
      </c>
      <c r="BM20">
        <f>Table1[[#This Row],[STL]]</f>
        <v>200</v>
      </c>
      <c r="BN20">
        <f>Table1[[#This Row],[BLK]]*$CY$18</f>
        <v>150.5</v>
      </c>
      <c r="BO20">
        <f>$CZ$18*Table1[[#This Row],[TOV]]</f>
        <v>-932.50746000000004</v>
      </c>
      <c r="BP20">
        <f>Table1[[#This Row],[PF]]*$DA$18</f>
        <v>494.39499999999998</v>
      </c>
      <c r="BQ20">
        <f>SUM(Table1[[#This Row],[SCW]:[SCPF]])</f>
        <v>5468.8880466800001</v>
      </c>
    </row>
    <row r="21" spans="1:105" x14ac:dyDescent="0.45">
      <c r="A21" s="3">
        <v>57</v>
      </c>
      <c r="B21" s="4" t="s">
        <v>86</v>
      </c>
      <c r="C21" s="3">
        <v>28</v>
      </c>
      <c r="D21" s="3">
        <v>18</v>
      </c>
      <c r="E21" s="3">
        <v>10</v>
      </c>
      <c r="F21" s="3">
        <v>0.64300000000000002</v>
      </c>
      <c r="G21" s="3">
        <v>13.27</v>
      </c>
      <c r="H21" s="3">
        <v>8.59</v>
      </c>
      <c r="I21" s="3"/>
      <c r="J21" s="3">
        <v>9</v>
      </c>
      <c r="K21" s="3">
        <v>7</v>
      </c>
      <c r="L21" s="3"/>
      <c r="M21" s="3">
        <v>13</v>
      </c>
      <c r="N21" s="3">
        <v>1</v>
      </c>
      <c r="O21" s="3"/>
      <c r="P21" s="3">
        <v>2</v>
      </c>
      <c r="Q21" s="3">
        <v>7</v>
      </c>
      <c r="R21" s="3"/>
      <c r="S21" s="3">
        <v>2095</v>
      </c>
      <c r="T21" s="3">
        <v>1964</v>
      </c>
      <c r="U21" s="3"/>
      <c r="V21" s="3">
        <v>1125</v>
      </c>
      <c r="W21" s="3">
        <v>743</v>
      </c>
      <c r="X21" s="3">
        <v>1681</v>
      </c>
      <c r="Y21" s="3">
        <v>0.442</v>
      </c>
      <c r="Z21" s="3">
        <v>237</v>
      </c>
      <c r="AA21" s="3">
        <v>678</v>
      </c>
      <c r="AB21" s="3">
        <v>0.35</v>
      </c>
      <c r="AC21" s="3">
        <v>372</v>
      </c>
      <c r="AD21" s="3">
        <v>476</v>
      </c>
      <c r="AE21" s="3">
        <v>0.78200000000000003</v>
      </c>
      <c r="AF21" s="3">
        <v>285</v>
      </c>
      <c r="AG21" s="3">
        <v>990</v>
      </c>
      <c r="AH21" s="3">
        <v>419</v>
      </c>
      <c r="AI21" s="3">
        <v>227</v>
      </c>
      <c r="AJ21" s="3">
        <v>141</v>
      </c>
      <c r="AK21" s="3">
        <v>317</v>
      </c>
      <c r="AL21" s="3">
        <v>409</v>
      </c>
      <c r="AM21" s="3">
        <f>Table1[[#This Row],[W]]*$BX$18</f>
        <v>39.996000000000002</v>
      </c>
      <c r="AN21" s="3">
        <f>Table1[[#This Row],[L]]*$BY$18</f>
        <v>-19.98</v>
      </c>
      <c r="AO21" s="3">
        <f>Table1[[#This Row],[W-L%]]*$BZ$18</f>
        <v>128.59987140000001</v>
      </c>
      <c r="AP21" s="3">
        <f>Table1[[#This Row],[SRS]]*$CA$18</f>
        <v>38.703945500000003</v>
      </c>
      <c r="AQ21" s="3">
        <f>1.5*Table1[[#This Row],[SOS]]</f>
        <v>12.885</v>
      </c>
      <c r="AR21">
        <f>Table1[[#This Row],[Conf. W]]*$CC$18</f>
        <v>27.72</v>
      </c>
      <c r="AS21">
        <f>Table1[[#This Row],[Conf. L]]*$CD$18</f>
        <v>-21.560000000000002</v>
      </c>
      <c r="AT21">
        <f>Table1[[#This Row],[HomeW]]*$CE$18</f>
        <v>13</v>
      </c>
      <c r="AU21">
        <f>Table1[[#This Row],[HomeL]]*$CF$18</f>
        <v>1</v>
      </c>
      <c r="AV21">
        <f>Table1[[#This Row],[AwayW]]*$CG$18</f>
        <v>3.3329999999999997</v>
      </c>
      <c r="AW21">
        <f>Table1[[#This Row],[AwayL]]*$CH$18</f>
        <v>11.6655</v>
      </c>
      <c r="AX21">
        <f>Table1[[#This Row],[Tm.]]*$CI$18</f>
        <v>3957.2455</v>
      </c>
      <c r="AY21">
        <f>$CJ$18*Table1[[#This Row],[Opp.]]</f>
        <v>-2946.0589200000004</v>
      </c>
      <c r="AZ21">
        <f>Table1[[#This Row],[MP]]*$CK$18</f>
        <v>1125</v>
      </c>
      <c r="BA21">
        <f>$CL$18*Table1[[#This Row],[FG]]</f>
        <v>1114.5</v>
      </c>
      <c r="BB21">
        <f>$CM$18*Table1[[#This Row],[FGA]]</f>
        <v>-2521.4243550000001</v>
      </c>
      <c r="BC21">
        <f>Table1[[#This Row],[FG%]]*$CN$18</f>
        <v>110.50000884000001</v>
      </c>
      <c r="BD21">
        <f>Table1[[#This Row],[3P]]*$CO$18</f>
        <v>526.61400000000003</v>
      </c>
      <c r="BE21">
        <f>$CP$18*Table1[[#This Row],[3PA]]</f>
        <v>-678</v>
      </c>
      <c r="BF21">
        <f>Table1[[#This Row],[3P%]]*$CQ$18</f>
        <v>115.50010499999999</v>
      </c>
      <c r="BG21">
        <f>$CR$18*Table1[[#This Row],[FT]]</f>
        <v>195.78360000000001</v>
      </c>
      <c r="BH21">
        <f>$CS$18*Table1[[#This Row],[FTA]]</f>
        <v>250.5188</v>
      </c>
      <c r="BI21">
        <f>Table1[[#This Row],[FT%]]*$CT$18</f>
        <v>288.10522200000003</v>
      </c>
      <c r="BJ21">
        <f>Table1[[#This Row],[ORB]]*$CU$18</f>
        <v>759.92399999999998</v>
      </c>
      <c r="BK21">
        <f>Table1[[#This Row],[TRB]]*$CV$18</f>
        <v>2262.8232000000003</v>
      </c>
      <c r="BL21">
        <f>$CW$18*Table1[[#This Row],[AST]]</f>
        <v>544.68742999999995</v>
      </c>
      <c r="BM21">
        <f>Table1[[#This Row],[STL]]</f>
        <v>227</v>
      </c>
      <c r="BN21">
        <f>Table1[[#This Row],[BLK]]*$CY$18</f>
        <v>246.75</v>
      </c>
      <c r="BO21">
        <f>$CZ$18*Table1[[#This Row],[TOV]]</f>
        <v>-792.50634000000002</v>
      </c>
      <c r="BP21">
        <f>Table1[[#This Row],[PF]]*$DA$18</f>
        <v>454.399</v>
      </c>
      <c r="BQ21">
        <f>SUM(Table1[[#This Row],[SCW]:[SCPF]])</f>
        <v>5476.7245677400006</v>
      </c>
    </row>
    <row r="22" spans="1:105" x14ac:dyDescent="0.45">
      <c r="A22" s="3">
        <v>42</v>
      </c>
      <c r="B22" s="4" t="s">
        <v>74</v>
      </c>
      <c r="C22" s="3">
        <v>27</v>
      </c>
      <c r="D22" s="3">
        <v>19</v>
      </c>
      <c r="E22" s="3">
        <v>8</v>
      </c>
      <c r="F22" s="3">
        <v>0.70399999999999996</v>
      </c>
      <c r="G22" s="3">
        <v>15.51</v>
      </c>
      <c r="H22" s="3">
        <v>9.36</v>
      </c>
      <c r="I22" s="3"/>
      <c r="J22" s="3">
        <v>11</v>
      </c>
      <c r="K22" s="3">
        <v>6</v>
      </c>
      <c r="L22" s="3"/>
      <c r="M22" s="3">
        <v>8</v>
      </c>
      <c r="N22" s="3">
        <v>5</v>
      </c>
      <c r="O22" s="3"/>
      <c r="P22" s="3">
        <v>6</v>
      </c>
      <c r="Q22" s="3">
        <v>2</v>
      </c>
      <c r="R22" s="3"/>
      <c r="S22" s="3">
        <v>2008</v>
      </c>
      <c r="T22" s="3">
        <v>1842</v>
      </c>
      <c r="U22" s="3"/>
      <c r="V22" s="3">
        <v>1095</v>
      </c>
      <c r="W22" s="3">
        <v>702</v>
      </c>
      <c r="X22" s="3">
        <v>1547</v>
      </c>
      <c r="Y22" s="3">
        <v>0.45400000000000001</v>
      </c>
      <c r="Z22" s="3">
        <v>232</v>
      </c>
      <c r="AA22" s="3">
        <v>652</v>
      </c>
      <c r="AB22" s="3">
        <v>0.35599999999999998</v>
      </c>
      <c r="AC22" s="3">
        <v>372</v>
      </c>
      <c r="AD22" s="3">
        <v>524</v>
      </c>
      <c r="AE22" s="3">
        <v>0.71</v>
      </c>
      <c r="AF22" s="3">
        <v>291</v>
      </c>
      <c r="AG22" s="3">
        <v>1036</v>
      </c>
      <c r="AH22" s="3">
        <v>357</v>
      </c>
      <c r="AI22" s="3">
        <v>176</v>
      </c>
      <c r="AJ22" s="3">
        <v>110</v>
      </c>
      <c r="AK22" s="3">
        <v>393</v>
      </c>
      <c r="AL22" s="3">
        <v>531</v>
      </c>
      <c r="AM22" s="3">
        <f>Table1[[#This Row],[W]]*$BX$18</f>
        <v>42.217999999999996</v>
      </c>
      <c r="AN22" s="3">
        <f>Table1[[#This Row],[L]]*$BY$18</f>
        <v>-15.984</v>
      </c>
      <c r="AO22" s="3">
        <f>Table1[[#This Row],[W-L%]]*$BZ$18</f>
        <v>140.79985919999999</v>
      </c>
      <c r="AP22" s="3">
        <f>Table1[[#This Row],[SRS]]*$CA$18</f>
        <v>45.237241500000003</v>
      </c>
      <c r="AQ22" s="3">
        <f>1.5*Table1[[#This Row],[SOS]]</f>
        <v>14.04</v>
      </c>
      <c r="AR22">
        <f>Table1[[#This Row],[Conf. W]]*$CC$18</f>
        <v>33.880000000000003</v>
      </c>
      <c r="AS22">
        <f>Table1[[#This Row],[Conf. L]]*$CD$18</f>
        <v>-18.48</v>
      </c>
      <c r="AT22">
        <f>Table1[[#This Row],[HomeW]]*$CE$18</f>
        <v>8</v>
      </c>
      <c r="AU22">
        <f>Table1[[#This Row],[HomeL]]*$CF$18</f>
        <v>5</v>
      </c>
      <c r="AV22">
        <f>Table1[[#This Row],[AwayW]]*$CG$18</f>
        <v>9.9989999999999988</v>
      </c>
      <c r="AW22">
        <f>Table1[[#This Row],[AwayL]]*$CH$18</f>
        <v>3.3329999999999997</v>
      </c>
      <c r="AX22">
        <f>Table1[[#This Row],[Tm.]]*$CI$18</f>
        <v>3792.9112</v>
      </c>
      <c r="AY22">
        <f>$CJ$18*Table1[[#This Row],[Opp.]]</f>
        <v>-2763.0552600000005</v>
      </c>
      <c r="AZ22">
        <f>Table1[[#This Row],[MP]]*$CK$18</f>
        <v>1095</v>
      </c>
      <c r="BA22">
        <f>$CL$18*Table1[[#This Row],[FG]]</f>
        <v>1053</v>
      </c>
      <c r="BB22">
        <f>$CM$18*Table1[[#This Row],[FGA]]</f>
        <v>-2320.4303849999997</v>
      </c>
      <c r="BC22">
        <f>Table1[[#This Row],[FG%]]*$CN$18</f>
        <v>113.50000908000001</v>
      </c>
      <c r="BD22">
        <f>Table1[[#This Row],[3P]]*$CO$18</f>
        <v>515.50400000000002</v>
      </c>
      <c r="BE22">
        <f>$CP$18*Table1[[#This Row],[3PA]]</f>
        <v>-652</v>
      </c>
      <c r="BF22">
        <f>Table1[[#This Row],[3P%]]*$CQ$18</f>
        <v>117.48010679999999</v>
      </c>
      <c r="BG22">
        <f>$CR$18*Table1[[#This Row],[FT]]</f>
        <v>195.78360000000001</v>
      </c>
      <c r="BH22">
        <f>$CS$18*Table1[[#This Row],[FTA]]</f>
        <v>275.78120000000001</v>
      </c>
      <c r="BI22">
        <f>Table1[[#This Row],[FT%]]*$CT$18</f>
        <v>261.57891000000001</v>
      </c>
      <c r="BJ22">
        <f>Table1[[#This Row],[ORB]]*$CU$18</f>
        <v>775.92239999999993</v>
      </c>
      <c r="BK22">
        <f>Table1[[#This Row],[TRB]]*$CV$18</f>
        <v>2367.9644800000001</v>
      </c>
      <c r="BL22">
        <f>$CW$18*Table1[[#This Row],[AST]]</f>
        <v>464.08928999999995</v>
      </c>
      <c r="BM22">
        <f>Table1[[#This Row],[STL]]</f>
        <v>176</v>
      </c>
      <c r="BN22">
        <f>Table1[[#This Row],[BLK]]*$CY$18</f>
        <v>192.5</v>
      </c>
      <c r="BO22">
        <f>$CZ$18*Table1[[#This Row],[TOV]]</f>
        <v>-982.50786000000005</v>
      </c>
      <c r="BP22">
        <f>Table1[[#This Row],[PF]]*$DA$18</f>
        <v>589.94100000000003</v>
      </c>
      <c r="BQ22">
        <f>SUM(Table1[[#This Row],[SCW]:[SCPF]])</f>
        <v>5537.0057915799998</v>
      </c>
    </row>
    <row r="23" spans="1:105" x14ac:dyDescent="0.45">
      <c r="A23" s="3">
        <v>36</v>
      </c>
      <c r="B23" s="4" t="s">
        <v>70</v>
      </c>
      <c r="C23" s="3">
        <v>24</v>
      </c>
      <c r="D23" s="3">
        <v>20</v>
      </c>
      <c r="E23" s="3">
        <v>4</v>
      </c>
      <c r="F23" s="3">
        <v>0.83299999999999996</v>
      </c>
      <c r="G23" s="3">
        <v>0.63</v>
      </c>
      <c r="H23" s="3">
        <v>-5.69</v>
      </c>
      <c r="I23" s="3"/>
      <c r="J23" s="3">
        <v>12</v>
      </c>
      <c r="K23" s="3">
        <v>2</v>
      </c>
      <c r="L23" s="3"/>
      <c r="M23" s="3">
        <v>14</v>
      </c>
      <c r="N23" s="3">
        <v>0</v>
      </c>
      <c r="O23" s="3"/>
      <c r="P23" s="3">
        <v>5</v>
      </c>
      <c r="Q23" s="3">
        <v>3</v>
      </c>
      <c r="R23" s="3"/>
      <c r="S23" s="3">
        <v>2021</v>
      </c>
      <c r="T23" s="3">
        <v>1669</v>
      </c>
      <c r="U23" s="3"/>
      <c r="V23" s="3">
        <v>965</v>
      </c>
      <c r="W23" s="3">
        <v>699</v>
      </c>
      <c r="X23" s="3">
        <v>1475</v>
      </c>
      <c r="Y23" s="3">
        <v>0.47399999999999998</v>
      </c>
      <c r="Z23" s="3">
        <v>211</v>
      </c>
      <c r="AA23" s="3">
        <v>618</v>
      </c>
      <c r="AB23" s="3">
        <v>0.34100000000000003</v>
      </c>
      <c r="AC23" s="3">
        <v>412</v>
      </c>
      <c r="AD23" s="3">
        <v>551</v>
      </c>
      <c r="AE23" s="3">
        <v>0.748</v>
      </c>
      <c r="AF23" s="3">
        <v>263</v>
      </c>
      <c r="AG23" s="3">
        <v>946</v>
      </c>
      <c r="AH23" s="3">
        <v>338</v>
      </c>
      <c r="AI23" s="3">
        <v>168</v>
      </c>
      <c r="AJ23" s="3">
        <v>63</v>
      </c>
      <c r="AK23" s="3">
        <v>290</v>
      </c>
      <c r="AL23" s="3">
        <v>405</v>
      </c>
      <c r="AM23" s="3">
        <f>Table1[[#This Row],[W]]*$BX$18</f>
        <v>44.44</v>
      </c>
      <c r="AN23" s="3">
        <f>Table1[[#This Row],[L]]*$BY$18</f>
        <v>-7.992</v>
      </c>
      <c r="AO23" s="3">
        <f>Table1[[#This Row],[W-L%]]*$BZ$18</f>
        <v>166.59983339999999</v>
      </c>
      <c r="AP23" s="3">
        <f>Table1[[#This Row],[SRS]]*$CA$18</f>
        <v>1.8374895000000002</v>
      </c>
      <c r="AQ23" s="3">
        <f>1.5*Table1[[#This Row],[SOS]]</f>
        <v>-8.5350000000000001</v>
      </c>
      <c r="AR23">
        <f>Table1[[#This Row],[Conf. W]]*$CC$18</f>
        <v>36.96</v>
      </c>
      <c r="AS23">
        <f>Table1[[#This Row],[Conf. L]]*$CD$18</f>
        <v>-6.16</v>
      </c>
      <c r="AT23">
        <f>Table1[[#This Row],[HomeW]]*$CE$18</f>
        <v>14</v>
      </c>
      <c r="AU23">
        <f>Table1[[#This Row],[HomeL]]*$CF$18</f>
        <v>0</v>
      </c>
      <c r="AV23">
        <f>Table1[[#This Row],[AwayW]]*$CG$18</f>
        <v>8.3324999999999996</v>
      </c>
      <c r="AW23">
        <f>Table1[[#This Row],[AwayL]]*$CH$18</f>
        <v>4.9994999999999994</v>
      </c>
      <c r="AX23">
        <f>Table1[[#This Row],[Tm.]]*$CI$18</f>
        <v>3817.4668999999999</v>
      </c>
      <c r="AY23">
        <f>$CJ$18*Table1[[#This Row],[Opp.]]</f>
        <v>-2503.5500700000002</v>
      </c>
      <c r="AZ23">
        <f>Table1[[#This Row],[MP]]*$CK$18</f>
        <v>965</v>
      </c>
      <c r="BA23">
        <f>$CL$18*Table1[[#This Row],[FG]]</f>
        <v>1048.5</v>
      </c>
      <c r="BB23">
        <f>$CM$18*Table1[[#This Row],[FGA]]</f>
        <v>-2212.4336249999997</v>
      </c>
      <c r="BC23">
        <f>Table1[[#This Row],[FG%]]*$CN$18</f>
        <v>118.50000948</v>
      </c>
      <c r="BD23">
        <f>Table1[[#This Row],[3P]]*$CO$18</f>
        <v>468.84199999999998</v>
      </c>
      <c r="BE23">
        <f>$CP$18*Table1[[#This Row],[3PA]]</f>
        <v>-618</v>
      </c>
      <c r="BF23">
        <f>Table1[[#This Row],[3P%]]*$CQ$18</f>
        <v>112.5301023</v>
      </c>
      <c r="BG23">
        <f>$CR$18*Table1[[#This Row],[FT]]</f>
        <v>216.8356</v>
      </c>
      <c r="BH23">
        <f>$CS$18*Table1[[#This Row],[FTA]]</f>
        <v>289.99129999999997</v>
      </c>
      <c r="BI23">
        <f>Table1[[#This Row],[FT%]]*$CT$18</f>
        <v>275.57890800000001</v>
      </c>
      <c r="BJ23">
        <f>Table1[[#This Row],[ORB]]*$CU$18</f>
        <v>701.26319999999998</v>
      </c>
      <c r="BK23">
        <f>Table1[[#This Row],[TRB]]*$CV$18</f>
        <v>2162.2532800000004</v>
      </c>
      <c r="BL23">
        <f>$CW$18*Table1[[#This Row],[AST]]</f>
        <v>439.38985999999994</v>
      </c>
      <c r="BM23">
        <f>Table1[[#This Row],[STL]]</f>
        <v>168</v>
      </c>
      <c r="BN23">
        <f>Table1[[#This Row],[BLK]]*$CY$18</f>
        <v>110.25</v>
      </c>
      <c r="BO23">
        <f>$CZ$18*Table1[[#This Row],[TOV]]</f>
        <v>-725.00580000000002</v>
      </c>
      <c r="BP23">
        <f>Table1[[#This Row],[PF]]*$DA$18</f>
        <v>449.95499999999998</v>
      </c>
      <c r="BQ23">
        <f>SUM(Table1[[#This Row],[SCW]:[SCPF]])</f>
        <v>5539.8489876800004</v>
      </c>
    </row>
    <row r="24" spans="1:105" x14ac:dyDescent="0.45">
      <c r="A24" s="3">
        <v>56</v>
      </c>
      <c r="B24" s="4" t="s">
        <v>85</v>
      </c>
      <c r="C24" s="3">
        <v>28</v>
      </c>
      <c r="D24" s="3">
        <v>18</v>
      </c>
      <c r="E24" s="3">
        <v>10</v>
      </c>
      <c r="F24" s="3">
        <v>0.64300000000000002</v>
      </c>
      <c r="G24" s="3">
        <v>15.55</v>
      </c>
      <c r="H24" s="3">
        <v>11.23</v>
      </c>
      <c r="I24" s="3"/>
      <c r="J24" s="3">
        <v>13</v>
      </c>
      <c r="K24" s="3">
        <v>6</v>
      </c>
      <c r="L24" s="3"/>
      <c r="M24" s="3">
        <v>11</v>
      </c>
      <c r="N24" s="3">
        <v>1</v>
      </c>
      <c r="O24" s="3"/>
      <c r="P24" s="3">
        <v>5</v>
      </c>
      <c r="Q24" s="3">
        <v>6</v>
      </c>
      <c r="R24" s="3"/>
      <c r="S24" s="3">
        <v>1989</v>
      </c>
      <c r="T24" s="3">
        <v>1868</v>
      </c>
      <c r="U24" s="3"/>
      <c r="V24" s="3">
        <v>1130</v>
      </c>
      <c r="W24" s="3">
        <v>714</v>
      </c>
      <c r="X24" s="3">
        <v>1596</v>
      </c>
      <c r="Y24" s="3">
        <v>0.44700000000000001</v>
      </c>
      <c r="Z24" s="3">
        <v>201</v>
      </c>
      <c r="AA24" s="3">
        <v>603</v>
      </c>
      <c r="AB24" s="3">
        <v>0.33300000000000002</v>
      </c>
      <c r="AC24" s="3">
        <v>360</v>
      </c>
      <c r="AD24" s="3">
        <v>506</v>
      </c>
      <c r="AE24" s="3">
        <v>0.71099999999999997</v>
      </c>
      <c r="AF24" s="3">
        <v>312</v>
      </c>
      <c r="AG24" s="3">
        <v>1054</v>
      </c>
      <c r="AH24" s="3">
        <v>399</v>
      </c>
      <c r="AI24" s="3">
        <v>142</v>
      </c>
      <c r="AJ24" s="3">
        <v>98</v>
      </c>
      <c r="AK24" s="3">
        <v>350</v>
      </c>
      <c r="AL24" s="3">
        <v>491</v>
      </c>
      <c r="AM24" s="3">
        <f>Table1[[#This Row],[W]]*$BX$18</f>
        <v>39.996000000000002</v>
      </c>
      <c r="AN24" s="3">
        <f>Table1[[#This Row],[L]]*$BY$18</f>
        <v>-19.98</v>
      </c>
      <c r="AO24" s="3">
        <f>Table1[[#This Row],[W-L%]]*$BZ$18</f>
        <v>128.59987140000001</v>
      </c>
      <c r="AP24" s="3">
        <f>Table1[[#This Row],[SRS]]*$CA$18</f>
        <v>45.353907500000005</v>
      </c>
      <c r="AQ24" s="3">
        <f>1.5*Table1[[#This Row],[SOS]]</f>
        <v>16.844999999999999</v>
      </c>
      <c r="AR24">
        <f>Table1[[#This Row],[Conf. W]]*$CC$18</f>
        <v>40.04</v>
      </c>
      <c r="AS24">
        <f>Table1[[#This Row],[Conf. L]]*$CD$18</f>
        <v>-18.48</v>
      </c>
      <c r="AT24">
        <f>Table1[[#This Row],[HomeW]]*$CE$18</f>
        <v>11</v>
      </c>
      <c r="AU24">
        <f>Table1[[#This Row],[HomeL]]*$CF$18</f>
        <v>1</v>
      </c>
      <c r="AV24">
        <f>Table1[[#This Row],[AwayW]]*$CG$18</f>
        <v>8.3324999999999996</v>
      </c>
      <c r="AW24">
        <f>Table1[[#This Row],[AwayL]]*$CH$18</f>
        <v>9.9989999999999988</v>
      </c>
      <c r="AX24">
        <f>Table1[[#This Row],[Tm.]]*$CI$18</f>
        <v>3757.0221000000001</v>
      </c>
      <c r="AY24">
        <f>$CJ$18*Table1[[#This Row],[Opp.]]</f>
        <v>-2802.0560400000004</v>
      </c>
      <c r="AZ24">
        <f>Table1[[#This Row],[MP]]*$CK$18</f>
        <v>1130</v>
      </c>
      <c r="BA24">
        <f>$CL$18*Table1[[#This Row],[FG]]</f>
        <v>1071</v>
      </c>
      <c r="BB24">
        <f>$CM$18*Table1[[#This Row],[FGA]]</f>
        <v>-2393.9281799999999</v>
      </c>
      <c r="BC24">
        <f>Table1[[#This Row],[FG%]]*$CN$18</f>
        <v>111.75000894</v>
      </c>
      <c r="BD24">
        <f>Table1[[#This Row],[3P]]*$CO$18</f>
        <v>446.62200000000001</v>
      </c>
      <c r="BE24">
        <f>$CP$18*Table1[[#This Row],[3PA]]</f>
        <v>-603</v>
      </c>
      <c r="BF24">
        <f>Table1[[#This Row],[3P%]]*$CQ$18</f>
        <v>109.8900999</v>
      </c>
      <c r="BG24">
        <f>$CR$18*Table1[[#This Row],[FT]]</f>
        <v>189.46799999999999</v>
      </c>
      <c r="BH24">
        <f>$CS$18*Table1[[#This Row],[FTA]]</f>
        <v>266.30779999999999</v>
      </c>
      <c r="BI24">
        <f>Table1[[#This Row],[FT%]]*$CT$18</f>
        <v>261.94733100000002</v>
      </c>
      <c r="BJ24">
        <f>Table1[[#This Row],[ORB]]*$CU$18</f>
        <v>831.91679999999997</v>
      </c>
      <c r="BK24">
        <f>Table1[[#This Row],[TRB]]*$CV$18</f>
        <v>2409.1067200000002</v>
      </c>
      <c r="BL24">
        <f>$CW$18*Table1[[#This Row],[AST]]</f>
        <v>518.68802999999991</v>
      </c>
      <c r="BM24">
        <f>Table1[[#This Row],[STL]]</f>
        <v>142</v>
      </c>
      <c r="BN24">
        <f>Table1[[#This Row],[BLK]]*$CY$18</f>
        <v>171.5</v>
      </c>
      <c r="BO24">
        <f>$CZ$18*Table1[[#This Row],[TOV]]</f>
        <v>-875.00700000000006</v>
      </c>
      <c r="BP24">
        <f>Table1[[#This Row],[PF]]*$DA$18</f>
        <v>545.50099999999998</v>
      </c>
      <c r="BQ24">
        <f>SUM(Table1[[#This Row],[SCW]:[SCPF]])</f>
        <v>5551.4349487400013</v>
      </c>
    </row>
    <row r="25" spans="1:105" x14ac:dyDescent="0.45">
      <c r="A25" s="3">
        <v>58</v>
      </c>
      <c r="B25" s="4" t="s">
        <v>87</v>
      </c>
      <c r="C25" s="3">
        <v>27</v>
      </c>
      <c r="D25" s="3">
        <v>18</v>
      </c>
      <c r="E25" s="3">
        <v>9</v>
      </c>
      <c r="F25" s="3">
        <v>0.66700000000000004</v>
      </c>
      <c r="G25" s="3">
        <v>16.87</v>
      </c>
      <c r="H25" s="3">
        <v>8.4600000000000009</v>
      </c>
      <c r="I25" s="3"/>
      <c r="J25" s="3">
        <v>10</v>
      </c>
      <c r="K25" s="3">
        <v>7</v>
      </c>
      <c r="L25" s="3"/>
      <c r="M25" s="3">
        <v>13</v>
      </c>
      <c r="N25" s="3">
        <v>3</v>
      </c>
      <c r="O25" s="3"/>
      <c r="P25" s="3">
        <v>4</v>
      </c>
      <c r="Q25" s="3">
        <v>4</v>
      </c>
      <c r="R25" s="3"/>
      <c r="S25" s="3">
        <v>1941</v>
      </c>
      <c r="T25" s="3">
        <v>1714</v>
      </c>
      <c r="U25" s="3"/>
      <c r="V25" s="3">
        <v>1080</v>
      </c>
      <c r="W25" s="3">
        <v>682</v>
      </c>
      <c r="X25" s="3">
        <v>1554</v>
      </c>
      <c r="Y25" s="3">
        <v>0.439</v>
      </c>
      <c r="Z25" s="3">
        <v>178</v>
      </c>
      <c r="AA25" s="3">
        <v>538</v>
      </c>
      <c r="AB25" s="3">
        <v>0.33100000000000002</v>
      </c>
      <c r="AC25" s="3">
        <v>399</v>
      </c>
      <c r="AD25" s="3">
        <v>535</v>
      </c>
      <c r="AE25" s="3">
        <v>0.746</v>
      </c>
      <c r="AF25" s="3">
        <v>294</v>
      </c>
      <c r="AG25" s="3">
        <v>968</v>
      </c>
      <c r="AH25" s="3">
        <v>401</v>
      </c>
      <c r="AI25" s="3">
        <v>196</v>
      </c>
      <c r="AJ25" s="3">
        <v>130</v>
      </c>
      <c r="AK25" s="3">
        <v>337</v>
      </c>
      <c r="AL25" s="3">
        <v>444</v>
      </c>
      <c r="AM25" s="3">
        <f>Table1[[#This Row],[W]]*$BX$18</f>
        <v>39.996000000000002</v>
      </c>
      <c r="AN25" s="3">
        <f>Table1[[#This Row],[L]]*$BY$18</f>
        <v>-17.981999999999999</v>
      </c>
      <c r="AO25" s="3">
        <f>Table1[[#This Row],[W-L%]]*$BZ$18</f>
        <v>133.3998666</v>
      </c>
      <c r="AP25" s="3">
        <f>Table1[[#This Row],[SRS]]*$CA$18</f>
        <v>49.203885500000005</v>
      </c>
      <c r="AQ25" s="3">
        <f>1.5*Table1[[#This Row],[SOS]]</f>
        <v>12.690000000000001</v>
      </c>
      <c r="AR25">
        <f>Table1[[#This Row],[Conf. W]]*$CC$18</f>
        <v>30.8</v>
      </c>
      <c r="AS25">
        <f>Table1[[#This Row],[Conf. L]]*$CD$18</f>
        <v>-21.560000000000002</v>
      </c>
      <c r="AT25">
        <f>Table1[[#This Row],[HomeW]]*$CE$18</f>
        <v>13</v>
      </c>
      <c r="AU25">
        <f>Table1[[#This Row],[HomeL]]*$CF$18</f>
        <v>3</v>
      </c>
      <c r="AV25">
        <f>Table1[[#This Row],[AwayW]]*$CG$18</f>
        <v>6.6659999999999995</v>
      </c>
      <c r="AW25">
        <f>Table1[[#This Row],[AwayL]]*$CH$18</f>
        <v>6.6659999999999995</v>
      </c>
      <c r="AX25">
        <f>Table1[[#This Row],[Tm.]]*$CI$18</f>
        <v>3666.3549000000003</v>
      </c>
      <c r="AY25">
        <f>$CJ$18*Table1[[#This Row],[Opp.]]</f>
        <v>-2571.0514200000002</v>
      </c>
      <c r="AZ25">
        <f>Table1[[#This Row],[MP]]*$CK$18</f>
        <v>1080</v>
      </c>
      <c r="BA25">
        <f>$CL$18*Table1[[#This Row],[FG]]</f>
        <v>1023</v>
      </c>
      <c r="BB25">
        <f>$CM$18*Table1[[#This Row],[FGA]]</f>
        <v>-2330.9300699999999</v>
      </c>
      <c r="BC25">
        <f>Table1[[#This Row],[FG%]]*$CN$18</f>
        <v>109.75000878</v>
      </c>
      <c r="BD25">
        <f>Table1[[#This Row],[3P]]*$CO$18</f>
        <v>395.51600000000002</v>
      </c>
      <c r="BE25">
        <f>$CP$18*Table1[[#This Row],[3PA]]</f>
        <v>-538</v>
      </c>
      <c r="BF25">
        <f>Table1[[#This Row],[3P%]]*$CQ$18</f>
        <v>109.23009930000001</v>
      </c>
      <c r="BG25">
        <f>$CR$18*Table1[[#This Row],[FT]]</f>
        <v>209.99369999999999</v>
      </c>
      <c r="BH25">
        <f>$CS$18*Table1[[#This Row],[FTA]]</f>
        <v>281.57049999999998</v>
      </c>
      <c r="BI25">
        <f>Table1[[#This Row],[FT%]]*$CT$18</f>
        <v>274.84206600000005</v>
      </c>
      <c r="BJ25">
        <f>Table1[[#This Row],[ORB]]*$CU$18</f>
        <v>783.92160000000001</v>
      </c>
      <c r="BK25">
        <f>Table1[[#This Row],[TRB]]*$CV$18</f>
        <v>2212.5382400000003</v>
      </c>
      <c r="BL25">
        <f>$CW$18*Table1[[#This Row],[AST]]</f>
        <v>521.28796999999997</v>
      </c>
      <c r="BM25">
        <f>Table1[[#This Row],[STL]]</f>
        <v>196</v>
      </c>
      <c r="BN25">
        <f>Table1[[#This Row],[BLK]]*$CY$18</f>
        <v>227.5</v>
      </c>
      <c r="BO25">
        <f>$CZ$18*Table1[[#This Row],[TOV]]</f>
        <v>-842.50674000000004</v>
      </c>
      <c r="BP25">
        <f>Table1[[#This Row],[PF]]*$DA$18</f>
        <v>493.28399999999999</v>
      </c>
      <c r="BQ25">
        <f>SUM(Table1[[#This Row],[SCW]:[SCPF]])</f>
        <v>5558.1806061800007</v>
      </c>
    </row>
    <row r="26" spans="1:105" x14ac:dyDescent="0.45">
      <c r="A26" s="3">
        <v>38</v>
      </c>
      <c r="B26" s="4" t="s">
        <v>34</v>
      </c>
      <c r="C26" s="3">
        <v>28</v>
      </c>
      <c r="D26" s="3">
        <v>19</v>
      </c>
      <c r="E26" s="3">
        <v>9</v>
      </c>
      <c r="F26" s="3">
        <v>0.67900000000000005</v>
      </c>
      <c r="G26" s="3">
        <v>9.75</v>
      </c>
      <c r="H26" s="3">
        <v>1.71</v>
      </c>
      <c r="I26" s="3"/>
      <c r="J26" s="3">
        <v>14</v>
      </c>
      <c r="K26" s="3">
        <v>6</v>
      </c>
      <c r="L26" s="3"/>
      <c r="M26" s="3">
        <v>11</v>
      </c>
      <c r="N26" s="3">
        <v>1</v>
      </c>
      <c r="O26" s="3"/>
      <c r="P26" s="3">
        <v>6</v>
      </c>
      <c r="Q26" s="3">
        <v>6</v>
      </c>
      <c r="R26" s="3"/>
      <c r="S26" s="3">
        <v>2122</v>
      </c>
      <c r="T26" s="3">
        <v>1868</v>
      </c>
      <c r="U26" s="3"/>
      <c r="V26" s="3">
        <v>1125</v>
      </c>
      <c r="W26" s="3">
        <v>743</v>
      </c>
      <c r="X26" s="3">
        <v>1634</v>
      </c>
      <c r="Y26" s="3">
        <v>0.45500000000000002</v>
      </c>
      <c r="Z26" s="3">
        <v>220</v>
      </c>
      <c r="AA26" s="3">
        <v>635</v>
      </c>
      <c r="AB26" s="3">
        <v>0.34599999999999997</v>
      </c>
      <c r="AC26" s="3">
        <v>416</v>
      </c>
      <c r="AD26" s="3">
        <v>566</v>
      </c>
      <c r="AE26" s="3">
        <v>0.73499999999999999</v>
      </c>
      <c r="AF26" s="3">
        <v>253</v>
      </c>
      <c r="AG26" s="3">
        <v>995</v>
      </c>
      <c r="AH26" s="3">
        <v>378</v>
      </c>
      <c r="AI26" s="3">
        <v>183</v>
      </c>
      <c r="AJ26" s="3">
        <v>80</v>
      </c>
      <c r="AK26" s="3">
        <v>328</v>
      </c>
      <c r="AL26" s="3">
        <v>478</v>
      </c>
      <c r="AM26" s="3">
        <f>Table1[[#This Row],[W]]*$BX$18</f>
        <v>42.217999999999996</v>
      </c>
      <c r="AN26" s="3">
        <f>Table1[[#This Row],[L]]*$BY$18</f>
        <v>-17.981999999999999</v>
      </c>
      <c r="AO26" s="3">
        <f>Table1[[#This Row],[W-L%]]*$BZ$18</f>
        <v>135.7998642</v>
      </c>
      <c r="AP26" s="3">
        <f>Table1[[#This Row],[SRS]]*$CA$18</f>
        <v>28.437337500000002</v>
      </c>
      <c r="AQ26" s="3">
        <f>1.5*Table1[[#This Row],[SOS]]</f>
        <v>2.5649999999999999</v>
      </c>
      <c r="AR26">
        <f>Table1[[#This Row],[Conf. W]]*$CC$18</f>
        <v>43.120000000000005</v>
      </c>
      <c r="AS26">
        <f>Table1[[#This Row],[Conf. L]]*$CD$18</f>
        <v>-18.48</v>
      </c>
      <c r="AT26">
        <f>Table1[[#This Row],[HomeW]]*$CE$18</f>
        <v>11</v>
      </c>
      <c r="AU26">
        <f>Table1[[#This Row],[HomeL]]*$CF$18</f>
        <v>1</v>
      </c>
      <c r="AV26">
        <f>Table1[[#This Row],[AwayW]]*$CG$18</f>
        <v>9.9989999999999988</v>
      </c>
      <c r="AW26">
        <f>Table1[[#This Row],[AwayL]]*$CH$18</f>
        <v>9.9989999999999988</v>
      </c>
      <c r="AX26">
        <f>Table1[[#This Row],[Tm.]]*$CI$18</f>
        <v>4008.2458000000001</v>
      </c>
      <c r="AY26">
        <f>$CJ$18*Table1[[#This Row],[Opp.]]</f>
        <v>-2802.0560400000004</v>
      </c>
      <c r="AZ26">
        <f>Table1[[#This Row],[MP]]*$CK$18</f>
        <v>1125</v>
      </c>
      <c r="BA26">
        <f>$CL$18*Table1[[#This Row],[FG]]</f>
        <v>1114.5</v>
      </c>
      <c r="BB26">
        <f>$CM$18*Table1[[#This Row],[FGA]]</f>
        <v>-2450.9264699999999</v>
      </c>
      <c r="BC26">
        <f>Table1[[#This Row],[FG%]]*$CN$18</f>
        <v>113.7500091</v>
      </c>
      <c r="BD26">
        <f>Table1[[#This Row],[3P]]*$CO$18</f>
        <v>488.84</v>
      </c>
      <c r="BE26">
        <f>$CP$18*Table1[[#This Row],[3PA]]</f>
        <v>-635</v>
      </c>
      <c r="BF26">
        <f>Table1[[#This Row],[3P%]]*$CQ$18</f>
        <v>114.18010379999998</v>
      </c>
      <c r="BG26">
        <f>$CR$18*Table1[[#This Row],[FT]]</f>
        <v>218.9408</v>
      </c>
      <c r="BH26">
        <f>$CS$18*Table1[[#This Row],[FTA]]</f>
        <v>297.88580000000002</v>
      </c>
      <c r="BI26">
        <f>Table1[[#This Row],[FT%]]*$CT$18</f>
        <v>270.78943500000003</v>
      </c>
      <c r="BJ26">
        <f>Table1[[#This Row],[ORB]]*$CU$18</f>
        <v>674.5992</v>
      </c>
      <c r="BK26">
        <f>Table1[[#This Row],[TRB]]*$CV$18</f>
        <v>2274.2516000000001</v>
      </c>
      <c r="BL26">
        <f>$CW$18*Table1[[#This Row],[AST]]</f>
        <v>491.38865999999996</v>
      </c>
      <c r="BM26">
        <f>Table1[[#This Row],[STL]]</f>
        <v>183</v>
      </c>
      <c r="BN26">
        <f>Table1[[#This Row],[BLK]]*$CY$18</f>
        <v>140</v>
      </c>
      <c r="BO26">
        <f>$CZ$18*Table1[[#This Row],[TOV]]</f>
        <v>-820.00656000000004</v>
      </c>
      <c r="BP26">
        <f>Table1[[#This Row],[PF]]*$DA$18</f>
        <v>531.05799999999999</v>
      </c>
      <c r="BQ26">
        <f>SUM(Table1[[#This Row],[SCW]:[SCPF]])</f>
        <v>5586.1165395999997</v>
      </c>
    </row>
    <row r="27" spans="1:105" x14ac:dyDescent="0.45">
      <c r="A27" s="3">
        <v>45</v>
      </c>
      <c r="B27" s="4" t="s">
        <v>36</v>
      </c>
      <c r="C27" s="3">
        <v>27</v>
      </c>
      <c r="D27" s="3">
        <v>18</v>
      </c>
      <c r="E27" s="3">
        <v>9</v>
      </c>
      <c r="F27" s="3">
        <v>0.66700000000000004</v>
      </c>
      <c r="G27" s="3">
        <v>3.46</v>
      </c>
      <c r="H27" s="3">
        <v>-0.86</v>
      </c>
      <c r="I27" s="3"/>
      <c r="J27" s="3">
        <v>13</v>
      </c>
      <c r="K27" s="3">
        <v>4</v>
      </c>
      <c r="L27" s="3"/>
      <c r="M27" s="3">
        <v>10</v>
      </c>
      <c r="N27" s="3">
        <v>1</v>
      </c>
      <c r="O27" s="3"/>
      <c r="P27" s="3">
        <v>6</v>
      </c>
      <c r="Q27" s="3">
        <v>6</v>
      </c>
      <c r="R27" s="3"/>
      <c r="S27" s="3">
        <v>1950</v>
      </c>
      <c r="T27" s="3">
        <v>1712</v>
      </c>
      <c r="U27" s="3"/>
      <c r="V27" s="3">
        <v>1090</v>
      </c>
      <c r="W27" s="3">
        <v>729</v>
      </c>
      <c r="X27" s="3">
        <v>1615</v>
      </c>
      <c r="Y27" s="3">
        <v>0.45100000000000001</v>
      </c>
      <c r="Z27" s="3">
        <v>132</v>
      </c>
      <c r="AA27" s="3">
        <v>390</v>
      </c>
      <c r="AB27" s="3">
        <v>0.33800000000000002</v>
      </c>
      <c r="AC27" s="3">
        <v>360</v>
      </c>
      <c r="AD27" s="3">
        <v>474</v>
      </c>
      <c r="AE27" s="3">
        <v>0.75900000000000001</v>
      </c>
      <c r="AF27" s="3">
        <v>303</v>
      </c>
      <c r="AG27" s="3">
        <v>1069</v>
      </c>
      <c r="AH27" s="3">
        <v>319</v>
      </c>
      <c r="AI27" s="3">
        <v>204</v>
      </c>
      <c r="AJ27" s="3">
        <v>108</v>
      </c>
      <c r="AK27" s="3">
        <v>350</v>
      </c>
      <c r="AL27" s="3">
        <v>450</v>
      </c>
      <c r="AM27" s="3">
        <f>Table1[[#This Row],[W]]*$BX$18</f>
        <v>39.996000000000002</v>
      </c>
      <c r="AN27" s="3">
        <f>Table1[[#This Row],[L]]*$BY$18</f>
        <v>-17.981999999999999</v>
      </c>
      <c r="AO27" s="3">
        <f>Table1[[#This Row],[W-L%]]*$BZ$18</f>
        <v>133.3998666</v>
      </c>
      <c r="AP27" s="3">
        <f>Table1[[#This Row],[SRS]]*$CA$18</f>
        <v>10.091609</v>
      </c>
      <c r="AQ27" s="3">
        <f>1.5*Table1[[#This Row],[SOS]]</f>
        <v>-1.29</v>
      </c>
      <c r="AR27">
        <f>Table1[[#This Row],[Conf. W]]*$CC$18</f>
        <v>40.04</v>
      </c>
      <c r="AS27">
        <f>Table1[[#This Row],[Conf. L]]*$CD$18</f>
        <v>-12.32</v>
      </c>
      <c r="AT27">
        <f>Table1[[#This Row],[HomeW]]*$CE$18</f>
        <v>10</v>
      </c>
      <c r="AU27">
        <f>Table1[[#This Row],[HomeL]]*$CF$18</f>
        <v>1</v>
      </c>
      <c r="AV27">
        <f>Table1[[#This Row],[AwayW]]*$CG$18</f>
        <v>9.9989999999999988</v>
      </c>
      <c r="AW27">
        <f>Table1[[#This Row],[AwayL]]*$CH$18</f>
        <v>9.9989999999999988</v>
      </c>
      <c r="AX27">
        <f>Table1[[#This Row],[Tm.]]*$CI$18</f>
        <v>3683.355</v>
      </c>
      <c r="AY27">
        <f>$CJ$18*Table1[[#This Row],[Opp.]]</f>
        <v>-2568.0513600000004</v>
      </c>
      <c r="AZ27">
        <f>Table1[[#This Row],[MP]]*$CK$18</f>
        <v>1090</v>
      </c>
      <c r="BA27">
        <f>$CL$18*Table1[[#This Row],[FG]]</f>
        <v>1093.5</v>
      </c>
      <c r="BB27">
        <f>$CM$18*Table1[[#This Row],[FGA]]</f>
        <v>-2422.4273249999997</v>
      </c>
      <c r="BC27">
        <f>Table1[[#This Row],[FG%]]*$CN$18</f>
        <v>112.75000902000001</v>
      </c>
      <c r="BD27">
        <f>Table1[[#This Row],[3P]]*$CO$18</f>
        <v>293.30399999999997</v>
      </c>
      <c r="BE27">
        <f>$CP$18*Table1[[#This Row],[3PA]]</f>
        <v>-390</v>
      </c>
      <c r="BF27">
        <f>Table1[[#This Row],[3P%]]*$CQ$18</f>
        <v>111.5401014</v>
      </c>
      <c r="BG27">
        <f>$CR$18*Table1[[#This Row],[FT]]</f>
        <v>189.46799999999999</v>
      </c>
      <c r="BH27">
        <f>$CS$18*Table1[[#This Row],[FTA]]</f>
        <v>249.46619999999999</v>
      </c>
      <c r="BI27">
        <f>Table1[[#This Row],[FT%]]*$CT$18</f>
        <v>279.63153900000003</v>
      </c>
      <c r="BJ27">
        <f>Table1[[#This Row],[ORB]]*$CU$18</f>
        <v>807.91919999999993</v>
      </c>
      <c r="BK27">
        <f>Table1[[#This Row],[TRB]]*$CV$18</f>
        <v>2443.39192</v>
      </c>
      <c r="BL27">
        <f>$CW$18*Table1[[#This Row],[AST]]</f>
        <v>414.69042999999994</v>
      </c>
      <c r="BM27">
        <f>Table1[[#This Row],[STL]]</f>
        <v>204</v>
      </c>
      <c r="BN27">
        <f>Table1[[#This Row],[BLK]]*$CY$18</f>
        <v>189</v>
      </c>
      <c r="BO27">
        <f>$CZ$18*Table1[[#This Row],[TOV]]</f>
        <v>-875.00700000000006</v>
      </c>
      <c r="BP27">
        <f>Table1[[#This Row],[PF]]*$DA$18</f>
        <v>499.95</v>
      </c>
      <c r="BQ27">
        <f>SUM(Table1[[#This Row],[SCW]:[SCPF]])</f>
        <v>5629.4141900199984</v>
      </c>
    </row>
    <row r="28" spans="1:105" x14ac:dyDescent="0.45">
      <c r="A28" s="3">
        <v>63</v>
      </c>
      <c r="B28" s="4" t="s">
        <v>92</v>
      </c>
      <c r="C28" s="3">
        <v>31</v>
      </c>
      <c r="D28" s="3">
        <v>18</v>
      </c>
      <c r="E28" s="3">
        <v>13</v>
      </c>
      <c r="F28" s="3">
        <v>0.58099999999999996</v>
      </c>
      <c r="G28" s="3">
        <v>17.22</v>
      </c>
      <c r="H28" s="3">
        <v>11.93</v>
      </c>
      <c r="I28" s="3"/>
      <c r="J28" s="3">
        <v>10</v>
      </c>
      <c r="K28" s="3">
        <v>10</v>
      </c>
      <c r="L28" s="3"/>
      <c r="M28" s="3">
        <v>11</v>
      </c>
      <c r="N28" s="3">
        <v>5</v>
      </c>
      <c r="O28" s="3"/>
      <c r="P28" s="3">
        <v>5</v>
      </c>
      <c r="Q28" s="3">
        <v>6</v>
      </c>
      <c r="R28" s="3"/>
      <c r="S28" s="3">
        <v>2167</v>
      </c>
      <c r="T28" s="3">
        <v>2003</v>
      </c>
      <c r="U28" s="3"/>
      <c r="V28" s="3">
        <v>1250</v>
      </c>
      <c r="W28" s="3">
        <v>767</v>
      </c>
      <c r="X28" s="3">
        <v>1806</v>
      </c>
      <c r="Y28" s="3">
        <v>0.42499999999999999</v>
      </c>
      <c r="Z28" s="3">
        <v>269</v>
      </c>
      <c r="AA28" s="3">
        <v>738</v>
      </c>
      <c r="AB28" s="3">
        <v>0.36399999999999999</v>
      </c>
      <c r="AC28" s="3">
        <v>364</v>
      </c>
      <c r="AD28" s="3">
        <v>474</v>
      </c>
      <c r="AE28" s="3">
        <v>0.76800000000000002</v>
      </c>
      <c r="AF28" s="3">
        <v>255</v>
      </c>
      <c r="AG28" s="3">
        <v>1042</v>
      </c>
      <c r="AH28" s="3">
        <v>414</v>
      </c>
      <c r="AI28" s="3">
        <v>175</v>
      </c>
      <c r="AJ28" s="3">
        <v>123</v>
      </c>
      <c r="AK28" s="3">
        <v>280</v>
      </c>
      <c r="AL28" s="3">
        <v>500</v>
      </c>
      <c r="AM28" s="3">
        <f>Table1[[#This Row],[W]]*$BX$18</f>
        <v>39.996000000000002</v>
      </c>
      <c r="AN28" s="3">
        <f>Table1[[#This Row],[L]]*$BY$18</f>
        <v>-25.974</v>
      </c>
      <c r="AO28" s="3">
        <f>Table1[[#This Row],[W-L%]]*$BZ$18</f>
        <v>116.19988379999999</v>
      </c>
      <c r="AP28" s="3">
        <f>Table1[[#This Row],[SRS]]*$CA$18</f>
        <v>50.224713000000001</v>
      </c>
      <c r="AQ28" s="3">
        <f>1.5*Table1[[#This Row],[SOS]]</f>
        <v>17.895</v>
      </c>
      <c r="AR28">
        <f>Table1[[#This Row],[Conf. W]]*$CC$18</f>
        <v>30.8</v>
      </c>
      <c r="AS28">
        <f>Table1[[#This Row],[Conf. L]]*$CD$18</f>
        <v>-30.8</v>
      </c>
      <c r="AT28">
        <f>Table1[[#This Row],[HomeW]]*$CE$18</f>
        <v>11</v>
      </c>
      <c r="AU28">
        <f>Table1[[#This Row],[HomeL]]*$CF$18</f>
        <v>5</v>
      </c>
      <c r="AV28">
        <f>Table1[[#This Row],[AwayW]]*$CG$18</f>
        <v>8.3324999999999996</v>
      </c>
      <c r="AW28">
        <f>Table1[[#This Row],[AwayL]]*$CH$18</f>
        <v>9.9989999999999988</v>
      </c>
      <c r="AX28">
        <f>Table1[[#This Row],[Tm.]]*$CI$18</f>
        <v>4093.2463000000002</v>
      </c>
      <c r="AY28">
        <f>$CJ$18*Table1[[#This Row],[Opp.]]</f>
        <v>-3004.5600900000004</v>
      </c>
      <c r="AZ28">
        <f>Table1[[#This Row],[MP]]*$CK$18</f>
        <v>1250</v>
      </c>
      <c r="BA28">
        <f>$CL$18*Table1[[#This Row],[FG]]</f>
        <v>1150.5</v>
      </c>
      <c r="BB28">
        <f>$CM$18*Table1[[#This Row],[FGA]]</f>
        <v>-2708.9187299999999</v>
      </c>
      <c r="BC28">
        <f>Table1[[#This Row],[FG%]]*$CN$18</f>
        <v>106.25000850000001</v>
      </c>
      <c r="BD28">
        <f>Table1[[#This Row],[3P]]*$CO$18</f>
        <v>597.71799999999996</v>
      </c>
      <c r="BE28">
        <f>$CP$18*Table1[[#This Row],[3PA]]</f>
        <v>-738</v>
      </c>
      <c r="BF28">
        <f>Table1[[#This Row],[3P%]]*$CQ$18</f>
        <v>120.12010919999999</v>
      </c>
      <c r="BG28">
        <f>$CR$18*Table1[[#This Row],[FT]]</f>
        <v>191.57319999999999</v>
      </c>
      <c r="BH28">
        <f>$CS$18*Table1[[#This Row],[FTA]]</f>
        <v>249.46619999999999</v>
      </c>
      <c r="BI28">
        <f>Table1[[#This Row],[FT%]]*$CT$18</f>
        <v>282.94732800000003</v>
      </c>
      <c r="BJ28">
        <f>Table1[[#This Row],[ORB]]*$CU$18</f>
        <v>679.93200000000002</v>
      </c>
      <c r="BK28">
        <f>Table1[[#This Row],[TRB]]*$CV$18</f>
        <v>2381.6785600000003</v>
      </c>
      <c r="BL28">
        <f>$CW$18*Table1[[#This Row],[AST]]</f>
        <v>538.18757999999991</v>
      </c>
      <c r="BM28">
        <f>Table1[[#This Row],[STL]]</f>
        <v>175</v>
      </c>
      <c r="BN28">
        <f>Table1[[#This Row],[BLK]]*$CY$18</f>
        <v>215.25</v>
      </c>
      <c r="BO28">
        <f>$CZ$18*Table1[[#This Row],[TOV]]</f>
        <v>-700.00560000000007</v>
      </c>
      <c r="BP28">
        <f>Table1[[#This Row],[PF]]*$DA$18</f>
        <v>555.5</v>
      </c>
      <c r="BQ28">
        <f>SUM(Table1[[#This Row],[SCW]:[SCPF]])</f>
        <v>5668.5579624999991</v>
      </c>
    </row>
    <row r="29" spans="1:105" x14ac:dyDescent="0.45">
      <c r="A29" s="3">
        <v>18</v>
      </c>
      <c r="B29" s="4" t="s">
        <v>56</v>
      </c>
      <c r="C29" s="3">
        <v>25</v>
      </c>
      <c r="D29" s="3">
        <v>23</v>
      </c>
      <c r="E29" s="3">
        <v>2</v>
      </c>
      <c r="F29" s="3">
        <v>0.92</v>
      </c>
      <c r="G29" s="3">
        <v>4.6900000000000004</v>
      </c>
      <c r="H29" s="3">
        <v>-7.15</v>
      </c>
      <c r="I29" s="3"/>
      <c r="J29" s="3">
        <v>17</v>
      </c>
      <c r="K29" s="3">
        <v>1</v>
      </c>
      <c r="L29" s="3"/>
      <c r="M29" s="3">
        <v>11</v>
      </c>
      <c r="N29" s="3">
        <v>1</v>
      </c>
      <c r="O29" s="3"/>
      <c r="P29" s="3">
        <v>10</v>
      </c>
      <c r="Q29" s="3">
        <v>0</v>
      </c>
      <c r="R29" s="3"/>
      <c r="S29" s="3">
        <v>1972</v>
      </c>
      <c r="T29" s="3">
        <v>1676</v>
      </c>
      <c r="U29" s="3"/>
      <c r="V29" s="3">
        <v>1000</v>
      </c>
      <c r="W29" s="3">
        <v>695</v>
      </c>
      <c r="X29" s="3">
        <v>1521</v>
      </c>
      <c r="Y29" s="3">
        <v>0.45700000000000002</v>
      </c>
      <c r="Z29" s="3">
        <v>210</v>
      </c>
      <c r="AA29" s="3">
        <v>597</v>
      </c>
      <c r="AB29" s="3">
        <v>0.35199999999999998</v>
      </c>
      <c r="AC29" s="3">
        <v>372</v>
      </c>
      <c r="AD29" s="3">
        <v>541</v>
      </c>
      <c r="AE29" s="3">
        <v>0.68799999999999994</v>
      </c>
      <c r="AF29" s="3">
        <v>321</v>
      </c>
      <c r="AG29" s="3">
        <v>1003</v>
      </c>
      <c r="AH29" s="3">
        <v>374</v>
      </c>
      <c r="AI29" s="3">
        <v>186</v>
      </c>
      <c r="AJ29" s="3">
        <v>57</v>
      </c>
      <c r="AK29" s="3">
        <v>350</v>
      </c>
      <c r="AL29" s="3">
        <v>459</v>
      </c>
      <c r="AM29" s="3">
        <f>Table1[[#This Row],[W]]*$BX$18</f>
        <v>51.106000000000002</v>
      </c>
      <c r="AN29" s="3">
        <f>Table1[[#This Row],[L]]*$BY$18</f>
        <v>-3.996</v>
      </c>
      <c r="AO29" s="3">
        <f>Table1[[#This Row],[W-L%]]*$BZ$18</f>
        <v>183.99981600000001</v>
      </c>
      <c r="AP29" s="3">
        <f>Table1[[#This Row],[SRS]]*$CA$18</f>
        <v>13.679088500000002</v>
      </c>
      <c r="AQ29" s="3">
        <f>1.5*Table1[[#This Row],[SOS]]</f>
        <v>-10.725000000000001</v>
      </c>
      <c r="AR29">
        <f>Table1[[#This Row],[Conf. W]]*$CC$18</f>
        <v>52.36</v>
      </c>
      <c r="AS29">
        <f>Table1[[#This Row],[Conf. L]]*$CD$18</f>
        <v>-3.08</v>
      </c>
      <c r="AT29">
        <f>Table1[[#This Row],[HomeW]]*$CE$18</f>
        <v>11</v>
      </c>
      <c r="AU29">
        <f>Table1[[#This Row],[HomeL]]*$CF$18</f>
        <v>1</v>
      </c>
      <c r="AV29">
        <f>Table1[[#This Row],[AwayW]]*$CG$18</f>
        <v>16.664999999999999</v>
      </c>
      <c r="AW29">
        <f>Table1[[#This Row],[AwayL]]*$CH$18</f>
        <v>0</v>
      </c>
      <c r="AX29">
        <f>Table1[[#This Row],[Tm.]]*$CI$18</f>
        <v>3724.9108000000001</v>
      </c>
      <c r="AY29">
        <f>$CJ$18*Table1[[#This Row],[Opp.]]</f>
        <v>-2514.0502800000004</v>
      </c>
      <c r="AZ29">
        <f>Table1[[#This Row],[MP]]*$CK$18</f>
        <v>1000</v>
      </c>
      <c r="BA29">
        <f>$CL$18*Table1[[#This Row],[FG]]</f>
        <v>1042.5</v>
      </c>
      <c r="BB29">
        <f>$CM$18*Table1[[#This Row],[FGA]]</f>
        <v>-2281.4315550000001</v>
      </c>
      <c r="BC29">
        <f>Table1[[#This Row],[FG%]]*$CN$18</f>
        <v>114.25000914</v>
      </c>
      <c r="BD29">
        <f>Table1[[#This Row],[3P]]*$CO$18</f>
        <v>466.62</v>
      </c>
      <c r="BE29">
        <f>$CP$18*Table1[[#This Row],[3PA]]</f>
        <v>-597</v>
      </c>
      <c r="BF29">
        <f>Table1[[#This Row],[3P%]]*$CQ$18</f>
        <v>116.16010559999998</v>
      </c>
      <c r="BG29">
        <f>$CR$18*Table1[[#This Row],[FT]]</f>
        <v>195.78360000000001</v>
      </c>
      <c r="BH29">
        <f>$CS$18*Table1[[#This Row],[FTA]]</f>
        <v>284.72829999999999</v>
      </c>
      <c r="BI29">
        <f>Table1[[#This Row],[FT%]]*$CT$18</f>
        <v>253.47364800000003</v>
      </c>
      <c r="BJ29">
        <f>Table1[[#This Row],[ORB]]*$CU$18</f>
        <v>855.9144</v>
      </c>
      <c r="BK29">
        <f>Table1[[#This Row],[TRB]]*$CV$18</f>
        <v>2292.5370400000002</v>
      </c>
      <c r="BL29">
        <f>$CW$18*Table1[[#This Row],[AST]]</f>
        <v>486.18877999999995</v>
      </c>
      <c r="BM29">
        <f>Table1[[#This Row],[STL]]</f>
        <v>186</v>
      </c>
      <c r="BN29">
        <f>Table1[[#This Row],[BLK]]*$CY$18</f>
        <v>99.75</v>
      </c>
      <c r="BO29">
        <f>$CZ$18*Table1[[#This Row],[TOV]]</f>
        <v>-875.00700000000006</v>
      </c>
      <c r="BP29">
        <f>Table1[[#This Row],[PF]]*$DA$18</f>
        <v>509.94900000000001</v>
      </c>
      <c r="BQ29">
        <f>SUM(Table1[[#This Row],[SCW]:[SCPF]])</f>
        <v>5673.28575224</v>
      </c>
    </row>
    <row r="30" spans="1:105" x14ac:dyDescent="0.45">
      <c r="A30" s="3">
        <v>64</v>
      </c>
      <c r="B30" s="4" t="s">
        <v>93</v>
      </c>
      <c r="C30" s="3">
        <v>24</v>
      </c>
      <c r="D30" s="3">
        <v>18</v>
      </c>
      <c r="E30" s="3">
        <v>6</v>
      </c>
      <c r="F30" s="3">
        <v>0.75</v>
      </c>
      <c r="G30" s="3">
        <v>6.89</v>
      </c>
      <c r="H30" s="3">
        <v>-7.65</v>
      </c>
      <c r="I30" s="3"/>
      <c r="J30" s="3">
        <v>16</v>
      </c>
      <c r="K30" s="3">
        <v>4</v>
      </c>
      <c r="L30" s="3"/>
      <c r="M30" s="3">
        <v>9</v>
      </c>
      <c r="N30" s="3">
        <v>4</v>
      </c>
      <c r="O30" s="3"/>
      <c r="P30" s="3">
        <v>9</v>
      </c>
      <c r="Q30" s="3">
        <v>2</v>
      </c>
      <c r="R30" s="3"/>
      <c r="S30" s="3">
        <v>1967</v>
      </c>
      <c r="T30" s="3">
        <v>1618</v>
      </c>
      <c r="U30" s="3"/>
      <c r="V30" s="3">
        <v>965</v>
      </c>
      <c r="W30" s="3">
        <v>710</v>
      </c>
      <c r="X30" s="3">
        <v>1471</v>
      </c>
      <c r="Y30" s="3">
        <v>0.48299999999999998</v>
      </c>
      <c r="Z30" s="3">
        <v>179</v>
      </c>
      <c r="AA30" s="3">
        <v>484</v>
      </c>
      <c r="AB30" s="3">
        <v>0.37</v>
      </c>
      <c r="AC30" s="3">
        <v>368</v>
      </c>
      <c r="AD30" s="3">
        <v>508</v>
      </c>
      <c r="AE30" s="3">
        <v>0.72399999999999998</v>
      </c>
      <c r="AF30" s="3">
        <v>284</v>
      </c>
      <c r="AG30" s="3">
        <v>1015</v>
      </c>
      <c r="AH30" s="3">
        <v>369</v>
      </c>
      <c r="AI30" s="3">
        <v>142</v>
      </c>
      <c r="AJ30" s="3">
        <v>87</v>
      </c>
      <c r="AK30" s="3">
        <v>314</v>
      </c>
      <c r="AL30" s="3">
        <v>328</v>
      </c>
      <c r="AM30" s="3">
        <f>Table1[[#This Row],[W]]*$BX$18</f>
        <v>39.996000000000002</v>
      </c>
      <c r="AN30" s="3">
        <f>Table1[[#This Row],[L]]*$BY$18</f>
        <v>-11.988</v>
      </c>
      <c r="AO30" s="3">
        <f>Table1[[#This Row],[W-L%]]*$BZ$18</f>
        <v>149.99984999999998</v>
      </c>
      <c r="AP30" s="3">
        <f>Table1[[#This Row],[SRS]]*$CA$18</f>
        <v>20.0957185</v>
      </c>
      <c r="AQ30" s="3">
        <f>1.5*Table1[[#This Row],[SOS]]</f>
        <v>-11.475000000000001</v>
      </c>
      <c r="AR30">
        <f>Table1[[#This Row],[Conf. W]]*$CC$18</f>
        <v>49.28</v>
      </c>
      <c r="AS30">
        <f>Table1[[#This Row],[Conf. L]]*$CD$18</f>
        <v>-12.32</v>
      </c>
      <c r="AT30">
        <f>Table1[[#This Row],[HomeW]]*$CE$18</f>
        <v>9</v>
      </c>
      <c r="AU30">
        <f>Table1[[#This Row],[HomeL]]*$CF$18</f>
        <v>4</v>
      </c>
      <c r="AV30">
        <f>Table1[[#This Row],[AwayW]]*$CG$18</f>
        <v>14.998499999999998</v>
      </c>
      <c r="AW30">
        <f>Table1[[#This Row],[AwayL]]*$CH$18</f>
        <v>3.3329999999999997</v>
      </c>
      <c r="AX30">
        <f>Table1[[#This Row],[Tm.]]*$CI$18</f>
        <v>3715.4663</v>
      </c>
      <c r="AY30">
        <f>$CJ$18*Table1[[#This Row],[Opp.]]</f>
        <v>-2427.0485400000002</v>
      </c>
      <c r="AZ30">
        <f>Table1[[#This Row],[MP]]*$CK$18</f>
        <v>965</v>
      </c>
      <c r="BA30">
        <f>$CL$18*Table1[[#This Row],[FG]]</f>
        <v>1065</v>
      </c>
      <c r="BB30">
        <f>$CM$18*Table1[[#This Row],[FGA]]</f>
        <v>-2206.4338049999997</v>
      </c>
      <c r="BC30">
        <f>Table1[[#This Row],[FG%]]*$CN$18</f>
        <v>120.75000966</v>
      </c>
      <c r="BD30">
        <f>Table1[[#This Row],[3P]]*$CO$18</f>
        <v>397.738</v>
      </c>
      <c r="BE30">
        <f>$CP$18*Table1[[#This Row],[3PA]]</f>
        <v>-484</v>
      </c>
      <c r="BF30">
        <f>Table1[[#This Row],[3P%]]*$CQ$18</f>
        <v>122.100111</v>
      </c>
      <c r="BG30">
        <f>$CR$18*Table1[[#This Row],[FT]]</f>
        <v>193.67840000000001</v>
      </c>
      <c r="BH30">
        <f>$CS$18*Table1[[#This Row],[FTA]]</f>
        <v>267.36039999999997</v>
      </c>
      <c r="BI30">
        <f>Table1[[#This Row],[FT%]]*$CT$18</f>
        <v>266.73680400000001</v>
      </c>
      <c r="BJ30">
        <f>Table1[[#This Row],[ORB]]*$CU$18</f>
        <v>757.25759999999991</v>
      </c>
      <c r="BK30">
        <f>Table1[[#This Row],[TRB]]*$CV$18</f>
        <v>2319.9652000000001</v>
      </c>
      <c r="BL30">
        <f>$CW$18*Table1[[#This Row],[AST]]</f>
        <v>479.68892999999997</v>
      </c>
      <c r="BM30">
        <f>Table1[[#This Row],[STL]]</f>
        <v>142</v>
      </c>
      <c r="BN30">
        <f>Table1[[#This Row],[BLK]]*$CY$18</f>
        <v>152.25</v>
      </c>
      <c r="BO30">
        <f>$CZ$18*Table1[[#This Row],[TOV]]</f>
        <v>-785.00628000000006</v>
      </c>
      <c r="BP30">
        <f>Table1[[#This Row],[PF]]*$DA$18</f>
        <v>364.40800000000002</v>
      </c>
      <c r="BQ30">
        <f>SUM(Table1[[#This Row],[SCW]:[SCPF]])</f>
        <v>5681.8311981600009</v>
      </c>
    </row>
    <row r="31" spans="1:105" x14ac:dyDescent="0.45">
      <c r="A31" s="3">
        <v>31</v>
      </c>
      <c r="B31" s="4" t="s">
        <v>67</v>
      </c>
      <c r="C31" s="3">
        <v>29</v>
      </c>
      <c r="D31" s="3">
        <v>21</v>
      </c>
      <c r="E31" s="3">
        <v>8</v>
      </c>
      <c r="F31" s="3">
        <v>0.72399999999999998</v>
      </c>
      <c r="G31" s="3">
        <v>5.19</v>
      </c>
      <c r="H31" s="3">
        <v>0.5</v>
      </c>
      <c r="I31" s="3"/>
      <c r="J31" s="3">
        <v>11</v>
      </c>
      <c r="K31" s="3">
        <v>3</v>
      </c>
      <c r="L31" s="3"/>
      <c r="M31" s="3">
        <v>11</v>
      </c>
      <c r="N31" s="3">
        <v>2</v>
      </c>
      <c r="O31" s="3"/>
      <c r="P31" s="3">
        <v>5</v>
      </c>
      <c r="Q31" s="3">
        <v>3</v>
      </c>
      <c r="R31" s="3"/>
      <c r="S31" s="3">
        <v>2108</v>
      </c>
      <c r="T31" s="3">
        <v>1972</v>
      </c>
      <c r="U31" s="3"/>
      <c r="V31" s="3">
        <v>1170</v>
      </c>
      <c r="W31" s="3">
        <v>733</v>
      </c>
      <c r="X31" s="3">
        <v>1634</v>
      </c>
      <c r="Y31" s="3">
        <v>0.44900000000000001</v>
      </c>
      <c r="Z31" s="3">
        <v>185</v>
      </c>
      <c r="AA31" s="3">
        <v>536</v>
      </c>
      <c r="AB31" s="3">
        <v>0.34499999999999997</v>
      </c>
      <c r="AC31" s="3">
        <v>457</v>
      </c>
      <c r="AD31" s="3">
        <v>580</v>
      </c>
      <c r="AE31" s="3">
        <v>0.78800000000000003</v>
      </c>
      <c r="AF31" s="3">
        <v>305</v>
      </c>
      <c r="AG31" s="3">
        <v>1093</v>
      </c>
      <c r="AH31" s="3">
        <v>395</v>
      </c>
      <c r="AI31" s="3">
        <v>187</v>
      </c>
      <c r="AJ31" s="3">
        <v>134</v>
      </c>
      <c r="AK31" s="3">
        <v>413</v>
      </c>
      <c r="AL31" s="3">
        <v>410</v>
      </c>
      <c r="AM31" s="3">
        <f>Table1[[#This Row],[W]]*$BX$18</f>
        <v>46.661999999999999</v>
      </c>
      <c r="AN31" s="3">
        <f>Table1[[#This Row],[L]]*$BY$18</f>
        <v>-15.984</v>
      </c>
      <c r="AO31" s="3">
        <f>Table1[[#This Row],[W-L%]]*$BZ$18</f>
        <v>144.7998552</v>
      </c>
      <c r="AP31" s="3">
        <f>Table1[[#This Row],[SRS]]*$CA$18</f>
        <v>15.137413500000003</v>
      </c>
      <c r="AQ31" s="3">
        <f>1.5*Table1[[#This Row],[SOS]]</f>
        <v>0.75</v>
      </c>
      <c r="AR31">
        <f>Table1[[#This Row],[Conf. W]]*$CC$18</f>
        <v>33.880000000000003</v>
      </c>
      <c r="AS31">
        <f>Table1[[#This Row],[Conf. L]]*$CD$18</f>
        <v>-9.24</v>
      </c>
      <c r="AT31">
        <f>Table1[[#This Row],[HomeW]]*$CE$18</f>
        <v>11</v>
      </c>
      <c r="AU31">
        <f>Table1[[#This Row],[HomeL]]*$CF$18</f>
        <v>2</v>
      </c>
      <c r="AV31">
        <f>Table1[[#This Row],[AwayW]]*$CG$18</f>
        <v>8.3324999999999996</v>
      </c>
      <c r="AW31">
        <f>Table1[[#This Row],[AwayL]]*$CH$18</f>
        <v>4.9994999999999994</v>
      </c>
      <c r="AX31">
        <f>Table1[[#This Row],[Tm.]]*$CI$18</f>
        <v>3981.8011999999999</v>
      </c>
      <c r="AY31">
        <f>$CJ$18*Table1[[#This Row],[Opp.]]</f>
        <v>-2958.0591600000002</v>
      </c>
      <c r="AZ31">
        <f>Table1[[#This Row],[MP]]*$CK$18</f>
        <v>1170</v>
      </c>
      <c r="BA31">
        <f>$CL$18*Table1[[#This Row],[FG]]</f>
        <v>1099.5</v>
      </c>
      <c r="BB31">
        <f>$CM$18*Table1[[#This Row],[FGA]]</f>
        <v>-2450.9264699999999</v>
      </c>
      <c r="BC31">
        <f>Table1[[#This Row],[FG%]]*$CN$18</f>
        <v>112.25000898</v>
      </c>
      <c r="BD31">
        <f>Table1[[#This Row],[3P]]*$CO$18</f>
        <v>411.07</v>
      </c>
      <c r="BE31">
        <f>$CP$18*Table1[[#This Row],[3PA]]</f>
        <v>-536</v>
      </c>
      <c r="BF31">
        <f>Table1[[#This Row],[3P%]]*$CQ$18</f>
        <v>113.85010349999999</v>
      </c>
      <c r="BG31">
        <f>$CR$18*Table1[[#This Row],[FT]]</f>
        <v>240.51910000000001</v>
      </c>
      <c r="BH31">
        <f>$CS$18*Table1[[#This Row],[FTA]]</f>
        <v>305.25400000000002</v>
      </c>
      <c r="BI31">
        <f>Table1[[#This Row],[FT%]]*$CT$18</f>
        <v>290.31574800000004</v>
      </c>
      <c r="BJ31">
        <f>Table1[[#This Row],[ORB]]*$CU$18</f>
        <v>813.25199999999995</v>
      </c>
      <c r="BK31">
        <f>Table1[[#This Row],[TRB]]*$CV$18</f>
        <v>2498.2482400000004</v>
      </c>
      <c r="BL31">
        <f>$CW$18*Table1[[#This Row],[AST]]</f>
        <v>513.48814999999991</v>
      </c>
      <c r="BM31">
        <f>Table1[[#This Row],[STL]]</f>
        <v>187</v>
      </c>
      <c r="BN31">
        <f>Table1[[#This Row],[BLK]]*$CY$18</f>
        <v>234.5</v>
      </c>
      <c r="BO31">
        <f>$CZ$18*Table1[[#This Row],[TOV]]</f>
        <v>-1032.5082600000001</v>
      </c>
      <c r="BP31">
        <f>Table1[[#This Row],[PF]]*$DA$18</f>
        <v>455.51</v>
      </c>
      <c r="BQ31">
        <f>SUM(Table1[[#This Row],[SCW]:[SCPF]])</f>
        <v>5691.4019291800014</v>
      </c>
      <c r="BX31" t="s">
        <v>227</v>
      </c>
      <c r="BY31" t="s">
        <v>228</v>
      </c>
      <c r="BZ31" t="s">
        <v>229</v>
      </c>
      <c r="CA31" t="s">
        <v>230</v>
      </c>
      <c r="CB31" t="s">
        <v>231</v>
      </c>
      <c r="CC31" t="s">
        <v>232</v>
      </c>
      <c r="CD31" t="s">
        <v>233</v>
      </c>
      <c r="CE31" t="s">
        <v>234</v>
      </c>
      <c r="CF31" t="s">
        <v>235</v>
      </c>
      <c r="CG31" t="s">
        <v>236</v>
      </c>
      <c r="CH31" t="s">
        <v>237</v>
      </c>
      <c r="CI31" t="s">
        <v>257</v>
      </c>
      <c r="CJ31" t="s">
        <v>239</v>
      </c>
      <c r="CK31" t="s">
        <v>240</v>
      </c>
      <c r="CL31" t="s">
        <v>241</v>
      </c>
      <c r="CM31" t="s">
        <v>242</v>
      </c>
      <c r="CN31" t="s">
        <v>243</v>
      </c>
      <c r="CO31" t="s">
        <v>244</v>
      </c>
      <c r="CP31" t="s">
        <v>245</v>
      </c>
      <c r="CQ31" t="s">
        <v>246</v>
      </c>
      <c r="CR31" t="s">
        <v>247</v>
      </c>
      <c r="CS31" t="s">
        <v>248</v>
      </c>
      <c r="CT31" t="s">
        <v>249</v>
      </c>
      <c r="CU31" t="s">
        <v>250</v>
      </c>
      <c r="CV31" t="s">
        <v>251</v>
      </c>
      <c r="CW31" t="s">
        <v>252</v>
      </c>
      <c r="CX31" t="s">
        <v>253</v>
      </c>
      <c r="CY31" t="s">
        <v>254</v>
      </c>
      <c r="CZ31" t="s">
        <v>255</v>
      </c>
      <c r="DA31" t="s">
        <v>256</v>
      </c>
    </row>
    <row r="32" spans="1:105" x14ac:dyDescent="0.45">
      <c r="A32" s="3">
        <v>32</v>
      </c>
      <c r="B32" s="4" t="s">
        <v>35</v>
      </c>
      <c r="C32" s="3">
        <v>27</v>
      </c>
      <c r="D32" s="3">
        <v>20</v>
      </c>
      <c r="E32" s="3">
        <v>7</v>
      </c>
      <c r="F32" s="3">
        <v>0.74099999999999999</v>
      </c>
      <c r="G32" s="3">
        <v>15.19</v>
      </c>
      <c r="H32" s="3">
        <v>7.23</v>
      </c>
      <c r="I32" s="3"/>
      <c r="J32" s="3">
        <v>10</v>
      </c>
      <c r="K32" s="3">
        <v>3</v>
      </c>
      <c r="L32" s="3"/>
      <c r="M32" s="3">
        <v>11</v>
      </c>
      <c r="N32" s="3">
        <v>2</v>
      </c>
      <c r="O32" s="3"/>
      <c r="P32" s="3">
        <v>7</v>
      </c>
      <c r="Q32" s="3">
        <v>2</v>
      </c>
      <c r="R32" s="3"/>
      <c r="S32" s="3">
        <v>2109</v>
      </c>
      <c r="T32" s="3">
        <v>1853</v>
      </c>
      <c r="U32" s="3"/>
      <c r="V32" s="3">
        <v>1095</v>
      </c>
      <c r="W32" s="3">
        <v>776</v>
      </c>
      <c r="X32" s="3">
        <v>1608</v>
      </c>
      <c r="Y32" s="3">
        <v>0.48299999999999998</v>
      </c>
      <c r="Z32" s="3">
        <v>236</v>
      </c>
      <c r="AA32" s="3">
        <v>633</v>
      </c>
      <c r="AB32" s="3">
        <v>0.373</v>
      </c>
      <c r="AC32" s="3">
        <v>321</v>
      </c>
      <c r="AD32" s="3">
        <v>443</v>
      </c>
      <c r="AE32" s="3">
        <v>0.72499999999999998</v>
      </c>
      <c r="AF32" s="3">
        <v>255</v>
      </c>
      <c r="AG32" s="3">
        <v>1058</v>
      </c>
      <c r="AH32" s="3">
        <v>436</v>
      </c>
      <c r="AI32" s="3">
        <v>124</v>
      </c>
      <c r="AJ32" s="3">
        <v>76</v>
      </c>
      <c r="AK32" s="3">
        <v>356</v>
      </c>
      <c r="AL32" s="3">
        <v>486</v>
      </c>
      <c r="AM32" s="3">
        <f>Table1[[#This Row],[W]]*$BX$18</f>
        <v>44.44</v>
      </c>
      <c r="AN32" s="3">
        <f>Table1[[#This Row],[L]]*$BY$18</f>
        <v>-13.986000000000001</v>
      </c>
      <c r="AO32" s="3">
        <f>Table1[[#This Row],[W-L%]]*$BZ$18</f>
        <v>148.1998518</v>
      </c>
      <c r="AP32" s="3">
        <f>Table1[[#This Row],[SRS]]*$CA$18</f>
        <v>44.3039135</v>
      </c>
      <c r="AQ32" s="3">
        <f>1.5*Table1[[#This Row],[SOS]]</f>
        <v>10.845000000000001</v>
      </c>
      <c r="AR32">
        <f>Table1[[#This Row],[Conf. W]]*$CC$18</f>
        <v>30.8</v>
      </c>
      <c r="AS32">
        <f>Table1[[#This Row],[Conf. L]]*$CD$18</f>
        <v>-9.24</v>
      </c>
      <c r="AT32">
        <f>Table1[[#This Row],[HomeW]]*$CE$18</f>
        <v>11</v>
      </c>
      <c r="AU32">
        <f>Table1[[#This Row],[HomeL]]*$CF$18</f>
        <v>2</v>
      </c>
      <c r="AV32">
        <f>Table1[[#This Row],[AwayW]]*$CG$18</f>
        <v>11.6655</v>
      </c>
      <c r="AW32">
        <f>Table1[[#This Row],[AwayL]]*$CH$18</f>
        <v>3.3329999999999997</v>
      </c>
      <c r="AX32">
        <f>Table1[[#This Row],[Tm.]]*$CI$18</f>
        <v>3983.6901000000003</v>
      </c>
      <c r="AY32">
        <f>$CJ$18*Table1[[#This Row],[Opp.]]</f>
        <v>-2779.5555900000004</v>
      </c>
      <c r="AZ32">
        <f>Table1[[#This Row],[MP]]*$CK$18</f>
        <v>1095</v>
      </c>
      <c r="BA32">
        <f>$CL$18*Table1[[#This Row],[FG]]</f>
        <v>1164</v>
      </c>
      <c r="BB32">
        <f>$CM$18*Table1[[#This Row],[FGA]]</f>
        <v>-2411.9276399999999</v>
      </c>
      <c r="BC32">
        <f>Table1[[#This Row],[FG%]]*$CN$18</f>
        <v>120.75000966</v>
      </c>
      <c r="BD32">
        <f>Table1[[#This Row],[3P]]*$CO$18</f>
        <v>524.39199999999994</v>
      </c>
      <c r="BE32">
        <f>$CP$18*Table1[[#This Row],[3PA]]</f>
        <v>-633</v>
      </c>
      <c r="BF32">
        <f>Table1[[#This Row],[3P%]]*$CQ$18</f>
        <v>123.0901119</v>
      </c>
      <c r="BG32">
        <f>$CR$18*Table1[[#This Row],[FT]]</f>
        <v>168.94229999999999</v>
      </c>
      <c r="BH32">
        <f>$CS$18*Table1[[#This Row],[FTA]]</f>
        <v>233.15090000000001</v>
      </c>
      <c r="BI32">
        <f>Table1[[#This Row],[FT%]]*$CT$18</f>
        <v>267.10522500000002</v>
      </c>
      <c r="BJ32">
        <f>Table1[[#This Row],[ORB]]*$CU$18</f>
        <v>679.93200000000002</v>
      </c>
      <c r="BK32">
        <f>Table1[[#This Row],[TRB]]*$CV$18</f>
        <v>2418.24944</v>
      </c>
      <c r="BL32">
        <f>$CW$18*Table1[[#This Row],[AST]]</f>
        <v>566.7869199999999</v>
      </c>
      <c r="BM32">
        <f>Table1[[#This Row],[STL]]</f>
        <v>124</v>
      </c>
      <c r="BN32">
        <f>Table1[[#This Row],[BLK]]*$CY$18</f>
        <v>133</v>
      </c>
      <c r="BO32">
        <f>$CZ$18*Table1[[#This Row],[TOV]]</f>
        <v>-890.0071200000001</v>
      </c>
      <c r="BP32">
        <f>Table1[[#This Row],[PF]]*$DA$18</f>
        <v>539.94600000000003</v>
      </c>
      <c r="BQ32">
        <f>SUM(Table1[[#This Row],[SCW]:[SCPF]])</f>
        <v>5710.9059218599987</v>
      </c>
    </row>
    <row r="33" spans="1:69" x14ac:dyDescent="0.45">
      <c r="A33" s="3">
        <v>41</v>
      </c>
      <c r="B33" s="4" t="s">
        <v>73</v>
      </c>
      <c r="C33" s="3">
        <v>28</v>
      </c>
      <c r="D33" s="3">
        <v>19</v>
      </c>
      <c r="E33" s="3">
        <v>9</v>
      </c>
      <c r="F33" s="3">
        <v>0.67900000000000005</v>
      </c>
      <c r="G33" s="3">
        <v>-3.29</v>
      </c>
      <c r="H33" s="3">
        <v>-4.87</v>
      </c>
      <c r="I33" s="3"/>
      <c r="J33" s="3">
        <v>13</v>
      </c>
      <c r="K33" s="3">
        <v>3</v>
      </c>
      <c r="L33" s="3"/>
      <c r="M33" s="3">
        <v>12</v>
      </c>
      <c r="N33" s="3">
        <v>1</v>
      </c>
      <c r="O33" s="3"/>
      <c r="P33" s="3">
        <v>7</v>
      </c>
      <c r="Q33" s="3">
        <v>6</v>
      </c>
      <c r="R33" s="3"/>
      <c r="S33" s="3">
        <v>2229</v>
      </c>
      <c r="T33" s="3">
        <v>1969</v>
      </c>
      <c r="U33" s="3"/>
      <c r="V33" s="3">
        <v>1120</v>
      </c>
      <c r="W33" s="3">
        <v>797</v>
      </c>
      <c r="X33" s="3">
        <v>1758</v>
      </c>
      <c r="Y33" s="3">
        <v>0.45300000000000001</v>
      </c>
      <c r="Z33" s="3">
        <v>255</v>
      </c>
      <c r="AA33" s="3">
        <v>715</v>
      </c>
      <c r="AB33" s="3">
        <v>0.35699999999999998</v>
      </c>
      <c r="AC33" s="3">
        <v>380</v>
      </c>
      <c r="AD33" s="3">
        <v>549</v>
      </c>
      <c r="AE33" s="3">
        <v>0.69199999999999995</v>
      </c>
      <c r="AF33" s="3">
        <v>320</v>
      </c>
      <c r="AG33" s="3">
        <v>1033</v>
      </c>
      <c r="AH33" s="3">
        <v>435</v>
      </c>
      <c r="AI33" s="3">
        <v>237</v>
      </c>
      <c r="AJ33" s="3">
        <v>88</v>
      </c>
      <c r="AK33" s="3">
        <v>402</v>
      </c>
      <c r="AL33" s="3">
        <v>565</v>
      </c>
      <c r="AM33" s="3">
        <f>Table1[[#This Row],[W]]*$BX$18</f>
        <v>42.217999999999996</v>
      </c>
      <c r="AN33" s="3">
        <f>Table1[[#This Row],[L]]*$BY$18</f>
        <v>-17.981999999999999</v>
      </c>
      <c r="AO33" s="3">
        <f>Table1[[#This Row],[W-L%]]*$BZ$18</f>
        <v>135.7998642</v>
      </c>
      <c r="AP33" s="3">
        <f>Table1[[#This Row],[SRS]]*$CA$18</f>
        <v>-9.5957785000000015</v>
      </c>
      <c r="AQ33" s="3">
        <f>1.5*Table1[[#This Row],[SOS]]</f>
        <v>-7.3049999999999997</v>
      </c>
      <c r="AR33">
        <f>Table1[[#This Row],[Conf. W]]*$CC$18</f>
        <v>40.04</v>
      </c>
      <c r="AS33">
        <f>Table1[[#This Row],[Conf. L]]*$CD$18</f>
        <v>-9.24</v>
      </c>
      <c r="AT33">
        <f>Table1[[#This Row],[HomeW]]*$CE$18</f>
        <v>12</v>
      </c>
      <c r="AU33">
        <f>Table1[[#This Row],[HomeL]]*$CF$18</f>
        <v>1</v>
      </c>
      <c r="AV33">
        <f>Table1[[#This Row],[AwayW]]*$CG$18</f>
        <v>11.6655</v>
      </c>
      <c r="AW33">
        <f>Table1[[#This Row],[AwayL]]*$CH$18</f>
        <v>9.9989999999999988</v>
      </c>
      <c r="AX33">
        <f>Table1[[#This Row],[Tm.]]*$CI$18</f>
        <v>4210.3581000000004</v>
      </c>
      <c r="AY33">
        <f>$CJ$18*Table1[[#This Row],[Opp.]]</f>
        <v>-2953.5590700000002</v>
      </c>
      <c r="AZ33">
        <f>Table1[[#This Row],[MP]]*$CK$18</f>
        <v>1120</v>
      </c>
      <c r="BA33">
        <f>$CL$18*Table1[[#This Row],[FG]]</f>
        <v>1195.5</v>
      </c>
      <c r="BB33">
        <f>$CM$18*Table1[[#This Row],[FGA]]</f>
        <v>-2636.9208899999999</v>
      </c>
      <c r="BC33">
        <f>Table1[[#This Row],[FG%]]*$CN$18</f>
        <v>113.25000906000001</v>
      </c>
      <c r="BD33">
        <f>Table1[[#This Row],[3P]]*$CO$18</f>
        <v>566.61</v>
      </c>
      <c r="BE33">
        <f>$CP$18*Table1[[#This Row],[3PA]]</f>
        <v>-715</v>
      </c>
      <c r="BF33">
        <f>Table1[[#This Row],[3P%]]*$CQ$18</f>
        <v>117.81010709999998</v>
      </c>
      <c r="BG33">
        <f>$CR$18*Table1[[#This Row],[FT]]</f>
        <v>199.994</v>
      </c>
      <c r="BH33">
        <f>$CS$18*Table1[[#This Row],[FTA]]</f>
        <v>288.93869999999998</v>
      </c>
      <c r="BI33">
        <f>Table1[[#This Row],[FT%]]*$CT$18</f>
        <v>254.94733200000002</v>
      </c>
      <c r="BJ33">
        <f>Table1[[#This Row],[ORB]]*$CU$18</f>
        <v>853.24799999999993</v>
      </c>
      <c r="BK33">
        <f>Table1[[#This Row],[TRB]]*$CV$18</f>
        <v>2361.1074400000002</v>
      </c>
      <c r="BL33">
        <f>$CW$18*Table1[[#This Row],[AST]]</f>
        <v>565.48694999999998</v>
      </c>
      <c r="BM33">
        <f>Table1[[#This Row],[STL]]</f>
        <v>237</v>
      </c>
      <c r="BN33">
        <f>Table1[[#This Row],[BLK]]*$CY$18</f>
        <v>154</v>
      </c>
      <c r="BO33">
        <f>$CZ$18*Table1[[#This Row],[TOV]]</f>
        <v>-1005.0080400000001</v>
      </c>
      <c r="BP33">
        <f>Table1[[#This Row],[PF]]*$DA$18</f>
        <v>627.71500000000003</v>
      </c>
      <c r="BQ33">
        <f>SUM(Table1[[#This Row],[SCW]:[SCPF]])</f>
        <v>5764.0772238600011</v>
      </c>
    </row>
    <row r="34" spans="1:69" x14ac:dyDescent="0.45">
      <c r="A34" s="3">
        <v>66</v>
      </c>
      <c r="B34" s="4" t="s">
        <v>30</v>
      </c>
      <c r="C34" s="3">
        <v>26</v>
      </c>
      <c r="D34" s="3">
        <v>17</v>
      </c>
      <c r="E34" s="3">
        <v>9</v>
      </c>
      <c r="F34" s="3">
        <v>0.65400000000000003</v>
      </c>
      <c r="G34" s="3">
        <v>15.02</v>
      </c>
      <c r="H34" s="3">
        <v>8.18</v>
      </c>
      <c r="I34" s="3"/>
      <c r="J34" s="3">
        <v>11</v>
      </c>
      <c r="K34" s="3">
        <v>9</v>
      </c>
      <c r="L34" s="3"/>
      <c r="M34" s="3">
        <v>12</v>
      </c>
      <c r="N34" s="3">
        <v>4</v>
      </c>
      <c r="O34" s="3"/>
      <c r="P34" s="3">
        <v>5</v>
      </c>
      <c r="Q34" s="3">
        <v>5</v>
      </c>
      <c r="R34" s="3"/>
      <c r="S34" s="3">
        <v>1961</v>
      </c>
      <c r="T34" s="3">
        <v>1783</v>
      </c>
      <c r="U34" s="3"/>
      <c r="V34" s="3">
        <v>1050</v>
      </c>
      <c r="W34" s="3">
        <v>667</v>
      </c>
      <c r="X34" s="3">
        <v>1492</v>
      </c>
      <c r="Y34" s="3">
        <v>0.44700000000000001</v>
      </c>
      <c r="Z34" s="3">
        <v>174</v>
      </c>
      <c r="AA34" s="3">
        <v>468</v>
      </c>
      <c r="AB34" s="3">
        <v>0.372</v>
      </c>
      <c r="AC34" s="3">
        <v>453</v>
      </c>
      <c r="AD34" s="3">
        <v>623</v>
      </c>
      <c r="AE34" s="3">
        <v>0.72699999999999998</v>
      </c>
      <c r="AF34" s="3">
        <v>305</v>
      </c>
      <c r="AG34" s="3">
        <v>997</v>
      </c>
      <c r="AH34" s="3">
        <v>403</v>
      </c>
      <c r="AI34" s="3">
        <v>152</v>
      </c>
      <c r="AJ34" s="3">
        <v>104</v>
      </c>
      <c r="AK34" s="3">
        <v>309</v>
      </c>
      <c r="AL34" s="3">
        <v>463</v>
      </c>
      <c r="AM34" s="3">
        <f>Table1[[#This Row],[W]]*$BX$18</f>
        <v>37.774000000000001</v>
      </c>
      <c r="AN34" s="3">
        <f>Table1[[#This Row],[L]]*$BY$18</f>
        <v>-17.981999999999999</v>
      </c>
      <c r="AO34" s="3">
        <f>Table1[[#This Row],[W-L%]]*$BZ$18</f>
        <v>130.79986919999999</v>
      </c>
      <c r="AP34" s="3">
        <f>Table1[[#This Row],[SRS]]*$CA$18</f>
        <v>43.808083000000003</v>
      </c>
      <c r="AQ34" s="3">
        <f>1.5*Table1[[#This Row],[SOS]]</f>
        <v>12.27</v>
      </c>
      <c r="AR34">
        <f>Table1[[#This Row],[Conf. W]]*$CC$18</f>
        <v>33.880000000000003</v>
      </c>
      <c r="AS34">
        <f>Table1[[#This Row],[Conf. L]]*$CD$18</f>
        <v>-27.72</v>
      </c>
      <c r="AT34">
        <f>Table1[[#This Row],[HomeW]]*$CE$18</f>
        <v>12</v>
      </c>
      <c r="AU34">
        <f>Table1[[#This Row],[HomeL]]*$CF$18</f>
        <v>4</v>
      </c>
      <c r="AV34">
        <f>Table1[[#This Row],[AwayW]]*$CG$18</f>
        <v>8.3324999999999996</v>
      </c>
      <c r="AW34">
        <f>Table1[[#This Row],[AwayL]]*$CH$18</f>
        <v>8.3324999999999996</v>
      </c>
      <c r="AX34">
        <f>Table1[[#This Row],[Tm.]]*$CI$18</f>
        <v>3704.1329000000001</v>
      </c>
      <c r="AY34">
        <f>$CJ$18*Table1[[#This Row],[Opp.]]</f>
        <v>-2674.5534900000002</v>
      </c>
      <c r="AZ34">
        <f>Table1[[#This Row],[MP]]*$CK$18</f>
        <v>1050</v>
      </c>
      <c r="BA34">
        <f>$CL$18*Table1[[#This Row],[FG]]</f>
        <v>1000.5</v>
      </c>
      <c r="BB34">
        <f>$CM$18*Table1[[#This Row],[FGA]]</f>
        <v>-2237.9328599999999</v>
      </c>
      <c r="BC34">
        <f>Table1[[#This Row],[FG%]]*$CN$18</f>
        <v>111.75000894</v>
      </c>
      <c r="BD34">
        <f>Table1[[#This Row],[3P]]*$CO$18</f>
        <v>386.62799999999999</v>
      </c>
      <c r="BE34">
        <f>$CP$18*Table1[[#This Row],[3PA]]</f>
        <v>-468</v>
      </c>
      <c r="BF34">
        <f>Table1[[#This Row],[3P%]]*$CQ$18</f>
        <v>122.76011159999999</v>
      </c>
      <c r="BG34">
        <f>$CR$18*Table1[[#This Row],[FT]]</f>
        <v>238.41389999999998</v>
      </c>
      <c r="BH34">
        <f>$CS$18*Table1[[#This Row],[FTA]]</f>
        <v>327.88490000000002</v>
      </c>
      <c r="BI34">
        <f>Table1[[#This Row],[FT%]]*$CT$18</f>
        <v>267.84206700000004</v>
      </c>
      <c r="BJ34">
        <f>Table1[[#This Row],[ORB]]*$CU$18</f>
        <v>813.25199999999995</v>
      </c>
      <c r="BK34">
        <f>Table1[[#This Row],[TRB]]*$CV$18</f>
        <v>2278.82296</v>
      </c>
      <c r="BL34">
        <f>$CW$18*Table1[[#This Row],[AST]]</f>
        <v>523.88790999999992</v>
      </c>
      <c r="BM34">
        <f>Table1[[#This Row],[STL]]</f>
        <v>152</v>
      </c>
      <c r="BN34">
        <f>Table1[[#This Row],[BLK]]*$CY$18</f>
        <v>182</v>
      </c>
      <c r="BO34">
        <f>$CZ$18*Table1[[#This Row],[TOV]]</f>
        <v>-772.50618000000009</v>
      </c>
      <c r="BP34">
        <f>Table1[[#This Row],[PF]]*$DA$18</f>
        <v>514.39300000000003</v>
      </c>
      <c r="BQ34">
        <f>SUM(Table1[[#This Row],[SCW]:[SCPF]])</f>
        <v>5766.7701797400005</v>
      </c>
    </row>
    <row r="35" spans="1:69" x14ac:dyDescent="0.45">
      <c r="A35" s="3">
        <v>22</v>
      </c>
      <c r="B35" s="4" t="s">
        <v>58</v>
      </c>
      <c r="C35" s="3">
        <v>29</v>
      </c>
      <c r="D35" s="3">
        <v>22</v>
      </c>
      <c r="E35" s="3">
        <v>7</v>
      </c>
      <c r="F35" s="3">
        <v>0.75900000000000001</v>
      </c>
      <c r="G35" s="3">
        <v>-2.68</v>
      </c>
      <c r="H35" s="3">
        <v>-8.24</v>
      </c>
      <c r="I35" s="3"/>
      <c r="J35" s="3">
        <v>15</v>
      </c>
      <c r="K35" s="3">
        <v>5</v>
      </c>
      <c r="L35" s="3"/>
      <c r="M35" s="3">
        <v>10</v>
      </c>
      <c r="N35" s="3">
        <v>2</v>
      </c>
      <c r="O35" s="3"/>
      <c r="P35" s="3">
        <v>9</v>
      </c>
      <c r="Q35" s="3">
        <v>4</v>
      </c>
      <c r="R35" s="3"/>
      <c r="S35" s="3">
        <v>2372</v>
      </c>
      <c r="T35" s="3">
        <v>2137</v>
      </c>
      <c r="U35" s="3"/>
      <c r="V35" s="3">
        <v>1180</v>
      </c>
      <c r="W35" s="3">
        <v>871</v>
      </c>
      <c r="X35" s="3">
        <v>1946</v>
      </c>
      <c r="Y35" s="3">
        <v>0.44800000000000001</v>
      </c>
      <c r="Z35" s="3">
        <v>279</v>
      </c>
      <c r="AA35" s="3">
        <v>778</v>
      </c>
      <c r="AB35" s="3">
        <v>0.35899999999999999</v>
      </c>
      <c r="AC35" s="3">
        <v>351</v>
      </c>
      <c r="AD35" s="3">
        <v>497</v>
      </c>
      <c r="AE35" s="3">
        <v>0.70599999999999996</v>
      </c>
      <c r="AF35" s="3">
        <v>306</v>
      </c>
      <c r="AG35" s="3">
        <v>1033</v>
      </c>
      <c r="AH35" s="3">
        <v>461</v>
      </c>
      <c r="AI35" s="3">
        <v>299</v>
      </c>
      <c r="AJ35" s="3">
        <v>103</v>
      </c>
      <c r="AK35" s="3">
        <v>373</v>
      </c>
      <c r="AL35" s="3">
        <v>533</v>
      </c>
      <c r="AM35" s="3">
        <f>Table1[[#This Row],[W]]*$BX$18</f>
        <v>48.884</v>
      </c>
      <c r="AN35" s="3">
        <f>Table1[[#This Row],[L]]*$BY$18</f>
        <v>-13.986000000000001</v>
      </c>
      <c r="AO35" s="3">
        <f>Table1[[#This Row],[W-L%]]*$BZ$18</f>
        <v>151.79984819999999</v>
      </c>
      <c r="AP35" s="3">
        <f>Table1[[#This Row],[SRS]]*$CA$18</f>
        <v>-7.8166220000000006</v>
      </c>
      <c r="AQ35" s="3">
        <f>1.5*Table1[[#This Row],[SOS]]</f>
        <v>-12.36</v>
      </c>
      <c r="AR35">
        <f>Table1[[#This Row],[Conf. W]]*$CC$18</f>
        <v>46.2</v>
      </c>
      <c r="AS35">
        <f>Table1[[#This Row],[Conf. L]]*$CD$18</f>
        <v>-15.4</v>
      </c>
      <c r="AT35">
        <f>Table1[[#This Row],[HomeW]]*$CE$18</f>
        <v>10</v>
      </c>
      <c r="AU35">
        <f>Table1[[#This Row],[HomeL]]*$CF$18</f>
        <v>2</v>
      </c>
      <c r="AV35">
        <f>Table1[[#This Row],[AwayW]]*$CG$18</f>
        <v>14.998499999999998</v>
      </c>
      <c r="AW35">
        <f>Table1[[#This Row],[AwayL]]*$CH$18</f>
        <v>6.6659999999999995</v>
      </c>
      <c r="AX35">
        <f>Table1[[#This Row],[Tm.]]*$CI$18</f>
        <v>4480.4708000000001</v>
      </c>
      <c r="AY35">
        <f>$CJ$18*Table1[[#This Row],[Opp.]]</f>
        <v>-3205.5641100000003</v>
      </c>
      <c r="AZ35">
        <f>Table1[[#This Row],[MP]]*$CK$18</f>
        <v>1180</v>
      </c>
      <c r="BA35">
        <f>$CL$18*Table1[[#This Row],[FG]]</f>
        <v>1306.5</v>
      </c>
      <c r="BB35">
        <f>$CM$18*Table1[[#This Row],[FGA]]</f>
        <v>-2918.9124299999999</v>
      </c>
      <c r="BC35">
        <f>Table1[[#This Row],[FG%]]*$CN$18</f>
        <v>112.00000896</v>
      </c>
      <c r="BD35">
        <f>Table1[[#This Row],[3P]]*$CO$18</f>
        <v>619.93799999999999</v>
      </c>
      <c r="BE35">
        <f>$CP$18*Table1[[#This Row],[3PA]]</f>
        <v>-778</v>
      </c>
      <c r="BF35">
        <f>Table1[[#This Row],[3P%]]*$CQ$18</f>
        <v>118.47010769999999</v>
      </c>
      <c r="BG35">
        <f>$CR$18*Table1[[#This Row],[FT]]</f>
        <v>184.7313</v>
      </c>
      <c r="BH35">
        <f>$CS$18*Table1[[#This Row],[FTA]]</f>
        <v>261.5711</v>
      </c>
      <c r="BI35">
        <f>Table1[[#This Row],[FT%]]*$CT$18</f>
        <v>260.10522600000002</v>
      </c>
      <c r="BJ35">
        <f>Table1[[#This Row],[ORB]]*$CU$18</f>
        <v>815.91840000000002</v>
      </c>
      <c r="BK35">
        <f>Table1[[#This Row],[TRB]]*$CV$18</f>
        <v>2361.1074400000002</v>
      </c>
      <c r="BL35">
        <f>$CW$18*Table1[[#This Row],[AST]]</f>
        <v>599.28616999999997</v>
      </c>
      <c r="BM35">
        <f>Table1[[#This Row],[STL]]</f>
        <v>299</v>
      </c>
      <c r="BN35">
        <f>Table1[[#This Row],[BLK]]*$CY$18</f>
        <v>180.25</v>
      </c>
      <c r="BO35">
        <f>$CZ$18*Table1[[#This Row],[TOV]]</f>
        <v>-932.50746000000004</v>
      </c>
      <c r="BP35">
        <f>Table1[[#This Row],[PF]]*$DA$18</f>
        <v>592.16300000000001</v>
      </c>
      <c r="BQ35">
        <f>SUM(Table1[[#This Row],[SCW]:[SCPF]])</f>
        <v>5767.5132788600004</v>
      </c>
    </row>
    <row r="36" spans="1:69" x14ac:dyDescent="0.45">
      <c r="A36" s="3">
        <v>14</v>
      </c>
      <c r="B36" s="4" t="s">
        <v>52</v>
      </c>
      <c r="C36" s="3">
        <v>29</v>
      </c>
      <c r="D36" s="3">
        <v>23</v>
      </c>
      <c r="E36" s="3">
        <v>6</v>
      </c>
      <c r="F36" s="3">
        <v>0.79300000000000004</v>
      </c>
      <c r="G36" s="3">
        <v>4.0599999999999996</v>
      </c>
      <c r="H36" s="3">
        <v>-6.14</v>
      </c>
      <c r="I36" s="3"/>
      <c r="J36" s="3">
        <v>11</v>
      </c>
      <c r="K36" s="3">
        <v>2</v>
      </c>
      <c r="L36" s="3"/>
      <c r="M36" s="3">
        <v>13</v>
      </c>
      <c r="N36" s="3">
        <v>0</v>
      </c>
      <c r="O36" s="3"/>
      <c r="P36" s="3">
        <v>5</v>
      </c>
      <c r="Q36" s="3">
        <v>3</v>
      </c>
      <c r="R36" s="3"/>
      <c r="S36" s="3">
        <v>2157</v>
      </c>
      <c r="T36" s="3">
        <v>1739</v>
      </c>
      <c r="U36" s="3"/>
      <c r="V36" s="3">
        <v>1160</v>
      </c>
      <c r="W36" s="3">
        <v>782</v>
      </c>
      <c r="X36" s="3">
        <v>1605</v>
      </c>
      <c r="Y36" s="3">
        <v>0.48699999999999999</v>
      </c>
      <c r="Z36" s="3">
        <v>297</v>
      </c>
      <c r="AA36" s="3">
        <v>761</v>
      </c>
      <c r="AB36" s="3">
        <v>0.39</v>
      </c>
      <c r="AC36" s="3">
        <v>296</v>
      </c>
      <c r="AD36" s="3">
        <v>381</v>
      </c>
      <c r="AE36" s="3">
        <v>0.77700000000000002</v>
      </c>
      <c r="AF36" s="3">
        <v>202</v>
      </c>
      <c r="AG36" s="3">
        <v>971</v>
      </c>
      <c r="AH36" s="3">
        <v>458</v>
      </c>
      <c r="AI36" s="3">
        <v>135</v>
      </c>
      <c r="AJ36" s="3">
        <v>71</v>
      </c>
      <c r="AK36" s="3">
        <v>289</v>
      </c>
      <c r="AL36" s="3">
        <v>429</v>
      </c>
      <c r="AM36" s="3">
        <f>Table1[[#This Row],[W]]*$BX$18</f>
        <v>51.106000000000002</v>
      </c>
      <c r="AN36" s="3">
        <f>Table1[[#This Row],[L]]*$BY$18</f>
        <v>-11.988</v>
      </c>
      <c r="AO36" s="3">
        <f>Table1[[#This Row],[W-L%]]*$BZ$18</f>
        <v>158.5998414</v>
      </c>
      <c r="AP36" s="3">
        <f>Table1[[#This Row],[SRS]]*$CA$18</f>
        <v>11.841599</v>
      </c>
      <c r="AQ36" s="3">
        <f>1.5*Table1[[#This Row],[SOS]]</f>
        <v>-9.2099999999999991</v>
      </c>
      <c r="AR36">
        <f>Table1[[#This Row],[Conf. W]]*$CC$18</f>
        <v>33.880000000000003</v>
      </c>
      <c r="AS36">
        <f>Table1[[#This Row],[Conf. L]]*$CD$18</f>
        <v>-6.16</v>
      </c>
      <c r="AT36">
        <f>Table1[[#This Row],[HomeW]]*$CE$18</f>
        <v>13</v>
      </c>
      <c r="AU36">
        <f>Table1[[#This Row],[HomeL]]*$CF$18</f>
        <v>0</v>
      </c>
      <c r="AV36">
        <f>Table1[[#This Row],[AwayW]]*$CG$18</f>
        <v>8.3324999999999996</v>
      </c>
      <c r="AW36">
        <f>Table1[[#This Row],[AwayL]]*$CH$18</f>
        <v>4.9994999999999994</v>
      </c>
      <c r="AX36">
        <f>Table1[[#This Row],[Tm.]]*$CI$18</f>
        <v>4074.3573000000001</v>
      </c>
      <c r="AY36">
        <f>$CJ$18*Table1[[#This Row],[Opp.]]</f>
        <v>-2608.5521700000004</v>
      </c>
      <c r="AZ36">
        <f>Table1[[#This Row],[MP]]*$CK$18</f>
        <v>1160</v>
      </c>
      <c r="BA36">
        <f>$CL$18*Table1[[#This Row],[FG]]</f>
        <v>1173</v>
      </c>
      <c r="BB36">
        <f>$CM$18*Table1[[#This Row],[FGA]]</f>
        <v>-2407.4277750000001</v>
      </c>
      <c r="BC36">
        <f>Table1[[#This Row],[FG%]]*$CN$18</f>
        <v>121.75000974</v>
      </c>
      <c r="BD36">
        <f>Table1[[#This Row],[3P]]*$CO$18</f>
        <v>659.93399999999997</v>
      </c>
      <c r="BE36">
        <f>$CP$18*Table1[[#This Row],[3PA]]</f>
        <v>-761</v>
      </c>
      <c r="BF36">
        <f>Table1[[#This Row],[3P%]]*$CQ$18</f>
        <v>128.70011700000001</v>
      </c>
      <c r="BG36">
        <f>$CR$18*Table1[[#This Row],[FT]]</f>
        <v>155.78479999999999</v>
      </c>
      <c r="BH36">
        <f>$CS$18*Table1[[#This Row],[FTA]]</f>
        <v>200.52029999999999</v>
      </c>
      <c r="BI36">
        <f>Table1[[#This Row],[FT%]]*$CT$18</f>
        <v>286.26311700000002</v>
      </c>
      <c r="BJ36">
        <f>Table1[[#This Row],[ORB]]*$CU$18</f>
        <v>538.61279999999999</v>
      </c>
      <c r="BK36">
        <f>Table1[[#This Row],[TRB]]*$CV$18</f>
        <v>2219.3952800000002</v>
      </c>
      <c r="BL36">
        <f>$CW$18*Table1[[#This Row],[AST]]</f>
        <v>595.38625999999988</v>
      </c>
      <c r="BM36">
        <f>Table1[[#This Row],[STL]]</f>
        <v>135</v>
      </c>
      <c r="BN36">
        <f>Table1[[#This Row],[BLK]]*$CY$18</f>
        <v>124.25</v>
      </c>
      <c r="BO36">
        <f>$CZ$18*Table1[[#This Row],[TOV]]</f>
        <v>-722.50578000000007</v>
      </c>
      <c r="BP36">
        <f>Table1[[#This Row],[PF]]*$DA$18</f>
        <v>476.61899999999997</v>
      </c>
      <c r="BQ36">
        <f>SUM(Table1[[#This Row],[SCW]:[SCPF]])</f>
        <v>5804.488699139999</v>
      </c>
    </row>
    <row r="37" spans="1:69" x14ac:dyDescent="0.45">
      <c r="A37" s="3">
        <v>16</v>
      </c>
      <c r="B37" s="4" t="s">
        <v>54</v>
      </c>
      <c r="C37" s="3">
        <v>31</v>
      </c>
      <c r="D37" s="3">
        <v>23</v>
      </c>
      <c r="E37" s="3">
        <v>8</v>
      </c>
      <c r="F37" s="3">
        <v>0.74199999999999999</v>
      </c>
      <c r="G37" s="3">
        <v>-0.95</v>
      </c>
      <c r="H37" s="3">
        <v>-4.33</v>
      </c>
      <c r="I37" s="3"/>
      <c r="J37" s="3">
        <v>17</v>
      </c>
      <c r="K37" s="3">
        <v>3</v>
      </c>
      <c r="L37" s="3"/>
      <c r="M37" s="3">
        <v>12</v>
      </c>
      <c r="N37" s="3">
        <v>1</v>
      </c>
      <c r="O37" s="3"/>
      <c r="P37" s="3">
        <v>8</v>
      </c>
      <c r="Q37" s="3">
        <v>5</v>
      </c>
      <c r="R37" s="3"/>
      <c r="S37" s="3">
        <v>2132</v>
      </c>
      <c r="T37" s="3">
        <v>1986</v>
      </c>
      <c r="U37" s="3"/>
      <c r="V37" s="3">
        <v>1250</v>
      </c>
      <c r="W37" s="3">
        <v>765</v>
      </c>
      <c r="X37" s="3">
        <v>1651</v>
      </c>
      <c r="Y37" s="3">
        <v>0.46300000000000002</v>
      </c>
      <c r="Z37" s="3">
        <v>205</v>
      </c>
      <c r="AA37" s="3">
        <v>579</v>
      </c>
      <c r="AB37" s="3">
        <v>0.35399999999999998</v>
      </c>
      <c r="AC37" s="3">
        <v>397</v>
      </c>
      <c r="AD37" s="3">
        <v>584</v>
      </c>
      <c r="AE37" s="3">
        <v>0.68</v>
      </c>
      <c r="AF37" s="3">
        <v>316</v>
      </c>
      <c r="AG37" s="3">
        <v>1155</v>
      </c>
      <c r="AH37" s="3">
        <v>397</v>
      </c>
      <c r="AI37" s="3">
        <v>136</v>
      </c>
      <c r="AJ37" s="3">
        <v>155</v>
      </c>
      <c r="AK37" s="3">
        <v>477</v>
      </c>
      <c r="AL37" s="3">
        <v>446</v>
      </c>
      <c r="AM37" s="3">
        <f>Table1[[#This Row],[W]]*$BX$18</f>
        <v>51.106000000000002</v>
      </c>
      <c r="AN37" s="3">
        <f>Table1[[#This Row],[L]]*$BY$18</f>
        <v>-15.984</v>
      </c>
      <c r="AO37" s="3">
        <f>Table1[[#This Row],[W-L%]]*$BZ$18</f>
        <v>148.39985160000001</v>
      </c>
      <c r="AP37" s="3">
        <f>Table1[[#This Row],[SRS]]*$CA$18</f>
        <v>-2.7708175000000002</v>
      </c>
      <c r="AQ37" s="3">
        <f>1.5*Table1[[#This Row],[SOS]]</f>
        <v>-6.4950000000000001</v>
      </c>
      <c r="AR37">
        <f>Table1[[#This Row],[Conf. W]]*$CC$18</f>
        <v>52.36</v>
      </c>
      <c r="AS37">
        <f>Table1[[#This Row],[Conf. L]]*$CD$18</f>
        <v>-9.24</v>
      </c>
      <c r="AT37">
        <f>Table1[[#This Row],[HomeW]]*$CE$18</f>
        <v>12</v>
      </c>
      <c r="AU37">
        <f>Table1[[#This Row],[HomeL]]*$CF$18</f>
        <v>1</v>
      </c>
      <c r="AV37">
        <f>Table1[[#This Row],[AwayW]]*$CG$18</f>
        <v>13.331999999999999</v>
      </c>
      <c r="AW37">
        <f>Table1[[#This Row],[AwayL]]*$CH$18</f>
        <v>8.3324999999999996</v>
      </c>
      <c r="AX37">
        <f>Table1[[#This Row],[Tm.]]*$CI$18</f>
        <v>4027.1348000000003</v>
      </c>
      <c r="AY37">
        <f>$CJ$18*Table1[[#This Row],[Opp.]]</f>
        <v>-2979.0595800000006</v>
      </c>
      <c r="AZ37">
        <f>Table1[[#This Row],[MP]]*$CK$18</f>
        <v>1250</v>
      </c>
      <c r="BA37">
        <f>$CL$18*Table1[[#This Row],[FG]]</f>
        <v>1147.5</v>
      </c>
      <c r="BB37">
        <f>$CM$18*Table1[[#This Row],[FGA]]</f>
        <v>-2476.4257049999997</v>
      </c>
      <c r="BC37">
        <f>Table1[[#This Row],[FG%]]*$CN$18</f>
        <v>115.75000926000001</v>
      </c>
      <c r="BD37">
        <f>Table1[[#This Row],[3P]]*$CO$18</f>
        <v>455.51</v>
      </c>
      <c r="BE37">
        <f>$CP$18*Table1[[#This Row],[3PA]]</f>
        <v>-579</v>
      </c>
      <c r="BF37">
        <f>Table1[[#This Row],[3P%]]*$CQ$18</f>
        <v>116.82010619999998</v>
      </c>
      <c r="BG37">
        <f>$CR$18*Table1[[#This Row],[FT]]</f>
        <v>208.94110000000001</v>
      </c>
      <c r="BH37">
        <f>$CS$18*Table1[[#This Row],[FTA]]</f>
        <v>307.35919999999999</v>
      </c>
      <c r="BI37">
        <f>Table1[[#This Row],[FT%]]*$CT$18</f>
        <v>250.52628000000004</v>
      </c>
      <c r="BJ37">
        <f>Table1[[#This Row],[ORB]]*$CU$18</f>
        <v>842.58240000000001</v>
      </c>
      <c r="BK37">
        <f>Table1[[#This Row],[TRB]]*$CV$18</f>
        <v>2639.9604000000004</v>
      </c>
      <c r="BL37">
        <f>$CW$18*Table1[[#This Row],[AST]]</f>
        <v>516.08808999999997</v>
      </c>
      <c r="BM37">
        <f>Table1[[#This Row],[STL]]</f>
        <v>136</v>
      </c>
      <c r="BN37">
        <f>Table1[[#This Row],[BLK]]*$CY$18</f>
        <v>271.25</v>
      </c>
      <c r="BO37">
        <f>$CZ$18*Table1[[#This Row],[TOV]]</f>
        <v>-1192.50954</v>
      </c>
      <c r="BP37">
        <f>Table1[[#This Row],[PF]]*$DA$18</f>
        <v>495.50599999999997</v>
      </c>
      <c r="BQ37">
        <f>SUM(Table1[[#This Row],[SCW]:[SCPF]])</f>
        <v>5805.9740945600015</v>
      </c>
    </row>
    <row r="38" spans="1:69" x14ac:dyDescent="0.45">
      <c r="A38" s="3">
        <v>26</v>
      </c>
      <c r="B38" s="4" t="s">
        <v>62</v>
      </c>
      <c r="C38" s="3">
        <v>30</v>
      </c>
      <c r="D38" s="3">
        <v>21</v>
      </c>
      <c r="E38" s="3">
        <v>9</v>
      </c>
      <c r="F38" s="3">
        <v>0.7</v>
      </c>
      <c r="G38" s="3">
        <v>3.48</v>
      </c>
      <c r="H38" s="3">
        <v>-2.15</v>
      </c>
      <c r="I38" s="3"/>
      <c r="J38" s="3">
        <v>13</v>
      </c>
      <c r="K38" s="3">
        <v>5</v>
      </c>
      <c r="L38" s="3"/>
      <c r="M38" s="3">
        <v>7</v>
      </c>
      <c r="N38" s="3">
        <v>3</v>
      </c>
      <c r="O38" s="3"/>
      <c r="P38" s="3">
        <v>10</v>
      </c>
      <c r="Q38" s="3">
        <v>3</v>
      </c>
      <c r="R38" s="3"/>
      <c r="S38" s="3">
        <v>2189</v>
      </c>
      <c r="T38" s="3">
        <v>2020</v>
      </c>
      <c r="U38" s="3"/>
      <c r="V38" s="3">
        <v>1205</v>
      </c>
      <c r="W38" s="3">
        <v>822</v>
      </c>
      <c r="X38" s="3">
        <v>1954</v>
      </c>
      <c r="Y38" s="3">
        <v>0.42099999999999999</v>
      </c>
      <c r="Z38" s="3">
        <v>228</v>
      </c>
      <c r="AA38" s="3">
        <v>763</v>
      </c>
      <c r="AB38" s="3">
        <v>0.29899999999999999</v>
      </c>
      <c r="AC38" s="3">
        <v>317</v>
      </c>
      <c r="AD38" s="3">
        <v>464</v>
      </c>
      <c r="AE38" s="3">
        <v>0.68300000000000005</v>
      </c>
      <c r="AF38" s="3">
        <v>377</v>
      </c>
      <c r="AG38" s="3">
        <v>1174</v>
      </c>
      <c r="AH38" s="3">
        <v>370</v>
      </c>
      <c r="AI38" s="3">
        <v>224</v>
      </c>
      <c r="AJ38" s="3">
        <v>115</v>
      </c>
      <c r="AK38" s="3">
        <v>329</v>
      </c>
      <c r="AL38" s="3">
        <v>542</v>
      </c>
      <c r="AM38" s="3">
        <f>Table1[[#This Row],[W]]*$BX$18</f>
        <v>46.661999999999999</v>
      </c>
      <c r="AN38" s="3">
        <f>Table1[[#This Row],[L]]*$BY$18</f>
        <v>-17.981999999999999</v>
      </c>
      <c r="AO38" s="3">
        <f>Table1[[#This Row],[W-L%]]*$BZ$18</f>
        <v>139.99985999999998</v>
      </c>
      <c r="AP38" s="3">
        <f>Table1[[#This Row],[SRS]]*$CA$18</f>
        <v>10.149942000000001</v>
      </c>
      <c r="AQ38" s="3">
        <f>1.5*Table1[[#This Row],[SOS]]</f>
        <v>-3.2249999999999996</v>
      </c>
      <c r="AR38">
        <f>Table1[[#This Row],[Conf. W]]*$CC$18</f>
        <v>40.04</v>
      </c>
      <c r="AS38">
        <f>Table1[[#This Row],[Conf. L]]*$CD$18</f>
        <v>-15.4</v>
      </c>
      <c r="AT38">
        <f>Table1[[#This Row],[HomeW]]*$CE$18</f>
        <v>7</v>
      </c>
      <c r="AU38">
        <f>Table1[[#This Row],[HomeL]]*$CF$18</f>
        <v>3</v>
      </c>
      <c r="AV38">
        <f>Table1[[#This Row],[AwayW]]*$CG$18</f>
        <v>16.664999999999999</v>
      </c>
      <c r="AW38">
        <f>Table1[[#This Row],[AwayL]]*$CH$18</f>
        <v>4.9994999999999994</v>
      </c>
      <c r="AX38">
        <f>Table1[[#This Row],[Tm.]]*$CI$18</f>
        <v>4134.8020999999999</v>
      </c>
      <c r="AY38">
        <f>$CJ$18*Table1[[#This Row],[Opp.]]</f>
        <v>-3030.0606000000002</v>
      </c>
      <c r="AZ38">
        <f>Table1[[#This Row],[MP]]*$CK$18</f>
        <v>1205</v>
      </c>
      <c r="BA38">
        <f>$CL$18*Table1[[#This Row],[FG]]</f>
        <v>1233</v>
      </c>
      <c r="BB38">
        <f>$CM$18*Table1[[#This Row],[FGA]]</f>
        <v>-2930.9120699999999</v>
      </c>
      <c r="BC38">
        <f>Table1[[#This Row],[FG%]]*$CN$18</f>
        <v>105.25000842</v>
      </c>
      <c r="BD38">
        <f>Table1[[#This Row],[3P]]*$CO$18</f>
        <v>506.61599999999999</v>
      </c>
      <c r="BE38">
        <f>$CP$18*Table1[[#This Row],[3PA]]</f>
        <v>-763</v>
      </c>
      <c r="BF38">
        <f>Table1[[#This Row],[3P%]]*$CQ$18</f>
        <v>98.670089699999991</v>
      </c>
      <c r="BG38">
        <f>$CR$18*Table1[[#This Row],[FT]]</f>
        <v>166.83709999999999</v>
      </c>
      <c r="BH38">
        <f>$CS$18*Table1[[#This Row],[FTA]]</f>
        <v>244.20319999999998</v>
      </c>
      <c r="BI38">
        <f>Table1[[#This Row],[FT%]]*$CT$18</f>
        <v>251.63154300000005</v>
      </c>
      <c r="BJ38">
        <f>Table1[[#This Row],[ORB]]*$CU$18</f>
        <v>1005.2328</v>
      </c>
      <c r="BK38">
        <f>Table1[[#This Row],[TRB]]*$CV$18</f>
        <v>2683.38832</v>
      </c>
      <c r="BL38">
        <f>$CW$18*Table1[[#This Row],[AST]]</f>
        <v>480.98889999999994</v>
      </c>
      <c r="BM38">
        <f>Table1[[#This Row],[STL]]</f>
        <v>224</v>
      </c>
      <c r="BN38">
        <f>Table1[[#This Row],[BLK]]*$CY$18</f>
        <v>201.25</v>
      </c>
      <c r="BO38">
        <f>$CZ$18*Table1[[#This Row],[TOV]]</f>
        <v>-822.5065800000001</v>
      </c>
      <c r="BP38">
        <f>Table1[[#This Row],[PF]]*$DA$18</f>
        <v>602.16200000000003</v>
      </c>
      <c r="BQ38">
        <f>SUM(Table1[[#This Row],[SCW]:[SCPF]])</f>
        <v>5828.4621131200001</v>
      </c>
    </row>
    <row r="39" spans="1:69" x14ac:dyDescent="0.45">
      <c r="A39" s="3">
        <v>20</v>
      </c>
      <c r="B39" s="4" t="s">
        <v>37</v>
      </c>
      <c r="C39" s="3">
        <v>27</v>
      </c>
      <c r="D39" s="3">
        <v>22</v>
      </c>
      <c r="E39" s="3">
        <v>5</v>
      </c>
      <c r="F39" s="3">
        <v>0.81499999999999995</v>
      </c>
      <c r="G39" s="3">
        <v>7.8</v>
      </c>
      <c r="H39" s="3">
        <v>-2.08</v>
      </c>
      <c r="I39" s="3"/>
      <c r="J39" s="3">
        <v>15</v>
      </c>
      <c r="K39" s="3">
        <v>3</v>
      </c>
      <c r="L39" s="3"/>
      <c r="M39" s="3">
        <v>11</v>
      </c>
      <c r="N39" s="3">
        <v>0</v>
      </c>
      <c r="O39" s="3"/>
      <c r="P39" s="3">
        <v>8</v>
      </c>
      <c r="Q39" s="3">
        <v>4</v>
      </c>
      <c r="R39" s="3"/>
      <c r="S39" s="3">
        <v>2051</v>
      </c>
      <c r="T39" s="3">
        <v>1696</v>
      </c>
      <c r="U39" s="3"/>
      <c r="V39" s="3">
        <v>1090</v>
      </c>
      <c r="W39" s="3">
        <v>739</v>
      </c>
      <c r="X39" s="3">
        <v>1534</v>
      </c>
      <c r="Y39" s="3">
        <v>0.48199999999999998</v>
      </c>
      <c r="Z39" s="3">
        <v>181</v>
      </c>
      <c r="AA39" s="3">
        <v>522</v>
      </c>
      <c r="AB39" s="3">
        <v>0.34699999999999998</v>
      </c>
      <c r="AC39" s="3">
        <v>392</v>
      </c>
      <c r="AD39" s="3">
        <v>522</v>
      </c>
      <c r="AE39" s="3">
        <v>0.751</v>
      </c>
      <c r="AF39" s="3">
        <v>251</v>
      </c>
      <c r="AG39" s="3">
        <v>951</v>
      </c>
      <c r="AH39" s="3">
        <v>438</v>
      </c>
      <c r="AI39" s="3">
        <v>199</v>
      </c>
      <c r="AJ39" s="3">
        <v>75</v>
      </c>
      <c r="AK39" s="3">
        <v>294</v>
      </c>
      <c r="AL39" s="3">
        <v>429</v>
      </c>
      <c r="AM39" s="3">
        <f>Table1[[#This Row],[W]]*$BX$18</f>
        <v>48.884</v>
      </c>
      <c r="AN39" s="3">
        <f>Table1[[#This Row],[L]]*$BY$18</f>
        <v>-9.99</v>
      </c>
      <c r="AO39" s="3">
        <f>Table1[[#This Row],[W-L%]]*$BZ$18</f>
        <v>162.99983699999999</v>
      </c>
      <c r="AP39" s="3">
        <f>Table1[[#This Row],[SRS]]*$CA$18</f>
        <v>22.749870000000001</v>
      </c>
      <c r="AQ39" s="3">
        <f>1.5*Table1[[#This Row],[SOS]]</f>
        <v>-3.12</v>
      </c>
      <c r="AR39">
        <f>Table1[[#This Row],[Conf. W]]*$CC$18</f>
        <v>46.2</v>
      </c>
      <c r="AS39">
        <f>Table1[[#This Row],[Conf. L]]*$CD$18</f>
        <v>-9.24</v>
      </c>
      <c r="AT39">
        <f>Table1[[#This Row],[HomeW]]*$CE$18</f>
        <v>11</v>
      </c>
      <c r="AU39">
        <f>Table1[[#This Row],[HomeL]]*$CF$18</f>
        <v>0</v>
      </c>
      <c r="AV39">
        <f>Table1[[#This Row],[AwayW]]*$CG$18</f>
        <v>13.331999999999999</v>
      </c>
      <c r="AW39">
        <f>Table1[[#This Row],[AwayL]]*$CH$18</f>
        <v>6.6659999999999995</v>
      </c>
      <c r="AX39">
        <f>Table1[[#This Row],[Tm.]]*$CI$18</f>
        <v>3874.1339000000003</v>
      </c>
      <c r="AY39">
        <f>$CJ$18*Table1[[#This Row],[Opp.]]</f>
        <v>-2544.0508800000002</v>
      </c>
      <c r="AZ39">
        <f>Table1[[#This Row],[MP]]*$CK$18</f>
        <v>1090</v>
      </c>
      <c r="BA39">
        <f>$CL$18*Table1[[#This Row],[FG]]</f>
        <v>1108.5</v>
      </c>
      <c r="BB39">
        <f>$CM$18*Table1[[#This Row],[FGA]]</f>
        <v>-2300.9309699999999</v>
      </c>
      <c r="BC39">
        <f>Table1[[#This Row],[FG%]]*$CN$18</f>
        <v>120.50000964</v>
      </c>
      <c r="BD39">
        <f>Table1[[#This Row],[3P]]*$CO$18</f>
        <v>402.18200000000002</v>
      </c>
      <c r="BE39">
        <f>$CP$18*Table1[[#This Row],[3PA]]</f>
        <v>-522</v>
      </c>
      <c r="BF39">
        <f>Table1[[#This Row],[3P%]]*$CQ$18</f>
        <v>114.51010409999999</v>
      </c>
      <c r="BG39">
        <f>$CR$18*Table1[[#This Row],[FT]]</f>
        <v>206.30959999999999</v>
      </c>
      <c r="BH39">
        <f>$CS$18*Table1[[#This Row],[FTA]]</f>
        <v>274.72859999999997</v>
      </c>
      <c r="BI39">
        <f>Table1[[#This Row],[FT%]]*$CT$18</f>
        <v>276.68417100000005</v>
      </c>
      <c r="BJ39">
        <f>Table1[[#This Row],[ORB]]*$CU$18</f>
        <v>669.26639999999998</v>
      </c>
      <c r="BK39">
        <f>Table1[[#This Row],[TRB]]*$CV$18</f>
        <v>2173.6816800000001</v>
      </c>
      <c r="BL39">
        <f>$CW$18*Table1[[#This Row],[AST]]</f>
        <v>569.38685999999996</v>
      </c>
      <c r="BM39">
        <f>Table1[[#This Row],[STL]]</f>
        <v>199</v>
      </c>
      <c r="BN39">
        <f>Table1[[#This Row],[BLK]]*$CY$18</f>
        <v>131.25</v>
      </c>
      <c r="BO39">
        <f>$CZ$18*Table1[[#This Row],[TOV]]</f>
        <v>-735.00588000000005</v>
      </c>
      <c r="BP39">
        <f>Table1[[#This Row],[PF]]*$DA$18</f>
        <v>476.61899999999997</v>
      </c>
      <c r="BQ39">
        <f>SUM(Table1[[#This Row],[SCW]:[SCPF]])</f>
        <v>5874.2463017399996</v>
      </c>
    </row>
    <row r="40" spans="1:69" x14ac:dyDescent="0.45">
      <c r="A40" s="3">
        <v>25</v>
      </c>
      <c r="B40" s="4" t="s">
        <v>61</v>
      </c>
      <c r="C40" s="3">
        <v>30</v>
      </c>
      <c r="D40" s="3">
        <v>21</v>
      </c>
      <c r="E40" s="3">
        <v>9</v>
      </c>
      <c r="F40" s="3">
        <v>0.7</v>
      </c>
      <c r="G40" s="3">
        <v>15.29</v>
      </c>
      <c r="H40" s="3">
        <v>10.26</v>
      </c>
      <c r="I40" s="3"/>
      <c r="J40" s="3">
        <v>12</v>
      </c>
      <c r="K40" s="3">
        <v>6</v>
      </c>
      <c r="L40" s="3"/>
      <c r="M40" s="3">
        <v>14</v>
      </c>
      <c r="N40" s="3">
        <v>1</v>
      </c>
      <c r="O40" s="3"/>
      <c r="P40" s="3">
        <v>4</v>
      </c>
      <c r="Q40" s="3">
        <v>6</v>
      </c>
      <c r="R40" s="3"/>
      <c r="S40" s="3">
        <v>2191</v>
      </c>
      <c r="T40" s="3">
        <v>2010</v>
      </c>
      <c r="U40" s="3"/>
      <c r="V40" s="3">
        <v>1205</v>
      </c>
      <c r="W40" s="3">
        <v>789</v>
      </c>
      <c r="X40" s="3">
        <v>1809</v>
      </c>
      <c r="Y40" s="3">
        <v>0.436</v>
      </c>
      <c r="Z40" s="3">
        <v>227</v>
      </c>
      <c r="AA40" s="3">
        <v>663</v>
      </c>
      <c r="AB40" s="3">
        <v>0.34200000000000003</v>
      </c>
      <c r="AC40" s="3">
        <v>386</v>
      </c>
      <c r="AD40" s="3">
        <v>539</v>
      </c>
      <c r="AE40" s="3">
        <v>0.71599999999999997</v>
      </c>
      <c r="AF40" s="3">
        <v>333</v>
      </c>
      <c r="AG40" s="3">
        <v>1124</v>
      </c>
      <c r="AH40" s="3">
        <v>415</v>
      </c>
      <c r="AI40" s="3">
        <v>207</v>
      </c>
      <c r="AJ40" s="3">
        <v>119</v>
      </c>
      <c r="AK40" s="3">
        <v>359</v>
      </c>
      <c r="AL40" s="3">
        <v>460</v>
      </c>
      <c r="AM40" s="3">
        <f>Table1[[#This Row],[W]]*$BX$18</f>
        <v>46.661999999999999</v>
      </c>
      <c r="AN40" s="3">
        <f>Table1[[#This Row],[L]]*$BY$18</f>
        <v>-17.981999999999999</v>
      </c>
      <c r="AO40" s="3">
        <f>Table1[[#This Row],[W-L%]]*$BZ$18</f>
        <v>139.99985999999998</v>
      </c>
      <c r="AP40" s="3">
        <f>Table1[[#This Row],[SRS]]*$CA$18</f>
        <v>44.595578500000002</v>
      </c>
      <c r="AQ40" s="3">
        <f>1.5*Table1[[#This Row],[SOS]]</f>
        <v>15.39</v>
      </c>
      <c r="AR40">
        <f>Table1[[#This Row],[Conf. W]]*$CC$18</f>
        <v>36.96</v>
      </c>
      <c r="AS40">
        <f>Table1[[#This Row],[Conf. L]]*$CD$18</f>
        <v>-18.48</v>
      </c>
      <c r="AT40">
        <f>Table1[[#This Row],[HomeW]]*$CE$18</f>
        <v>14</v>
      </c>
      <c r="AU40">
        <f>Table1[[#This Row],[HomeL]]*$CF$18</f>
        <v>1</v>
      </c>
      <c r="AV40">
        <f>Table1[[#This Row],[AwayW]]*$CG$18</f>
        <v>6.6659999999999995</v>
      </c>
      <c r="AW40">
        <f>Table1[[#This Row],[AwayL]]*$CH$18</f>
        <v>9.9989999999999988</v>
      </c>
      <c r="AX40">
        <f>Table1[[#This Row],[Tm.]]*$CI$18</f>
        <v>4138.5798999999997</v>
      </c>
      <c r="AY40">
        <f>$CJ$18*Table1[[#This Row],[Opp.]]</f>
        <v>-3015.0603000000006</v>
      </c>
      <c r="AZ40">
        <f>Table1[[#This Row],[MP]]*$CK$18</f>
        <v>1205</v>
      </c>
      <c r="BA40">
        <f>$CL$18*Table1[[#This Row],[FG]]</f>
        <v>1183.5</v>
      </c>
      <c r="BB40">
        <f>$CM$18*Table1[[#This Row],[FGA]]</f>
        <v>-2713.4185950000001</v>
      </c>
      <c r="BC40">
        <f>Table1[[#This Row],[FG%]]*$CN$18</f>
        <v>109.00000872</v>
      </c>
      <c r="BD40">
        <f>Table1[[#This Row],[3P]]*$CO$18</f>
        <v>504.39400000000001</v>
      </c>
      <c r="BE40">
        <f>$CP$18*Table1[[#This Row],[3PA]]</f>
        <v>-663</v>
      </c>
      <c r="BF40">
        <f>Table1[[#This Row],[3P%]]*$CQ$18</f>
        <v>112.8601026</v>
      </c>
      <c r="BG40">
        <f>$CR$18*Table1[[#This Row],[FT]]</f>
        <v>203.15180000000001</v>
      </c>
      <c r="BH40">
        <f>$CS$18*Table1[[#This Row],[FTA]]</f>
        <v>283.67570000000001</v>
      </c>
      <c r="BI40">
        <f>Table1[[#This Row],[FT%]]*$CT$18</f>
        <v>263.78943600000002</v>
      </c>
      <c r="BJ40">
        <f>Table1[[#This Row],[ORB]]*$CU$18</f>
        <v>887.91120000000001</v>
      </c>
      <c r="BK40">
        <f>Table1[[#This Row],[TRB]]*$CV$18</f>
        <v>2569.1043200000004</v>
      </c>
      <c r="BL40">
        <f>$CW$18*Table1[[#This Row],[AST]]</f>
        <v>539.48754999999994</v>
      </c>
      <c r="BM40">
        <f>Table1[[#This Row],[STL]]</f>
        <v>207</v>
      </c>
      <c r="BN40">
        <f>Table1[[#This Row],[BLK]]*$CY$18</f>
        <v>208.25</v>
      </c>
      <c r="BO40">
        <f>$CZ$18*Table1[[#This Row],[TOV]]</f>
        <v>-897.50718000000006</v>
      </c>
      <c r="BP40">
        <f>Table1[[#This Row],[PF]]*$DA$18</f>
        <v>511.06</v>
      </c>
      <c r="BQ40">
        <f>SUM(Table1[[#This Row],[SCW]:[SCPF]])</f>
        <v>5916.5883808199987</v>
      </c>
    </row>
    <row r="41" spans="1:69" x14ac:dyDescent="0.45">
      <c r="A41" s="3">
        <v>28</v>
      </c>
      <c r="B41" s="4" t="s">
        <v>64</v>
      </c>
      <c r="C41" s="3">
        <v>30</v>
      </c>
      <c r="D41" s="3">
        <v>21</v>
      </c>
      <c r="E41" s="3">
        <v>9</v>
      </c>
      <c r="F41" s="3">
        <v>0.7</v>
      </c>
      <c r="G41" s="3">
        <v>13.65</v>
      </c>
      <c r="H41" s="3">
        <v>9.7799999999999994</v>
      </c>
      <c r="I41" s="3"/>
      <c r="J41" s="3">
        <v>11</v>
      </c>
      <c r="K41" s="3">
        <v>7</v>
      </c>
      <c r="L41" s="3"/>
      <c r="M41" s="3">
        <v>10</v>
      </c>
      <c r="N41" s="3">
        <v>3</v>
      </c>
      <c r="O41" s="3"/>
      <c r="P41" s="3">
        <v>8</v>
      </c>
      <c r="Q41" s="3">
        <v>4</v>
      </c>
      <c r="R41" s="3"/>
      <c r="S41" s="3">
        <v>2297</v>
      </c>
      <c r="T41" s="3">
        <v>2181</v>
      </c>
      <c r="U41" s="3"/>
      <c r="V41" s="3">
        <v>1225</v>
      </c>
      <c r="W41" s="3">
        <v>816</v>
      </c>
      <c r="X41" s="3">
        <v>1780</v>
      </c>
      <c r="Y41" s="3">
        <v>0.45800000000000002</v>
      </c>
      <c r="Z41" s="3">
        <v>190</v>
      </c>
      <c r="AA41" s="3">
        <v>573</v>
      </c>
      <c r="AB41" s="3">
        <v>0.33200000000000002</v>
      </c>
      <c r="AC41" s="3">
        <v>475</v>
      </c>
      <c r="AD41" s="3">
        <v>669</v>
      </c>
      <c r="AE41" s="3">
        <v>0.71</v>
      </c>
      <c r="AF41" s="3">
        <v>332</v>
      </c>
      <c r="AG41" s="3">
        <v>1150</v>
      </c>
      <c r="AH41" s="3">
        <v>385</v>
      </c>
      <c r="AI41" s="3">
        <v>224</v>
      </c>
      <c r="AJ41" s="3">
        <v>132</v>
      </c>
      <c r="AK41" s="3">
        <v>467</v>
      </c>
      <c r="AL41" s="3">
        <v>516</v>
      </c>
      <c r="AM41" s="3">
        <f>Table1[[#This Row],[W]]*$BX$18</f>
        <v>46.661999999999999</v>
      </c>
      <c r="AN41" s="3">
        <f>Table1[[#This Row],[L]]*$BY$18</f>
        <v>-17.981999999999999</v>
      </c>
      <c r="AO41" s="3">
        <f>Table1[[#This Row],[W-L%]]*$BZ$18</f>
        <v>139.99985999999998</v>
      </c>
      <c r="AP41" s="3">
        <f>Table1[[#This Row],[SRS]]*$CA$18</f>
        <v>39.812272500000006</v>
      </c>
      <c r="AQ41" s="3">
        <f>1.5*Table1[[#This Row],[SOS]]</f>
        <v>14.669999999999998</v>
      </c>
      <c r="AR41">
        <f>Table1[[#This Row],[Conf. W]]*$CC$18</f>
        <v>33.880000000000003</v>
      </c>
      <c r="AS41">
        <f>Table1[[#This Row],[Conf. L]]*$CD$18</f>
        <v>-21.560000000000002</v>
      </c>
      <c r="AT41">
        <f>Table1[[#This Row],[HomeW]]*$CE$18</f>
        <v>10</v>
      </c>
      <c r="AU41">
        <f>Table1[[#This Row],[HomeL]]*$CF$18</f>
        <v>3</v>
      </c>
      <c r="AV41">
        <f>Table1[[#This Row],[AwayW]]*$CG$18</f>
        <v>13.331999999999999</v>
      </c>
      <c r="AW41">
        <f>Table1[[#This Row],[AwayL]]*$CH$18</f>
        <v>6.6659999999999995</v>
      </c>
      <c r="AX41">
        <f>Table1[[#This Row],[Tm.]]*$CI$18</f>
        <v>4338.8033000000005</v>
      </c>
      <c r="AY41">
        <f>$CJ$18*Table1[[#This Row],[Opp.]]</f>
        <v>-3271.5654300000006</v>
      </c>
      <c r="AZ41">
        <f>Table1[[#This Row],[MP]]*$CK$18</f>
        <v>1225</v>
      </c>
      <c r="BA41">
        <f>$CL$18*Table1[[#This Row],[FG]]</f>
        <v>1224</v>
      </c>
      <c r="BB41">
        <f>$CM$18*Table1[[#This Row],[FGA]]</f>
        <v>-2669.9198999999999</v>
      </c>
      <c r="BC41">
        <f>Table1[[#This Row],[FG%]]*$CN$18</f>
        <v>114.50000916</v>
      </c>
      <c r="BD41">
        <f>Table1[[#This Row],[3P]]*$CO$18</f>
        <v>422.18</v>
      </c>
      <c r="BE41">
        <f>$CP$18*Table1[[#This Row],[3PA]]</f>
        <v>-573</v>
      </c>
      <c r="BF41">
        <f>Table1[[#This Row],[3P%]]*$CQ$18</f>
        <v>109.5600996</v>
      </c>
      <c r="BG41">
        <f>$CR$18*Table1[[#This Row],[FT]]</f>
        <v>249.99250000000001</v>
      </c>
      <c r="BH41">
        <f>$CS$18*Table1[[#This Row],[FTA]]</f>
        <v>352.09469999999999</v>
      </c>
      <c r="BI41">
        <f>Table1[[#This Row],[FT%]]*$CT$18</f>
        <v>261.57891000000001</v>
      </c>
      <c r="BJ41">
        <f>Table1[[#This Row],[ORB]]*$CU$18</f>
        <v>885.24479999999994</v>
      </c>
      <c r="BK41">
        <f>Table1[[#This Row],[TRB]]*$CV$18</f>
        <v>2628.5320000000002</v>
      </c>
      <c r="BL41">
        <f>$CW$18*Table1[[#This Row],[AST]]</f>
        <v>500.48844999999994</v>
      </c>
      <c r="BM41">
        <f>Table1[[#This Row],[STL]]</f>
        <v>224</v>
      </c>
      <c r="BN41">
        <f>Table1[[#This Row],[BLK]]*$CY$18</f>
        <v>231</v>
      </c>
      <c r="BO41">
        <f>$CZ$18*Table1[[#This Row],[TOV]]</f>
        <v>-1167.5093400000001</v>
      </c>
      <c r="BP41">
        <f>Table1[[#This Row],[PF]]*$DA$18</f>
        <v>573.27599999999995</v>
      </c>
      <c r="BQ41">
        <f>SUM(Table1[[#This Row],[SCW]:[SCPF]])</f>
        <v>5926.7362312599998</v>
      </c>
    </row>
    <row r="42" spans="1:69" x14ac:dyDescent="0.45">
      <c r="A42" s="3">
        <v>47</v>
      </c>
      <c r="B42" s="4" t="s">
        <v>41</v>
      </c>
      <c r="C42" s="3">
        <v>26</v>
      </c>
      <c r="D42" s="3">
        <v>18</v>
      </c>
      <c r="E42" s="3">
        <v>8</v>
      </c>
      <c r="F42" s="3">
        <v>0.69199999999999995</v>
      </c>
      <c r="G42" s="3">
        <v>-2.74</v>
      </c>
      <c r="H42" s="3">
        <v>-7.6</v>
      </c>
      <c r="I42" s="3"/>
      <c r="J42" s="3">
        <v>9</v>
      </c>
      <c r="K42" s="3">
        <v>5</v>
      </c>
      <c r="L42" s="3"/>
      <c r="M42" s="3">
        <v>12</v>
      </c>
      <c r="N42" s="3">
        <v>1</v>
      </c>
      <c r="O42" s="3"/>
      <c r="P42" s="3">
        <v>3</v>
      </c>
      <c r="Q42" s="3">
        <v>5</v>
      </c>
      <c r="R42" s="3"/>
      <c r="S42" s="3">
        <v>2067</v>
      </c>
      <c r="T42" s="3">
        <v>1773</v>
      </c>
      <c r="U42" s="3"/>
      <c r="V42" s="3">
        <v>1050</v>
      </c>
      <c r="W42" s="3">
        <v>732</v>
      </c>
      <c r="X42" s="3">
        <v>1604</v>
      </c>
      <c r="Y42" s="3">
        <v>0.45600000000000002</v>
      </c>
      <c r="Z42" s="3">
        <v>221</v>
      </c>
      <c r="AA42" s="3">
        <v>618</v>
      </c>
      <c r="AB42" s="3">
        <v>0.35799999999999998</v>
      </c>
      <c r="AC42" s="3">
        <v>382</v>
      </c>
      <c r="AD42" s="3">
        <v>533</v>
      </c>
      <c r="AE42" s="3">
        <v>0.71699999999999997</v>
      </c>
      <c r="AF42" s="3">
        <v>352</v>
      </c>
      <c r="AG42" s="3">
        <v>1130</v>
      </c>
      <c r="AH42" s="3">
        <v>404</v>
      </c>
      <c r="AI42" s="3">
        <v>213</v>
      </c>
      <c r="AJ42" s="3">
        <v>103</v>
      </c>
      <c r="AK42" s="3">
        <v>394</v>
      </c>
      <c r="AL42" s="3">
        <v>435</v>
      </c>
      <c r="AM42" s="3">
        <f>Table1[[#This Row],[W]]*$BX$18</f>
        <v>39.996000000000002</v>
      </c>
      <c r="AN42" s="3">
        <f>Table1[[#This Row],[L]]*$BY$18</f>
        <v>-15.984</v>
      </c>
      <c r="AO42" s="3">
        <f>Table1[[#This Row],[W-L%]]*$BZ$18</f>
        <v>138.39986159999998</v>
      </c>
      <c r="AP42" s="3">
        <f>Table1[[#This Row],[SRS]]*$CA$18</f>
        <v>-7.9916210000000012</v>
      </c>
      <c r="AQ42" s="3">
        <f>1.5*Table1[[#This Row],[SOS]]</f>
        <v>-11.399999999999999</v>
      </c>
      <c r="AR42">
        <f>Table1[[#This Row],[Conf. W]]*$CC$18</f>
        <v>27.72</v>
      </c>
      <c r="AS42">
        <f>Table1[[#This Row],[Conf. L]]*$CD$18</f>
        <v>-15.4</v>
      </c>
      <c r="AT42">
        <f>Table1[[#This Row],[HomeW]]*$CE$18</f>
        <v>12</v>
      </c>
      <c r="AU42">
        <f>Table1[[#This Row],[HomeL]]*$CF$18</f>
        <v>1</v>
      </c>
      <c r="AV42">
        <f>Table1[[#This Row],[AwayW]]*$CG$18</f>
        <v>4.9994999999999994</v>
      </c>
      <c r="AW42">
        <f>Table1[[#This Row],[AwayL]]*$CH$18</f>
        <v>8.3324999999999996</v>
      </c>
      <c r="AX42">
        <f>Table1[[#This Row],[Tm.]]*$CI$18</f>
        <v>3904.3562999999999</v>
      </c>
      <c r="AY42">
        <f>$CJ$18*Table1[[#This Row],[Opp.]]</f>
        <v>-2659.5531900000005</v>
      </c>
      <c r="AZ42">
        <f>Table1[[#This Row],[MP]]*$CK$18</f>
        <v>1050</v>
      </c>
      <c r="BA42">
        <f>$CL$18*Table1[[#This Row],[FG]]</f>
        <v>1098</v>
      </c>
      <c r="BB42">
        <f>$CM$18*Table1[[#This Row],[FGA]]</f>
        <v>-2405.9278199999999</v>
      </c>
      <c r="BC42">
        <f>Table1[[#This Row],[FG%]]*$CN$18</f>
        <v>114.00000912</v>
      </c>
      <c r="BD42">
        <f>Table1[[#This Row],[3P]]*$CO$18</f>
        <v>491.06200000000001</v>
      </c>
      <c r="BE42">
        <f>$CP$18*Table1[[#This Row],[3PA]]</f>
        <v>-618</v>
      </c>
      <c r="BF42">
        <f>Table1[[#This Row],[3P%]]*$CQ$18</f>
        <v>118.14010739999999</v>
      </c>
      <c r="BG42">
        <f>$CR$18*Table1[[#This Row],[FT]]</f>
        <v>201.04659999999998</v>
      </c>
      <c r="BH42">
        <f>$CS$18*Table1[[#This Row],[FTA]]</f>
        <v>280.5179</v>
      </c>
      <c r="BI42">
        <f>Table1[[#This Row],[FT%]]*$CT$18</f>
        <v>264.15785700000004</v>
      </c>
      <c r="BJ42">
        <f>Table1[[#This Row],[ORB]]*$CU$18</f>
        <v>938.57279999999992</v>
      </c>
      <c r="BK42">
        <f>Table1[[#This Row],[TRB]]*$CV$18</f>
        <v>2582.8184000000001</v>
      </c>
      <c r="BL42">
        <f>$CW$18*Table1[[#This Row],[AST]]</f>
        <v>525.18787999999995</v>
      </c>
      <c r="BM42">
        <f>Table1[[#This Row],[STL]]</f>
        <v>213</v>
      </c>
      <c r="BN42">
        <f>Table1[[#This Row],[BLK]]*$CY$18</f>
        <v>180.25</v>
      </c>
      <c r="BO42">
        <f>$CZ$18*Table1[[#This Row],[TOV]]</f>
        <v>-985.00788</v>
      </c>
      <c r="BP42">
        <f>Table1[[#This Row],[PF]]*$DA$18</f>
        <v>483.28499999999997</v>
      </c>
      <c r="BQ42">
        <f>SUM(Table1[[#This Row],[SCW]:[SCPF]])</f>
        <v>5957.5782041199991</v>
      </c>
    </row>
    <row r="43" spans="1:69" x14ac:dyDescent="0.45">
      <c r="A43" s="3">
        <v>19</v>
      </c>
      <c r="B43" s="4" t="s">
        <v>27</v>
      </c>
      <c r="C43" s="3">
        <v>29</v>
      </c>
      <c r="D43" s="3">
        <v>22</v>
      </c>
      <c r="E43" s="3">
        <v>7</v>
      </c>
      <c r="F43" s="3">
        <v>0.75900000000000001</v>
      </c>
      <c r="G43" s="3">
        <v>5.8</v>
      </c>
      <c r="H43" s="3">
        <v>-3.83</v>
      </c>
      <c r="I43" s="3"/>
      <c r="J43" s="3">
        <v>13</v>
      </c>
      <c r="K43" s="3">
        <v>5</v>
      </c>
      <c r="L43" s="3"/>
      <c r="M43" s="3">
        <v>15</v>
      </c>
      <c r="N43" s="3">
        <v>2</v>
      </c>
      <c r="O43" s="3"/>
      <c r="P43" s="3">
        <v>6</v>
      </c>
      <c r="Q43" s="3">
        <v>4</v>
      </c>
      <c r="R43" s="3"/>
      <c r="S43" s="3">
        <v>2105</v>
      </c>
      <c r="T43" s="3">
        <v>1748</v>
      </c>
      <c r="U43" s="3"/>
      <c r="V43" s="3">
        <v>1160</v>
      </c>
      <c r="W43" s="3">
        <v>788</v>
      </c>
      <c r="X43" s="3">
        <v>1746</v>
      </c>
      <c r="Y43" s="3">
        <v>0.45100000000000001</v>
      </c>
      <c r="Z43" s="3">
        <v>147</v>
      </c>
      <c r="AA43" s="3">
        <v>475</v>
      </c>
      <c r="AB43" s="3">
        <v>0.309</v>
      </c>
      <c r="AC43" s="3">
        <v>382</v>
      </c>
      <c r="AD43" s="3">
        <v>549</v>
      </c>
      <c r="AE43" s="3">
        <v>0.69599999999999995</v>
      </c>
      <c r="AF43" s="3">
        <v>311</v>
      </c>
      <c r="AG43" s="3">
        <v>1063</v>
      </c>
      <c r="AH43" s="3">
        <v>308</v>
      </c>
      <c r="AI43" s="3">
        <v>231</v>
      </c>
      <c r="AJ43" s="3">
        <v>121</v>
      </c>
      <c r="AK43" s="3">
        <v>304</v>
      </c>
      <c r="AL43" s="3">
        <v>441</v>
      </c>
      <c r="AM43" s="3">
        <f>Table1[[#This Row],[W]]*$BX$18</f>
        <v>48.884</v>
      </c>
      <c r="AN43" s="3">
        <f>Table1[[#This Row],[L]]*$BY$18</f>
        <v>-13.986000000000001</v>
      </c>
      <c r="AO43" s="3">
        <f>Table1[[#This Row],[W-L%]]*$BZ$18</f>
        <v>151.79984819999999</v>
      </c>
      <c r="AP43" s="3">
        <f>Table1[[#This Row],[SRS]]*$CA$18</f>
        <v>16.91657</v>
      </c>
      <c r="AQ43" s="3">
        <f>1.5*Table1[[#This Row],[SOS]]</f>
        <v>-5.7450000000000001</v>
      </c>
      <c r="AR43">
        <f>Table1[[#This Row],[Conf. W]]*$CC$18</f>
        <v>40.04</v>
      </c>
      <c r="AS43">
        <f>Table1[[#This Row],[Conf. L]]*$CD$18</f>
        <v>-15.4</v>
      </c>
      <c r="AT43">
        <f>Table1[[#This Row],[HomeW]]*$CE$18</f>
        <v>15</v>
      </c>
      <c r="AU43">
        <f>Table1[[#This Row],[HomeL]]*$CF$18</f>
        <v>2</v>
      </c>
      <c r="AV43">
        <f>Table1[[#This Row],[AwayW]]*$CG$18</f>
        <v>9.9989999999999988</v>
      </c>
      <c r="AW43">
        <f>Table1[[#This Row],[AwayL]]*$CH$18</f>
        <v>6.6659999999999995</v>
      </c>
      <c r="AX43">
        <f>Table1[[#This Row],[Tm.]]*$CI$18</f>
        <v>3976.1345000000001</v>
      </c>
      <c r="AY43">
        <f>$CJ$18*Table1[[#This Row],[Opp.]]</f>
        <v>-2622.0524400000004</v>
      </c>
      <c r="AZ43">
        <f>Table1[[#This Row],[MP]]*$CK$18</f>
        <v>1160</v>
      </c>
      <c r="BA43">
        <f>$CL$18*Table1[[#This Row],[FG]]</f>
        <v>1182</v>
      </c>
      <c r="BB43">
        <f>$CM$18*Table1[[#This Row],[FGA]]</f>
        <v>-2618.9214299999999</v>
      </c>
      <c r="BC43">
        <f>Table1[[#This Row],[FG%]]*$CN$18</f>
        <v>112.75000902000001</v>
      </c>
      <c r="BD43">
        <f>Table1[[#This Row],[3P]]*$CO$18</f>
        <v>326.63400000000001</v>
      </c>
      <c r="BE43">
        <f>$CP$18*Table1[[#This Row],[3PA]]</f>
        <v>-475</v>
      </c>
      <c r="BF43">
        <f>Table1[[#This Row],[3P%]]*$CQ$18</f>
        <v>101.9700927</v>
      </c>
      <c r="BG43">
        <f>$CR$18*Table1[[#This Row],[FT]]</f>
        <v>201.04659999999998</v>
      </c>
      <c r="BH43">
        <f>$CS$18*Table1[[#This Row],[FTA]]</f>
        <v>288.93869999999998</v>
      </c>
      <c r="BI43">
        <f>Table1[[#This Row],[FT%]]*$CT$18</f>
        <v>256.42101600000001</v>
      </c>
      <c r="BJ43">
        <f>Table1[[#This Row],[ORB]]*$CU$18</f>
        <v>829.25040000000001</v>
      </c>
      <c r="BK43">
        <f>Table1[[#This Row],[TRB]]*$CV$18</f>
        <v>2429.6778400000003</v>
      </c>
      <c r="BL43">
        <f>$CW$18*Table1[[#This Row],[AST]]</f>
        <v>400.39075999999994</v>
      </c>
      <c r="BM43">
        <f>Table1[[#This Row],[STL]]</f>
        <v>231</v>
      </c>
      <c r="BN43">
        <f>Table1[[#This Row],[BLK]]*$CY$18</f>
        <v>211.75</v>
      </c>
      <c r="BO43">
        <f>$CZ$18*Table1[[#This Row],[TOV]]</f>
        <v>-760.00608</v>
      </c>
      <c r="BP43">
        <f>Table1[[#This Row],[PF]]*$DA$18</f>
        <v>489.95100000000002</v>
      </c>
      <c r="BQ43">
        <f>SUM(Table1[[#This Row],[SCW]:[SCPF]])</f>
        <v>5978.10938592</v>
      </c>
    </row>
    <row r="44" spans="1:69" x14ac:dyDescent="0.45">
      <c r="A44" s="3">
        <v>21</v>
      </c>
      <c r="B44" s="4" t="s">
        <v>57</v>
      </c>
      <c r="C44" s="3">
        <v>31</v>
      </c>
      <c r="D44" s="3">
        <v>22</v>
      </c>
      <c r="E44" s="3">
        <v>9</v>
      </c>
      <c r="F44" s="3">
        <v>0.71</v>
      </c>
      <c r="G44" s="3">
        <v>16.28</v>
      </c>
      <c r="H44" s="3">
        <v>8.5399999999999991</v>
      </c>
      <c r="I44" s="3"/>
      <c r="J44" s="3">
        <v>14</v>
      </c>
      <c r="K44" s="3">
        <v>6</v>
      </c>
      <c r="L44" s="3"/>
      <c r="M44" s="3">
        <v>11</v>
      </c>
      <c r="N44" s="3">
        <v>3</v>
      </c>
      <c r="O44" s="3"/>
      <c r="P44" s="3">
        <v>7</v>
      </c>
      <c r="Q44" s="3">
        <v>4</v>
      </c>
      <c r="R44" s="3"/>
      <c r="S44" s="3">
        <v>2355</v>
      </c>
      <c r="T44" s="3">
        <v>2115</v>
      </c>
      <c r="U44" s="3"/>
      <c r="V44" s="3">
        <v>1250</v>
      </c>
      <c r="W44" s="3">
        <v>878</v>
      </c>
      <c r="X44" s="3">
        <v>1862</v>
      </c>
      <c r="Y44" s="3">
        <v>0.47199999999999998</v>
      </c>
      <c r="Z44" s="3">
        <v>293</v>
      </c>
      <c r="AA44" s="3">
        <v>811</v>
      </c>
      <c r="AB44" s="3">
        <v>0.36099999999999999</v>
      </c>
      <c r="AC44" s="3">
        <v>306</v>
      </c>
      <c r="AD44" s="3">
        <v>478</v>
      </c>
      <c r="AE44" s="3">
        <v>0.64</v>
      </c>
      <c r="AF44" s="3">
        <v>259</v>
      </c>
      <c r="AG44" s="3">
        <v>1108</v>
      </c>
      <c r="AH44" s="3">
        <v>485</v>
      </c>
      <c r="AI44" s="3">
        <v>216</v>
      </c>
      <c r="AJ44" s="3">
        <v>103</v>
      </c>
      <c r="AK44" s="3">
        <v>341</v>
      </c>
      <c r="AL44" s="3">
        <v>476</v>
      </c>
      <c r="AM44" s="3">
        <f>Table1[[#This Row],[W]]*$BX$18</f>
        <v>48.884</v>
      </c>
      <c r="AN44" s="3">
        <f>Table1[[#This Row],[L]]*$BY$18</f>
        <v>-17.981999999999999</v>
      </c>
      <c r="AO44" s="3">
        <f>Table1[[#This Row],[W-L%]]*$BZ$18</f>
        <v>141.99985799999999</v>
      </c>
      <c r="AP44" s="3">
        <f>Table1[[#This Row],[SRS]]*$CA$18</f>
        <v>47.483062000000004</v>
      </c>
      <c r="AQ44" s="3">
        <f>1.5*Table1[[#This Row],[SOS]]</f>
        <v>12.809999999999999</v>
      </c>
      <c r="AR44">
        <f>Table1[[#This Row],[Conf. W]]*$CC$18</f>
        <v>43.120000000000005</v>
      </c>
      <c r="AS44">
        <f>Table1[[#This Row],[Conf. L]]*$CD$18</f>
        <v>-18.48</v>
      </c>
      <c r="AT44">
        <f>Table1[[#This Row],[HomeW]]*$CE$18</f>
        <v>11</v>
      </c>
      <c r="AU44">
        <f>Table1[[#This Row],[HomeL]]*$CF$18</f>
        <v>3</v>
      </c>
      <c r="AV44">
        <f>Table1[[#This Row],[AwayW]]*$CG$18</f>
        <v>11.6655</v>
      </c>
      <c r="AW44">
        <f>Table1[[#This Row],[AwayL]]*$CH$18</f>
        <v>6.6659999999999995</v>
      </c>
      <c r="AX44">
        <f>Table1[[#This Row],[Tm.]]*$CI$18</f>
        <v>4448.3595000000005</v>
      </c>
      <c r="AY44">
        <f>$CJ$18*Table1[[#This Row],[Opp.]]</f>
        <v>-3172.5634500000006</v>
      </c>
      <c r="AZ44">
        <f>Table1[[#This Row],[MP]]*$CK$18</f>
        <v>1250</v>
      </c>
      <c r="BA44">
        <f>$CL$18*Table1[[#This Row],[FG]]</f>
        <v>1317</v>
      </c>
      <c r="BB44">
        <f>$CM$18*Table1[[#This Row],[FGA]]</f>
        <v>-2792.9162099999999</v>
      </c>
      <c r="BC44">
        <f>Table1[[#This Row],[FG%]]*$CN$18</f>
        <v>118.00000944</v>
      </c>
      <c r="BD44">
        <f>Table1[[#This Row],[3P]]*$CO$18</f>
        <v>651.04600000000005</v>
      </c>
      <c r="BE44">
        <f>$CP$18*Table1[[#This Row],[3PA]]</f>
        <v>-811</v>
      </c>
      <c r="BF44">
        <f>Table1[[#This Row],[3P%]]*$CQ$18</f>
        <v>119.13010829999999</v>
      </c>
      <c r="BG44">
        <f>$CR$18*Table1[[#This Row],[FT]]</f>
        <v>161.0478</v>
      </c>
      <c r="BH44">
        <f>$CS$18*Table1[[#This Row],[FTA]]</f>
        <v>251.57139999999998</v>
      </c>
      <c r="BI44">
        <f>Table1[[#This Row],[FT%]]*$CT$18</f>
        <v>235.78944000000004</v>
      </c>
      <c r="BJ44">
        <f>Table1[[#This Row],[ORB]]*$CU$18</f>
        <v>690.59759999999994</v>
      </c>
      <c r="BK44">
        <f>Table1[[#This Row],[TRB]]*$CV$18</f>
        <v>2532.5334400000002</v>
      </c>
      <c r="BL44">
        <f>$CW$18*Table1[[#This Row],[AST]]</f>
        <v>630.4854499999999</v>
      </c>
      <c r="BM44">
        <f>Table1[[#This Row],[STL]]</f>
        <v>216</v>
      </c>
      <c r="BN44">
        <f>Table1[[#This Row],[BLK]]*$CY$18</f>
        <v>180.25</v>
      </c>
      <c r="BO44">
        <f>$CZ$18*Table1[[#This Row],[TOV]]</f>
        <v>-852.50682000000006</v>
      </c>
      <c r="BP44">
        <f>Table1[[#This Row],[PF]]*$DA$18</f>
        <v>528.83600000000001</v>
      </c>
      <c r="BQ44">
        <f>SUM(Table1[[#This Row],[SCW]:[SCPF]])</f>
        <v>5991.826687740001</v>
      </c>
    </row>
    <row r="45" spans="1:69" x14ac:dyDescent="0.45">
      <c r="A45" s="3">
        <v>17</v>
      </c>
      <c r="B45" s="4" t="s">
        <v>55</v>
      </c>
      <c r="C45" s="3">
        <v>28</v>
      </c>
      <c r="D45" s="3">
        <v>23</v>
      </c>
      <c r="E45" s="3">
        <v>5</v>
      </c>
      <c r="F45" s="3">
        <v>0.82099999999999995</v>
      </c>
      <c r="G45" s="3">
        <v>14.36</v>
      </c>
      <c r="H45" s="3">
        <v>2.99</v>
      </c>
      <c r="I45" s="3"/>
      <c r="J45" s="3">
        <v>14</v>
      </c>
      <c r="K45" s="3">
        <v>3</v>
      </c>
      <c r="L45" s="3"/>
      <c r="M45" s="3">
        <v>13</v>
      </c>
      <c r="N45" s="3">
        <v>2</v>
      </c>
      <c r="O45" s="3"/>
      <c r="P45" s="3">
        <v>6</v>
      </c>
      <c r="Q45" s="3">
        <v>2</v>
      </c>
      <c r="R45" s="3"/>
      <c r="S45" s="3">
        <v>2062</v>
      </c>
      <c r="T45" s="3">
        <v>1713</v>
      </c>
      <c r="U45" s="3"/>
      <c r="V45" s="3">
        <v>1125</v>
      </c>
      <c r="W45" s="3">
        <v>719</v>
      </c>
      <c r="X45" s="3">
        <v>1596</v>
      </c>
      <c r="Y45" s="3">
        <v>0.45100000000000001</v>
      </c>
      <c r="Z45" s="3">
        <v>240</v>
      </c>
      <c r="AA45" s="3">
        <v>651</v>
      </c>
      <c r="AB45" s="3">
        <v>0.36899999999999999</v>
      </c>
      <c r="AC45" s="3">
        <v>384</v>
      </c>
      <c r="AD45" s="3">
        <v>534</v>
      </c>
      <c r="AE45" s="3">
        <v>0.71899999999999997</v>
      </c>
      <c r="AF45" s="3">
        <v>274</v>
      </c>
      <c r="AG45" s="3">
        <v>1003</v>
      </c>
      <c r="AH45" s="3">
        <v>390</v>
      </c>
      <c r="AI45" s="3">
        <v>229</v>
      </c>
      <c r="AJ45" s="3">
        <v>78</v>
      </c>
      <c r="AK45" s="3">
        <v>310</v>
      </c>
      <c r="AL45" s="3">
        <v>515</v>
      </c>
      <c r="AM45" s="3">
        <f>Table1[[#This Row],[W]]*$BX$18</f>
        <v>51.106000000000002</v>
      </c>
      <c r="AN45" s="3">
        <f>Table1[[#This Row],[L]]*$BY$18</f>
        <v>-9.99</v>
      </c>
      <c r="AO45" s="3">
        <f>Table1[[#This Row],[W-L%]]*$BZ$18</f>
        <v>164.19983579999999</v>
      </c>
      <c r="AP45" s="3">
        <f>Table1[[#This Row],[SRS]]*$CA$18</f>
        <v>41.883094</v>
      </c>
      <c r="AQ45" s="3">
        <f>1.5*Table1[[#This Row],[SOS]]</f>
        <v>4.4850000000000003</v>
      </c>
      <c r="AR45">
        <f>Table1[[#This Row],[Conf. W]]*$CC$18</f>
        <v>43.120000000000005</v>
      </c>
      <c r="AS45">
        <f>Table1[[#This Row],[Conf. L]]*$CD$18</f>
        <v>-9.24</v>
      </c>
      <c r="AT45">
        <f>Table1[[#This Row],[HomeW]]*$CE$18</f>
        <v>13</v>
      </c>
      <c r="AU45">
        <f>Table1[[#This Row],[HomeL]]*$CF$18</f>
        <v>2</v>
      </c>
      <c r="AV45">
        <f>Table1[[#This Row],[AwayW]]*$CG$18</f>
        <v>9.9989999999999988</v>
      </c>
      <c r="AW45">
        <f>Table1[[#This Row],[AwayL]]*$CH$18</f>
        <v>3.3329999999999997</v>
      </c>
      <c r="AX45">
        <f>Table1[[#This Row],[Tm.]]*$CI$18</f>
        <v>3894.9117999999999</v>
      </c>
      <c r="AY45">
        <f>$CJ$18*Table1[[#This Row],[Opp.]]</f>
        <v>-2569.5513900000005</v>
      </c>
      <c r="AZ45">
        <f>Table1[[#This Row],[MP]]*$CK$18</f>
        <v>1125</v>
      </c>
      <c r="BA45">
        <f>$CL$18*Table1[[#This Row],[FG]]</f>
        <v>1078.5</v>
      </c>
      <c r="BB45">
        <f>$CM$18*Table1[[#This Row],[FGA]]</f>
        <v>-2393.9281799999999</v>
      </c>
      <c r="BC45">
        <f>Table1[[#This Row],[FG%]]*$CN$18</f>
        <v>112.75000902000001</v>
      </c>
      <c r="BD45">
        <f>Table1[[#This Row],[3P]]*$CO$18</f>
        <v>533.28</v>
      </c>
      <c r="BE45">
        <f>$CP$18*Table1[[#This Row],[3PA]]</f>
        <v>-651</v>
      </c>
      <c r="BF45">
        <f>Table1[[#This Row],[3P%]]*$CQ$18</f>
        <v>121.77011069999999</v>
      </c>
      <c r="BG45">
        <f>$CR$18*Table1[[#This Row],[FT]]</f>
        <v>202.0992</v>
      </c>
      <c r="BH45">
        <f>$CS$18*Table1[[#This Row],[FTA]]</f>
        <v>281.04419999999999</v>
      </c>
      <c r="BI45">
        <f>Table1[[#This Row],[FT%]]*$CT$18</f>
        <v>264.894699</v>
      </c>
      <c r="BJ45">
        <f>Table1[[#This Row],[ORB]]*$CU$18</f>
        <v>730.59359999999992</v>
      </c>
      <c r="BK45">
        <f>Table1[[#This Row],[TRB]]*$CV$18</f>
        <v>2292.5370400000002</v>
      </c>
      <c r="BL45">
        <f>$CW$18*Table1[[#This Row],[AST]]</f>
        <v>506.98829999999992</v>
      </c>
      <c r="BM45">
        <f>Table1[[#This Row],[STL]]</f>
        <v>229</v>
      </c>
      <c r="BN45">
        <f>Table1[[#This Row],[BLK]]*$CY$18</f>
        <v>136.5</v>
      </c>
      <c r="BO45">
        <f>$CZ$18*Table1[[#This Row],[TOV]]</f>
        <v>-775.00620000000004</v>
      </c>
      <c r="BP45">
        <f>Table1[[#This Row],[PF]]*$DA$18</f>
        <v>572.16499999999996</v>
      </c>
      <c r="BQ45">
        <f>SUM(Table1[[#This Row],[SCW]:[SCPF]])</f>
        <v>6006.4441185199994</v>
      </c>
    </row>
    <row r="46" spans="1:69" x14ac:dyDescent="0.45">
      <c r="A46" s="3">
        <v>34</v>
      </c>
      <c r="B46" s="4" t="s">
        <v>68</v>
      </c>
      <c r="C46" s="3">
        <v>28</v>
      </c>
      <c r="D46" s="3">
        <v>20</v>
      </c>
      <c r="E46" s="3">
        <v>8</v>
      </c>
      <c r="F46" s="3">
        <v>0.71399999999999997</v>
      </c>
      <c r="G46" s="3">
        <v>13.81</v>
      </c>
      <c r="H46" s="3">
        <v>4.13</v>
      </c>
      <c r="I46" s="3"/>
      <c r="J46" s="3">
        <v>11</v>
      </c>
      <c r="K46" s="3">
        <v>4</v>
      </c>
      <c r="L46" s="3"/>
      <c r="M46" s="3">
        <v>10</v>
      </c>
      <c r="N46" s="3">
        <v>1</v>
      </c>
      <c r="O46" s="3"/>
      <c r="P46" s="3">
        <v>4</v>
      </c>
      <c r="Q46" s="3">
        <v>3</v>
      </c>
      <c r="R46" s="3"/>
      <c r="S46" s="3">
        <v>2027</v>
      </c>
      <c r="T46" s="3">
        <v>1756</v>
      </c>
      <c r="U46" s="3"/>
      <c r="V46" s="3">
        <v>1120</v>
      </c>
      <c r="W46" s="3">
        <v>737</v>
      </c>
      <c r="X46" s="3">
        <v>1661</v>
      </c>
      <c r="Y46" s="3">
        <v>0.44400000000000001</v>
      </c>
      <c r="Z46" s="3">
        <v>218</v>
      </c>
      <c r="AA46" s="3">
        <v>600</v>
      </c>
      <c r="AB46" s="3">
        <v>0.36299999999999999</v>
      </c>
      <c r="AC46" s="3">
        <v>335</v>
      </c>
      <c r="AD46" s="3">
        <v>543</v>
      </c>
      <c r="AE46" s="3">
        <v>0.61699999999999999</v>
      </c>
      <c r="AF46" s="3">
        <v>339</v>
      </c>
      <c r="AG46" s="3">
        <v>1121</v>
      </c>
      <c r="AH46" s="3">
        <v>447</v>
      </c>
      <c r="AI46" s="3">
        <v>248</v>
      </c>
      <c r="AJ46" s="3">
        <v>136</v>
      </c>
      <c r="AK46" s="3">
        <v>437</v>
      </c>
      <c r="AL46" s="3">
        <v>531</v>
      </c>
      <c r="AM46" s="3">
        <f>Table1[[#This Row],[W]]*$BX$18</f>
        <v>44.44</v>
      </c>
      <c r="AN46" s="3">
        <f>Table1[[#This Row],[L]]*$BY$18</f>
        <v>-15.984</v>
      </c>
      <c r="AO46" s="3">
        <f>Table1[[#This Row],[W-L%]]*$BZ$18</f>
        <v>142.79985719999999</v>
      </c>
      <c r="AP46" s="3">
        <f>Table1[[#This Row],[SRS]]*$CA$18</f>
        <v>40.278936500000007</v>
      </c>
      <c r="AQ46" s="3">
        <f>1.5*Table1[[#This Row],[SOS]]</f>
        <v>6.1950000000000003</v>
      </c>
      <c r="AR46">
        <f>Table1[[#This Row],[Conf. W]]*$CC$18</f>
        <v>33.880000000000003</v>
      </c>
      <c r="AS46">
        <f>Table1[[#This Row],[Conf. L]]*$CD$18</f>
        <v>-12.32</v>
      </c>
      <c r="AT46">
        <f>Table1[[#This Row],[HomeW]]*$CE$18</f>
        <v>10</v>
      </c>
      <c r="AU46">
        <f>Table1[[#This Row],[HomeL]]*$CF$18</f>
        <v>1</v>
      </c>
      <c r="AV46">
        <f>Table1[[#This Row],[AwayW]]*$CG$18</f>
        <v>6.6659999999999995</v>
      </c>
      <c r="AW46">
        <f>Table1[[#This Row],[AwayL]]*$CH$18</f>
        <v>4.9994999999999994</v>
      </c>
      <c r="AX46">
        <f>Table1[[#This Row],[Tm.]]*$CI$18</f>
        <v>3828.8002999999999</v>
      </c>
      <c r="AY46">
        <f>$CJ$18*Table1[[#This Row],[Opp.]]</f>
        <v>-2634.0526800000002</v>
      </c>
      <c r="AZ46">
        <f>Table1[[#This Row],[MP]]*$CK$18</f>
        <v>1120</v>
      </c>
      <c r="BA46">
        <f>$CL$18*Table1[[#This Row],[FG]]</f>
        <v>1105.5</v>
      </c>
      <c r="BB46">
        <f>$CM$18*Table1[[#This Row],[FGA]]</f>
        <v>-2491.4252550000001</v>
      </c>
      <c r="BC46">
        <f>Table1[[#This Row],[FG%]]*$CN$18</f>
        <v>111.00000888000001</v>
      </c>
      <c r="BD46">
        <f>Table1[[#This Row],[3P]]*$CO$18</f>
        <v>484.39600000000002</v>
      </c>
      <c r="BE46">
        <f>$CP$18*Table1[[#This Row],[3PA]]</f>
        <v>-600</v>
      </c>
      <c r="BF46">
        <f>Table1[[#This Row],[3P%]]*$CQ$18</f>
        <v>119.79010889999999</v>
      </c>
      <c r="BG46">
        <f>$CR$18*Table1[[#This Row],[FT]]</f>
        <v>176.31049999999999</v>
      </c>
      <c r="BH46">
        <f>$CS$18*Table1[[#This Row],[FTA]]</f>
        <v>285.78089999999997</v>
      </c>
      <c r="BI46">
        <f>Table1[[#This Row],[FT%]]*$CT$18</f>
        <v>227.31575700000002</v>
      </c>
      <c r="BJ46">
        <f>Table1[[#This Row],[ORB]]*$CU$18</f>
        <v>903.90959999999995</v>
      </c>
      <c r="BK46">
        <f>Table1[[#This Row],[TRB]]*$CV$18</f>
        <v>2562.24728</v>
      </c>
      <c r="BL46">
        <f>$CW$18*Table1[[#This Row],[AST]]</f>
        <v>581.08658999999989</v>
      </c>
      <c r="BM46">
        <f>Table1[[#This Row],[STL]]</f>
        <v>248</v>
      </c>
      <c r="BN46">
        <f>Table1[[#This Row],[BLK]]*$CY$18</f>
        <v>238</v>
      </c>
      <c r="BO46">
        <f>$CZ$18*Table1[[#This Row],[TOV]]</f>
        <v>-1092.50874</v>
      </c>
      <c r="BP46">
        <f>Table1[[#This Row],[PF]]*$DA$18</f>
        <v>589.94100000000003</v>
      </c>
      <c r="BQ46">
        <f>SUM(Table1[[#This Row],[SCW]:[SCPF]])</f>
        <v>6026.0466634799986</v>
      </c>
    </row>
    <row r="47" spans="1:69" x14ac:dyDescent="0.45">
      <c r="A47" s="3">
        <v>15</v>
      </c>
      <c r="B47" s="4" t="s">
        <v>53</v>
      </c>
      <c r="C47" s="3">
        <v>28</v>
      </c>
      <c r="D47" s="3">
        <v>23</v>
      </c>
      <c r="E47" s="3">
        <v>5</v>
      </c>
      <c r="F47" s="3">
        <v>0.82099999999999995</v>
      </c>
      <c r="G47" s="3">
        <v>22</v>
      </c>
      <c r="H47" s="3">
        <v>11.25</v>
      </c>
      <c r="I47" s="3"/>
      <c r="J47" s="3">
        <v>14</v>
      </c>
      <c r="K47" s="3">
        <v>3</v>
      </c>
      <c r="L47" s="3"/>
      <c r="M47" s="3">
        <v>13</v>
      </c>
      <c r="N47" s="3">
        <v>1</v>
      </c>
      <c r="O47" s="3"/>
      <c r="P47" s="3">
        <v>6</v>
      </c>
      <c r="Q47" s="3">
        <v>2</v>
      </c>
      <c r="R47" s="3"/>
      <c r="S47" s="3">
        <v>2123</v>
      </c>
      <c r="T47" s="3">
        <v>1822</v>
      </c>
      <c r="U47" s="3"/>
      <c r="V47" s="3">
        <v>1125</v>
      </c>
      <c r="W47" s="3">
        <v>771</v>
      </c>
      <c r="X47" s="3">
        <v>1598</v>
      </c>
      <c r="Y47" s="3">
        <v>0.48199999999999998</v>
      </c>
      <c r="Z47" s="3">
        <v>206</v>
      </c>
      <c r="AA47" s="3">
        <v>541</v>
      </c>
      <c r="AB47" s="3">
        <v>0.38100000000000001</v>
      </c>
      <c r="AC47" s="3">
        <v>373</v>
      </c>
      <c r="AD47" s="3">
        <v>485</v>
      </c>
      <c r="AE47" s="3">
        <v>0.76900000000000002</v>
      </c>
      <c r="AF47" s="3">
        <v>250</v>
      </c>
      <c r="AG47" s="3">
        <v>1049</v>
      </c>
      <c r="AH47" s="3">
        <v>443</v>
      </c>
      <c r="AI47" s="3">
        <v>120</v>
      </c>
      <c r="AJ47" s="3">
        <v>117</v>
      </c>
      <c r="AK47" s="3">
        <v>315</v>
      </c>
      <c r="AL47" s="3">
        <v>412</v>
      </c>
      <c r="AM47" s="3">
        <f>Table1[[#This Row],[W]]*$BX$18</f>
        <v>51.106000000000002</v>
      </c>
      <c r="AN47" s="3">
        <f>Table1[[#This Row],[L]]*$BY$18</f>
        <v>-9.99</v>
      </c>
      <c r="AO47" s="3">
        <f>Table1[[#This Row],[W-L%]]*$BZ$18</f>
        <v>164.19983579999999</v>
      </c>
      <c r="AP47" s="3">
        <f>Table1[[#This Row],[SRS]]*$CA$18</f>
        <v>64.166300000000007</v>
      </c>
      <c r="AQ47" s="3">
        <f>1.5*Table1[[#This Row],[SOS]]</f>
        <v>16.875</v>
      </c>
      <c r="AR47">
        <f>Table1[[#This Row],[Conf. W]]*$CC$18</f>
        <v>43.120000000000005</v>
      </c>
      <c r="AS47">
        <f>Table1[[#This Row],[Conf. L]]*$CD$18</f>
        <v>-9.24</v>
      </c>
      <c r="AT47">
        <f>Table1[[#This Row],[HomeW]]*$CE$18</f>
        <v>13</v>
      </c>
      <c r="AU47">
        <f>Table1[[#This Row],[HomeL]]*$CF$18</f>
        <v>1</v>
      </c>
      <c r="AV47">
        <f>Table1[[#This Row],[AwayW]]*$CG$18</f>
        <v>9.9989999999999988</v>
      </c>
      <c r="AW47">
        <f>Table1[[#This Row],[AwayL]]*$CH$18</f>
        <v>3.3329999999999997</v>
      </c>
      <c r="AX47">
        <f>Table1[[#This Row],[Tm.]]*$CI$18</f>
        <v>4010.1347000000001</v>
      </c>
      <c r="AY47">
        <f>$CJ$18*Table1[[#This Row],[Opp.]]</f>
        <v>-2733.0546600000002</v>
      </c>
      <c r="AZ47">
        <f>Table1[[#This Row],[MP]]*$CK$18</f>
        <v>1125</v>
      </c>
      <c r="BA47">
        <f>$CL$18*Table1[[#This Row],[FG]]</f>
        <v>1156.5</v>
      </c>
      <c r="BB47">
        <f>$CM$18*Table1[[#This Row],[FGA]]</f>
        <v>-2396.9280899999999</v>
      </c>
      <c r="BC47">
        <f>Table1[[#This Row],[FG%]]*$CN$18</f>
        <v>120.50000964</v>
      </c>
      <c r="BD47">
        <f>Table1[[#This Row],[3P]]*$CO$18</f>
        <v>457.73199999999997</v>
      </c>
      <c r="BE47">
        <f>$CP$18*Table1[[#This Row],[3PA]]</f>
        <v>-541</v>
      </c>
      <c r="BF47">
        <f>Table1[[#This Row],[3P%]]*$CQ$18</f>
        <v>125.7301143</v>
      </c>
      <c r="BG47">
        <f>$CR$18*Table1[[#This Row],[FT]]</f>
        <v>196.3099</v>
      </c>
      <c r="BH47">
        <f>$CS$18*Table1[[#This Row],[FTA]]</f>
        <v>255.25549999999998</v>
      </c>
      <c r="BI47">
        <f>Table1[[#This Row],[FT%]]*$CT$18</f>
        <v>283.31574900000004</v>
      </c>
      <c r="BJ47">
        <f>Table1[[#This Row],[ORB]]*$CU$18</f>
        <v>666.6</v>
      </c>
      <c r="BK47">
        <f>Table1[[#This Row],[TRB]]*$CV$18</f>
        <v>2397.67832</v>
      </c>
      <c r="BL47">
        <f>$CW$18*Table1[[#This Row],[AST]]</f>
        <v>575.88670999999988</v>
      </c>
      <c r="BM47">
        <f>Table1[[#This Row],[STL]]</f>
        <v>120</v>
      </c>
      <c r="BN47">
        <f>Table1[[#This Row],[BLK]]*$CY$18</f>
        <v>204.75</v>
      </c>
      <c r="BO47">
        <f>$CZ$18*Table1[[#This Row],[TOV]]</f>
        <v>-787.50630000000001</v>
      </c>
      <c r="BP47">
        <f>Table1[[#This Row],[PF]]*$DA$18</f>
        <v>457.73199999999997</v>
      </c>
      <c r="BQ47">
        <f>SUM(Table1[[#This Row],[SCW]:[SCPF]])</f>
        <v>6042.2050887399992</v>
      </c>
    </row>
    <row r="48" spans="1:69" x14ac:dyDescent="0.45">
      <c r="A48" s="17"/>
      <c r="B48" s="4" t="s">
        <v>89</v>
      </c>
      <c r="C48" s="3">
        <v>29</v>
      </c>
      <c r="D48" s="3">
        <v>18</v>
      </c>
      <c r="E48" s="3">
        <v>11</v>
      </c>
      <c r="F48" s="3">
        <v>0.621</v>
      </c>
      <c r="G48" s="3">
        <v>16.59</v>
      </c>
      <c r="H48" s="3">
        <v>7.28</v>
      </c>
      <c r="I48" s="3"/>
      <c r="J48" s="3">
        <v>9</v>
      </c>
      <c r="K48" s="3">
        <v>8</v>
      </c>
      <c r="L48" s="3"/>
      <c r="M48" s="3">
        <v>11</v>
      </c>
      <c r="N48" s="3">
        <v>4</v>
      </c>
      <c r="O48" s="3"/>
      <c r="P48" s="3">
        <v>5</v>
      </c>
      <c r="Q48" s="3">
        <v>4</v>
      </c>
      <c r="R48" s="3"/>
      <c r="S48" s="3">
        <v>2103</v>
      </c>
      <c r="T48" s="3">
        <v>1833</v>
      </c>
      <c r="U48" s="3"/>
      <c r="V48" s="3">
        <v>1170</v>
      </c>
      <c r="W48" s="3">
        <v>734</v>
      </c>
      <c r="X48" s="3">
        <v>1672</v>
      </c>
      <c r="Y48" s="3">
        <v>0.439</v>
      </c>
      <c r="Z48" s="3">
        <v>185</v>
      </c>
      <c r="AA48" s="3">
        <v>523</v>
      </c>
      <c r="AB48" s="3">
        <v>0.35399999999999998</v>
      </c>
      <c r="AC48" s="3">
        <v>450</v>
      </c>
      <c r="AD48" s="3">
        <v>634</v>
      </c>
      <c r="AE48" s="3">
        <v>0.71</v>
      </c>
      <c r="AF48" s="3">
        <v>333</v>
      </c>
      <c r="AG48" s="3">
        <v>1014</v>
      </c>
      <c r="AH48" s="3">
        <v>377</v>
      </c>
      <c r="AI48" s="3">
        <v>207</v>
      </c>
      <c r="AJ48" s="3">
        <v>116</v>
      </c>
      <c r="AK48" s="3">
        <v>313</v>
      </c>
      <c r="AL48" s="3">
        <v>502</v>
      </c>
      <c r="AM48" s="3">
        <f>Table1[[#This Row],[W]]*$BX$18</f>
        <v>39.996000000000002</v>
      </c>
      <c r="AN48" s="3">
        <f>Table1[[#This Row],[L]]*$BY$18</f>
        <v>-21.978000000000002</v>
      </c>
      <c r="AO48" s="3">
        <f>Table1[[#This Row],[W-L%]]*$BZ$18</f>
        <v>124.1998758</v>
      </c>
      <c r="AP48" s="3">
        <f>Table1[[#This Row],[SRS]]*$CA$18</f>
        <v>48.387223500000005</v>
      </c>
      <c r="AQ48" s="3">
        <f>1.5*Table1[[#This Row],[SOS]]</f>
        <v>10.92</v>
      </c>
      <c r="AR48">
        <f>Table1[[#This Row],[Conf. W]]*$CC$18</f>
        <v>27.72</v>
      </c>
      <c r="AS48">
        <f>Table1[[#This Row],[Conf. L]]*$CD$18</f>
        <v>-24.64</v>
      </c>
      <c r="AT48">
        <f>Table1[[#This Row],[HomeW]]*$CE$18</f>
        <v>11</v>
      </c>
      <c r="AU48">
        <f>Table1[[#This Row],[HomeL]]*$CF$18</f>
        <v>4</v>
      </c>
      <c r="AV48">
        <f>Table1[[#This Row],[AwayW]]*$CG$18</f>
        <v>8.3324999999999996</v>
      </c>
      <c r="AW48">
        <f>Table1[[#This Row],[AwayL]]*$CH$18</f>
        <v>6.6659999999999995</v>
      </c>
      <c r="AX48">
        <f>Table1[[#This Row],[Tm.]]*$CI$18</f>
        <v>3972.3567000000003</v>
      </c>
      <c r="AY48">
        <f>$CJ$18*Table1[[#This Row],[Opp.]]</f>
        <v>-2749.5549900000005</v>
      </c>
      <c r="AZ48">
        <f>Table1[[#This Row],[MP]]*$CK$18</f>
        <v>1170</v>
      </c>
      <c r="BA48">
        <f>$CL$18*Table1[[#This Row],[FG]]</f>
        <v>1101</v>
      </c>
      <c r="BB48">
        <f>$CM$18*Table1[[#This Row],[FGA]]</f>
        <v>-2507.9247599999999</v>
      </c>
      <c r="BC48">
        <f>Table1[[#This Row],[FG%]]*$CN$18</f>
        <v>109.75000878</v>
      </c>
      <c r="BD48">
        <f>Table1[[#This Row],[3P]]*$CO$18</f>
        <v>411.07</v>
      </c>
      <c r="BE48">
        <f>$CP$18*Table1[[#This Row],[3PA]]</f>
        <v>-523</v>
      </c>
      <c r="BF48">
        <f>Table1[[#This Row],[3P%]]*$CQ$18</f>
        <v>116.82010619999998</v>
      </c>
      <c r="BG48">
        <f>$CR$18*Table1[[#This Row],[FT]]</f>
        <v>236.83500000000001</v>
      </c>
      <c r="BH48">
        <f>$CS$18*Table1[[#This Row],[FTA]]</f>
        <v>333.67419999999998</v>
      </c>
      <c r="BI48">
        <f>Table1[[#This Row],[FT%]]*$CT$18</f>
        <v>261.57891000000001</v>
      </c>
      <c r="BJ48">
        <f>Table1[[#This Row],[ORB]]*$CU$18</f>
        <v>887.91120000000001</v>
      </c>
      <c r="BK48">
        <f>Table1[[#This Row],[TRB]]*$CV$18</f>
        <v>2317.6795200000001</v>
      </c>
      <c r="BL48">
        <f>$CW$18*Table1[[#This Row],[AST]]</f>
        <v>490.08868999999993</v>
      </c>
      <c r="BM48">
        <f>Table1[[#This Row],[STL]]</f>
        <v>207</v>
      </c>
      <c r="BN48">
        <f>Table1[[#This Row],[BLK]]*$CY$18</f>
        <v>203</v>
      </c>
      <c r="BO48">
        <f>$CZ$18*Table1[[#This Row],[TOV]]</f>
        <v>-782.50626</v>
      </c>
      <c r="BP48">
        <f>Table1[[#This Row],[PF]]*$DA$18</f>
        <v>557.72199999999998</v>
      </c>
      <c r="BQ48">
        <f>SUM(Table1[[#This Row],[SCW]:[SCPF]])</f>
        <v>6048.1039242799989</v>
      </c>
    </row>
    <row r="49" spans="1:69" x14ac:dyDescent="0.45">
      <c r="A49" s="3">
        <v>40</v>
      </c>
      <c r="B49" s="4" t="s">
        <v>72</v>
      </c>
      <c r="C49" s="3">
        <v>29</v>
      </c>
      <c r="D49" s="3">
        <v>19</v>
      </c>
      <c r="E49" s="3">
        <v>10</v>
      </c>
      <c r="F49" s="3">
        <v>0.65500000000000003</v>
      </c>
      <c r="G49" s="3">
        <v>15.7</v>
      </c>
      <c r="H49" s="3">
        <v>9.14</v>
      </c>
      <c r="I49" s="3"/>
      <c r="J49" s="3">
        <v>11</v>
      </c>
      <c r="K49" s="3">
        <v>6</v>
      </c>
      <c r="L49" s="3"/>
      <c r="M49" s="3">
        <v>11</v>
      </c>
      <c r="N49" s="3">
        <v>2</v>
      </c>
      <c r="O49" s="3"/>
      <c r="P49" s="3">
        <v>4</v>
      </c>
      <c r="Q49" s="3">
        <v>6</v>
      </c>
      <c r="R49" s="3"/>
      <c r="S49" s="3">
        <v>2371</v>
      </c>
      <c r="T49" s="3">
        <v>2181</v>
      </c>
      <c r="U49" s="3"/>
      <c r="V49" s="3">
        <v>1165</v>
      </c>
      <c r="W49" s="3">
        <v>836</v>
      </c>
      <c r="X49" s="3">
        <v>1823</v>
      </c>
      <c r="Y49" s="3">
        <v>0.45900000000000002</v>
      </c>
      <c r="Z49" s="3">
        <v>234</v>
      </c>
      <c r="AA49" s="3">
        <v>674</v>
      </c>
      <c r="AB49" s="3">
        <v>0.34699999999999998</v>
      </c>
      <c r="AC49" s="3">
        <v>465</v>
      </c>
      <c r="AD49" s="3">
        <v>619</v>
      </c>
      <c r="AE49" s="3">
        <v>0.751</v>
      </c>
      <c r="AF49" s="3">
        <v>330</v>
      </c>
      <c r="AG49" s="3">
        <v>1113</v>
      </c>
      <c r="AH49" s="3">
        <v>351</v>
      </c>
      <c r="AI49" s="3">
        <v>225</v>
      </c>
      <c r="AJ49" s="3">
        <v>85</v>
      </c>
      <c r="AK49" s="3">
        <v>329</v>
      </c>
      <c r="AL49" s="3">
        <v>505</v>
      </c>
      <c r="AM49" s="3">
        <f>Table1[[#This Row],[W]]*$BX$18</f>
        <v>42.217999999999996</v>
      </c>
      <c r="AN49" s="3">
        <f>Table1[[#This Row],[L]]*$BY$18</f>
        <v>-19.98</v>
      </c>
      <c r="AO49" s="3">
        <f>Table1[[#This Row],[W-L%]]*$BZ$18</f>
        <v>130.99986899999999</v>
      </c>
      <c r="AP49" s="3">
        <f>Table1[[#This Row],[SRS]]*$CA$18</f>
        <v>45.791404999999997</v>
      </c>
      <c r="AQ49" s="3">
        <f>1.5*Table1[[#This Row],[SOS]]</f>
        <v>13.71</v>
      </c>
      <c r="AR49">
        <f>Table1[[#This Row],[Conf. W]]*$CC$18</f>
        <v>33.880000000000003</v>
      </c>
      <c r="AS49">
        <f>Table1[[#This Row],[Conf. L]]*$CD$18</f>
        <v>-18.48</v>
      </c>
      <c r="AT49">
        <f>Table1[[#This Row],[HomeW]]*$CE$18</f>
        <v>11</v>
      </c>
      <c r="AU49">
        <f>Table1[[#This Row],[HomeL]]*$CF$18</f>
        <v>2</v>
      </c>
      <c r="AV49">
        <f>Table1[[#This Row],[AwayW]]*$CG$18</f>
        <v>6.6659999999999995</v>
      </c>
      <c r="AW49">
        <f>Table1[[#This Row],[AwayL]]*$CH$18</f>
        <v>9.9989999999999988</v>
      </c>
      <c r="AX49">
        <f>Table1[[#This Row],[Tm.]]*$CI$18</f>
        <v>4478.5819000000001</v>
      </c>
      <c r="AY49">
        <f>$CJ$18*Table1[[#This Row],[Opp.]]</f>
        <v>-3271.5654300000006</v>
      </c>
      <c r="AZ49">
        <f>Table1[[#This Row],[MP]]*$CK$18</f>
        <v>1165</v>
      </c>
      <c r="BA49">
        <f>$CL$18*Table1[[#This Row],[FG]]</f>
        <v>1254</v>
      </c>
      <c r="BB49">
        <f>$CM$18*Table1[[#This Row],[FGA]]</f>
        <v>-2734.4179649999996</v>
      </c>
      <c r="BC49">
        <f>Table1[[#This Row],[FG%]]*$CN$18</f>
        <v>114.75000918000001</v>
      </c>
      <c r="BD49">
        <f>Table1[[#This Row],[3P]]*$CO$18</f>
        <v>519.94799999999998</v>
      </c>
      <c r="BE49">
        <f>$CP$18*Table1[[#This Row],[3PA]]</f>
        <v>-674</v>
      </c>
      <c r="BF49">
        <f>Table1[[#This Row],[3P%]]*$CQ$18</f>
        <v>114.51010409999999</v>
      </c>
      <c r="BG49">
        <f>$CR$18*Table1[[#This Row],[FT]]</f>
        <v>244.7295</v>
      </c>
      <c r="BH49">
        <f>$CS$18*Table1[[#This Row],[FTA]]</f>
        <v>325.77969999999999</v>
      </c>
      <c r="BI49">
        <f>Table1[[#This Row],[FT%]]*$CT$18</f>
        <v>276.68417100000005</v>
      </c>
      <c r="BJ49">
        <f>Table1[[#This Row],[ORB]]*$CU$18</f>
        <v>879.91199999999992</v>
      </c>
      <c r="BK49">
        <f>Table1[[#This Row],[TRB]]*$CV$18</f>
        <v>2543.9618400000004</v>
      </c>
      <c r="BL49">
        <f>$CW$18*Table1[[#This Row],[AST]]</f>
        <v>456.28946999999994</v>
      </c>
      <c r="BM49">
        <f>Table1[[#This Row],[STL]]</f>
        <v>225</v>
      </c>
      <c r="BN49">
        <f>Table1[[#This Row],[BLK]]*$CY$18</f>
        <v>148.75</v>
      </c>
      <c r="BO49">
        <f>$CZ$18*Table1[[#This Row],[TOV]]</f>
        <v>-822.5065800000001</v>
      </c>
      <c r="BP49">
        <f>Table1[[#This Row],[PF]]*$DA$18</f>
        <v>561.05499999999995</v>
      </c>
      <c r="BQ49">
        <f>SUM(Table1[[#This Row],[SCW]:[SCPF]])</f>
        <v>6064.2659932800007</v>
      </c>
    </row>
    <row r="50" spans="1:69" x14ac:dyDescent="0.45">
      <c r="A50" s="3">
        <v>44</v>
      </c>
      <c r="B50" s="4" t="s">
        <v>76</v>
      </c>
      <c r="C50" s="3">
        <v>29</v>
      </c>
      <c r="D50" s="3">
        <v>19</v>
      </c>
      <c r="E50" s="3">
        <v>10</v>
      </c>
      <c r="F50" s="3">
        <v>0.65500000000000003</v>
      </c>
      <c r="G50" s="3">
        <v>15.36</v>
      </c>
      <c r="H50" s="3">
        <v>10.050000000000001</v>
      </c>
      <c r="I50" s="3"/>
      <c r="J50" s="3">
        <v>11</v>
      </c>
      <c r="K50" s="3">
        <v>6</v>
      </c>
      <c r="L50" s="3"/>
      <c r="M50" s="3">
        <v>8</v>
      </c>
      <c r="N50" s="3">
        <v>5</v>
      </c>
      <c r="O50" s="3"/>
      <c r="P50" s="3">
        <v>7</v>
      </c>
      <c r="Q50" s="3">
        <v>2</v>
      </c>
      <c r="R50" s="3"/>
      <c r="S50" s="3">
        <v>2243</v>
      </c>
      <c r="T50" s="3">
        <v>2089</v>
      </c>
      <c r="U50" s="3"/>
      <c r="V50" s="3">
        <v>1175</v>
      </c>
      <c r="W50" s="3">
        <v>769</v>
      </c>
      <c r="X50" s="3">
        <v>1793</v>
      </c>
      <c r="Y50" s="3">
        <v>0.42899999999999999</v>
      </c>
      <c r="Z50" s="3">
        <v>216</v>
      </c>
      <c r="AA50" s="3">
        <v>593</v>
      </c>
      <c r="AB50" s="3">
        <v>0.36399999999999999</v>
      </c>
      <c r="AC50" s="3">
        <v>489</v>
      </c>
      <c r="AD50" s="3">
        <v>680</v>
      </c>
      <c r="AE50" s="3">
        <v>0.71899999999999997</v>
      </c>
      <c r="AF50" s="3">
        <v>389</v>
      </c>
      <c r="AG50" s="3">
        <v>1097</v>
      </c>
      <c r="AH50" s="3">
        <v>407</v>
      </c>
      <c r="AI50" s="3">
        <v>220</v>
      </c>
      <c r="AJ50" s="3">
        <v>82</v>
      </c>
      <c r="AK50" s="3">
        <v>348</v>
      </c>
      <c r="AL50" s="3">
        <v>473</v>
      </c>
      <c r="AM50" s="3">
        <f>Table1[[#This Row],[W]]*$BX$18</f>
        <v>42.217999999999996</v>
      </c>
      <c r="AN50" s="3">
        <f>Table1[[#This Row],[L]]*$BY$18</f>
        <v>-19.98</v>
      </c>
      <c r="AO50" s="3">
        <f>Table1[[#This Row],[W-L%]]*$BZ$18</f>
        <v>130.99986899999999</v>
      </c>
      <c r="AP50" s="3">
        <f>Table1[[#This Row],[SRS]]*$CA$18</f>
        <v>44.799744000000004</v>
      </c>
      <c r="AQ50" s="3">
        <f>1.5*Table1[[#This Row],[SOS]]</f>
        <v>15.075000000000001</v>
      </c>
      <c r="AR50">
        <f>Table1[[#This Row],[Conf. W]]*$CC$18</f>
        <v>33.880000000000003</v>
      </c>
      <c r="AS50">
        <f>Table1[[#This Row],[Conf. L]]*$CD$18</f>
        <v>-18.48</v>
      </c>
      <c r="AT50">
        <f>Table1[[#This Row],[HomeW]]*$CE$18</f>
        <v>8</v>
      </c>
      <c r="AU50">
        <f>Table1[[#This Row],[HomeL]]*$CF$18</f>
        <v>5</v>
      </c>
      <c r="AV50">
        <f>Table1[[#This Row],[AwayW]]*$CG$18</f>
        <v>11.6655</v>
      </c>
      <c r="AW50">
        <f>Table1[[#This Row],[AwayL]]*$CH$18</f>
        <v>3.3329999999999997</v>
      </c>
      <c r="AX50">
        <f>Table1[[#This Row],[Tm.]]*$CI$18</f>
        <v>4236.8027000000002</v>
      </c>
      <c r="AY50">
        <f>$CJ$18*Table1[[#This Row],[Opp.]]</f>
        <v>-3133.5626700000003</v>
      </c>
      <c r="AZ50">
        <f>Table1[[#This Row],[MP]]*$CK$18</f>
        <v>1175</v>
      </c>
      <c r="BA50">
        <f>$CL$18*Table1[[#This Row],[FG]]</f>
        <v>1153.5</v>
      </c>
      <c r="BB50">
        <f>$CM$18*Table1[[#This Row],[FGA]]</f>
        <v>-2689.4193150000001</v>
      </c>
      <c r="BC50">
        <f>Table1[[#This Row],[FG%]]*$CN$18</f>
        <v>107.25000858</v>
      </c>
      <c r="BD50">
        <f>Table1[[#This Row],[3P]]*$CO$18</f>
        <v>479.952</v>
      </c>
      <c r="BE50">
        <f>$CP$18*Table1[[#This Row],[3PA]]</f>
        <v>-593</v>
      </c>
      <c r="BF50">
        <f>Table1[[#This Row],[3P%]]*$CQ$18</f>
        <v>120.12010919999999</v>
      </c>
      <c r="BG50">
        <f>$CR$18*Table1[[#This Row],[FT]]</f>
        <v>257.36070000000001</v>
      </c>
      <c r="BH50">
        <f>$CS$18*Table1[[#This Row],[FTA]]</f>
        <v>357.88400000000001</v>
      </c>
      <c r="BI50">
        <f>Table1[[#This Row],[FT%]]*$CT$18</f>
        <v>264.894699</v>
      </c>
      <c r="BJ50">
        <f>Table1[[#This Row],[ORB]]*$CU$18</f>
        <v>1037.2295999999999</v>
      </c>
      <c r="BK50">
        <f>Table1[[#This Row],[TRB]]*$CV$18</f>
        <v>2507.3909600000002</v>
      </c>
      <c r="BL50">
        <f>$CW$18*Table1[[#This Row],[AST]]</f>
        <v>529.08778999999993</v>
      </c>
      <c r="BM50">
        <f>Table1[[#This Row],[STL]]</f>
        <v>220</v>
      </c>
      <c r="BN50">
        <f>Table1[[#This Row],[BLK]]*$CY$18</f>
        <v>143.5</v>
      </c>
      <c r="BO50">
        <f>$CZ$18*Table1[[#This Row],[TOV]]</f>
        <v>-870.00696000000005</v>
      </c>
      <c r="BP50">
        <f>Table1[[#This Row],[PF]]*$DA$18</f>
        <v>525.50300000000004</v>
      </c>
      <c r="BQ50">
        <f>SUM(Table1[[#This Row],[SCW]:[SCPF]])</f>
        <v>6085.9977347799995</v>
      </c>
    </row>
    <row r="51" spans="1:69" x14ac:dyDescent="0.45">
      <c r="A51" s="17"/>
      <c r="B51" s="4" t="s">
        <v>60</v>
      </c>
      <c r="C51" s="3">
        <v>32</v>
      </c>
      <c r="D51" s="3">
        <v>22</v>
      </c>
      <c r="E51" s="3">
        <v>10</v>
      </c>
      <c r="F51" s="3">
        <v>0.68799999999999994</v>
      </c>
      <c r="G51" s="3">
        <v>16.3</v>
      </c>
      <c r="H51" s="3">
        <v>11.34</v>
      </c>
      <c r="I51" s="3"/>
      <c r="J51" s="3">
        <v>13</v>
      </c>
      <c r="K51" s="3">
        <v>6</v>
      </c>
      <c r="L51" s="3"/>
      <c r="M51" s="3">
        <v>11</v>
      </c>
      <c r="N51" s="3">
        <v>1</v>
      </c>
      <c r="O51" s="3"/>
      <c r="P51" s="3">
        <v>5</v>
      </c>
      <c r="Q51" s="3">
        <v>6</v>
      </c>
      <c r="R51" s="3"/>
      <c r="S51" s="3">
        <v>2349</v>
      </c>
      <c r="T51" s="3">
        <v>2190</v>
      </c>
      <c r="U51" s="3"/>
      <c r="V51" s="3">
        <v>1325</v>
      </c>
      <c r="W51" s="3">
        <v>856</v>
      </c>
      <c r="X51" s="3">
        <v>1855</v>
      </c>
      <c r="Y51" s="3">
        <v>0.46100000000000002</v>
      </c>
      <c r="Z51" s="3">
        <v>218</v>
      </c>
      <c r="AA51" s="3">
        <v>586</v>
      </c>
      <c r="AB51" s="3">
        <v>0.372</v>
      </c>
      <c r="AC51" s="3">
        <v>419</v>
      </c>
      <c r="AD51" s="3">
        <v>586</v>
      </c>
      <c r="AE51" s="3">
        <v>0.71499999999999997</v>
      </c>
      <c r="AF51" s="3">
        <v>312</v>
      </c>
      <c r="AG51" s="3">
        <v>1117</v>
      </c>
      <c r="AH51" s="3">
        <v>437</v>
      </c>
      <c r="AI51" s="3">
        <v>158</v>
      </c>
      <c r="AJ51" s="3">
        <v>89</v>
      </c>
      <c r="AK51" s="3">
        <v>336</v>
      </c>
      <c r="AL51" s="3">
        <v>514</v>
      </c>
      <c r="AM51" s="3">
        <f>Table1[[#This Row],[W]]*$BX$18</f>
        <v>48.884</v>
      </c>
      <c r="AN51" s="3">
        <f>Table1[[#This Row],[L]]*$BY$18</f>
        <v>-19.98</v>
      </c>
      <c r="AO51" s="3">
        <f>Table1[[#This Row],[W-L%]]*$BZ$18</f>
        <v>137.59986239999998</v>
      </c>
      <c r="AP51" s="3">
        <f>Table1[[#This Row],[SRS]]*$CA$18</f>
        <v>47.541395000000009</v>
      </c>
      <c r="AQ51" s="3">
        <f>1.5*Table1[[#This Row],[SOS]]</f>
        <v>17.009999999999998</v>
      </c>
      <c r="AR51">
        <f>Table1[[#This Row],[Conf. W]]*$CC$18</f>
        <v>40.04</v>
      </c>
      <c r="AS51">
        <f>Table1[[#This Row],[Conf. L]]*$CD$18</f>
        <v>-18.48</v>
      </c>
      <c r="AT51">
        <f>Table1[[#This Row],[HomeW]]*$CE$18</f>
        <v>11</v>
      </c>
      <c r="AU51">
        <f>Table1[[#This Row],[HomeL]]*$CF$18</f>
        <v>1</v>
      </c>
      <c r="AV51">
        <f>Table1[[#This Row],[AwayW]]*$CG$18</f>
        <v>8.3324999999999996</v>
      </c>
      <c r="AW51">
        <f>Table1[[#This Row],[AwayL]]*$CH$18</f>
        <v>9.9989999999999988</v>
      </c>
      <c r="AX51">
        <f>Table1[[#This Row],[Tm.]]*$CI$18</f>
        <v>4437.0261</v>
      </c>
      <c r="AY51">
        <f>$CJ$18*Table1[[#This Row],[Opp.]]</f>
        <v>-3285.0657000000006</v>
      </c>
      <c r="AZ51">
        <f>Table1[[#This Row],[MP]]*$CK$18</f>
        <v>1325</v>
      </c>
      <c r="BA51">
        <f>$CL$18*Table1[[#This Row],[FG]]</f>
        <v>1284</v>
      </c>
      <c r="BB51">
        <f>$CM$18*Table1[[#This Row],[FGA]]</f>
        <v>-2782.4165249999996</v>
      </c>
      <c r="BC51">
        <f>Table1[[#This Row],[FG%]]*$CN$18</f>
        <v>115.25000922000001</v>
      </c>
      <c r="BD51">
        <f>Table1[[#This Row],[3P]]*$CO$18</f>
        <v>484.39600000000002</v>
      </c>
      <c r="BE51">
        <f>$CP$18*Table1[[#This Row],[3PA]]</f>
        <v>-586</v>
      </c>
      <c r="BF51">
        <f>Table1[[#This Row],[3P%]]*$CQ$18</f>
        <v>122.76011159999999</v>
      </c>
      <c r="BG51">
        <f>$CR$18*Table1[[#This Row],[FT]]</f>
        <v>220.5197</v>
      </c>
      <c r="BH51">
        <f>$CS$18*Table1[[#This Row],[FTA]]</f>
        <v>308.41179999999997</v>
      </c>
      <c r="BI51">
        <f>Table1[[#This Row],[FT%]]*$CT$18</f>
        <v>263.42101500000001</v>
      </c>
      <c r="BJ51">
        <f>Table1[[#This Row],[ORB]]*$CU$18</f>
        <v>831.91679999999997</v>
      </c>
      <c r="BK51">
        <f>Table1[[#This Row],[TRB]]*$CV$18</f>
        <v>2553.1045600000002</v>
      </c>
      <c r="BL51">
        <f>$CW$18*Table1[[#This Row],[AST]]</f>
        <v>568.08688999999993</v>
      </c>
      <c r="BM51">
        <f>Table1[[#This Row],[STL]]</f>
        <v>158</v>
      </c>
      <c r="BN51">
        <f>Table1[[#This Row],[BLK]]*$CY$18</f>
        <v>155.75</v>
      </c>
      <c r="BO51">
        <f>$CZ$18*Table1[[#This Row],[TOV]]</f>
        <v>-840.00672000000009</v>
      </c>
      <c r="BP51">
        <f>Table1[[#This Row],[PF]]*$DA$18</f>
        <v>571.05399999999997</v>
      </c>
      <c r="BQ51">
        <f>SUM(Table1[[#This Row],[SCW]:[SCPF]])</f>
        <v>6188.1547982199991</v>
      </c>
    </row>
    <row r="52" spans="1:69" x14ac:dyDescent="0.45">
      <c r="A52" s="3">
        <v>30</v>
      </c>
      <c r="B52" s="4" t="s">
        <v>66</v>
      </c>
      <c r="C52" s="3">
        <v>30</v>
      </c>
      <c r="D52" s="3">
        <v>21</v>
      </c>
      <c r="E52" s="3">
        <v>9</v>
      </c>
      <c r="F52" s="3">
        <v>0.7</v>
      </c>
      <c r="G52" s="3">
        <v>6.59</v>
      </c>
      <c r="H52" s="3">
        <v>-1.88</v>
      </c>
      <c r="I52" s="3"/>
      <c r="J52" s="3">
        <v>15</v>
      </c>
      <c r="K52" s="3">
        <v>4</v>
      </c>
      <c r="L52" s="3"/>
      <c r="M52" s="3">
        <v>12</v>
      </c>
      <c r="N52" s="3">
        <v>1</v>
      </c>
      <c r="O52" s="3"/>
      <c r="P52" s="3">
        <v>7</v>
      </c>
      <c r="Q52" s="3">
        <v>5</v>
      </c>
      <c r="R52" s="3"/>
      <c r="S52" s="3">
        <v>2433</v>
      </c>
      <c r="T52" s="3">
        <v>2179</v>
      </c>
      <c r="U52" s="3"/>
      <c r="V52" s="3">
        <v>1215</v>
      </c>
      <c r="W52" s="3">
        <v>852</v>
      </c>
      <c r="X52" s="3">
        <v>1869</v>
      </c>
      <c r="Y52" s="3">
        <v>0.45600000000000002</v>
      </c>
      <c r="Z52" s="3">
        <v>314</v>
      </c>
      <c r="AA52" s="3">
        <v>843</v>
      </c>
      <c r="AB52" s="3">
        <v>0.372</v>
      </c>
      <c r="AC52" s="3">
        <v>415</v>
      </c>
      <c r="AD52" s="3">
        <v>532</v>
      </c>
      <c r="AE52" s="3">
        <v>0.78</v>
      </c>
      <c r="AF52" s="3">
        <v>322</v>
      </c>
      <c r="AG52" s="3">
        <v>1129</v>
      </c>
      <c r="AH52" s="3">
        <v>480</v>
      </c>
      <c r="AI52" s="3">
        <v>184</v>
      </c>
      <c r="AJ52" s="3">
        <v>74</v>
      </c>
      <c r="AK52" s="3">
        <v>332</v>
      </c>
      <c r="AL52" s="3">
        <v>458</v>
      </c>
      <c r="AM52" s="3">
        <f>Table1[[#This Row],[W]]*$BX$18</f>
        <v>46.661999999999999</v>
      </c>
      <c r="AN52" s="3">
        <f>Table1[[#This Row],[L]]*$BY$18</f>
        <v>-17.981999999999999</v>
      </c>
      <c r="AO52" s="3">
        <f>Table1[[#This Row],[W-L%]]*$BZ$18</f>
        <v>139.99985999999998</v>
      </c>
      <c r="AP52" s="3">
        <f>Table1[[#This Row],[SRS]]*$CA$18</f>
        <v>19.220723500000002</v>
      </c>
      <c r="AQ52" s="3">
        <f>1.5*Table1[[#This Row],[SOS]]</f>
        <v>-2.82</v>
      </c>
      <c r="AR52">
        <f>Table1[[#This Row],[Conf. W]]*$CC$18</f>
        <v>46.2</v>
      </c>
      <c r="AS52">
        <f>Table1[[#This Row],[Conf. L]]*$CD$18</f>
        <v>-12.32</v>
      </c>
      <c r="AT52">
        <f>Table1[[#This Row],[HomeW]]*$CE$18</f>
        <v>12</v>
      </c>
      <c r="AU52">
        <f>Table1[[#This Row],[HomeL]]*$CF$18</f>
        <v>1</v>
      </c>
      <c r="AV52">
        <f>Table1[[#This Row],[AwayW]]*$CG$18</f>
        <v>11.6655</v>
      </c>
      <c r="AW52">
        <f>Table1[[#This Row],[AwayL]]*$CH$18</f>
        <v>8.3324999999999996</v>
      </c>
      <c r="AX52">
        <f>Table1[[#This Row],[Tm.]]*$CI$18</f>
        <v>4595.6936999999998</v>
      </c>
      <c r="AY52">
        <f>$CJ$18*Table1[[#This Row],[Opp.]]</f>
        <v>-3268.5653700000003</v>
      </c>
      <c r="AZ52">
        <f>Table1[[#This Row],[MP]]*$CK$18</f>
        <v>1215</v>
      </c>
      <c r="BA52">
        <f>$CL$18*Table1[[#This Row],[FG]]</f>
        <v>1278</v>
      </c>
      <c r="BB52">
        <f>$CM$18*Table1[[#This Row],[FGA]]</f>
        <v>-2803.4158950000001</v>
      </c>
      <c r="BC52">
        <f>Table1[[#This Row],[FG%]]*$CN$18</f>
        <v>114.00000912</v>
      </c>
      <c r="BD52">
        <f>Table1[[#This Row],[3P]]*$CO$18</f>
        <v>697.70799999999997</v>
      </c>
      <c r="BE52">
        <f>$CP$18*Table1[[#This Row],[3PA]]</f>
        <v>-843</v>
      </c>
      <c r="BF52">
        <f>Table1[[#This Row],[3P%]]*$CQ$18</f>
        <v>122.76011159999999</v>
      </c>
      <c r="BG52">
        <f>$CR$18*Table1[[#This Row],[FT]]</f>
        <v>218.4145</v>
      </c>
      <c r="BH52">
        <f>$CS$18*Table1[[#This Row],[FTA]]</f>
        <v>279.99160000000001</v>
      </c>
      <c r="BI52">
        <f>Table1[[#This Row],[FT%]]*$CT$18</f>
        <v>287.36838000000006</v>
      </c>
      <c r="BJ52">
        <f>Table1[[#This Row],[ORB]]*$CU$18</f>
        <v>858.58079999999995</v>
      </c>
      <c r="BK52">
        <f>Table1[[#This Row],[TRB]]*$CV$18</f>
        <v>2580.5327200000002</v>
      </c>
      <c r="BL52">
        <f>$CW$18*Table1[[#This Row],[AST]]</f>
        <v>623.98559999999998</v>
      </c>
      <c r="BM52">
        <f>Table1[[#This Row],[STL]]</f>
        <v>184</v>
      </c>
      <c r="BN52">
        <f>Table1[[#This Row],[BLK]]*$CY$18</f>
        <v>129.5</v>
      </c>
      <c r="BO52">
        <f>$CZ$18*Table1[[#This Row],[TOV]]</f>
        <v>-830.00664000000006</v>
      </c>
      <c r="BP52">
        <f>Table1[[#This Row],[PF]]*$DA$18</f>
        <v>508.83800000000002</v>
      </c>
      <c r="BQ52">
        <f>SUM(Table1[[#This Row],[SCW]:[SCPF]])</f>
        <v>6201.3440992199994</v>
      </c>
    </row>
    <row r="53" spans="1:69" x14ac:dyDescent="0.45">
      <c r="A53" s="3">
        <v>5</v>
      </c>
      <c r="B53" s="4" t="s">
        <v>33</v>
      </c>
      <c r="C53" s="3">
        <v>30</v>
      </c>
      <c r="D53" s="3">
        <v>26</v>
      </c>
      <c r="E53" s="3">
        <v>4</v>
      </c>
      <c r="F53" s="3">
        <v>0.86699999999999999</v>
      </c>
      <c r="G53" s="3">
        <v>3.46</v>
      </c>
      <c r="H53" s="3">
        <v>-8.7100000000000009</v>
      </c>
      <c r="I53" s="3"/>
      <c r="J53" s="3">
        <v>18</v>
      </c>
      <c r="K53" s="3">
        <v>2</v>
      </c>
      <c r="L53" s="3"/>
      <c r="M53" s="3">
        <v>11</v>
      </c>
      <c r="N53" s="3">
        <v>1</v>
      </c>
      <c r="O53" s="3"/>
      <c r="P53" s="3">
        <v>10</v>
      </c>
      <c r="Q53" s="3">
        <v>2</v>
      </c>
      <c r="R53" s="3"/>
      <c r="S53" s="3">
        <v>2439</v>
      </c>
      <c r="T53" s="3">
        <v>2074</v>
      </c>
      <c r="U53" s="3"/>
      <c r="V53" s="3">
        <v>1205</v>
      </c>
      <c r="W53" s="3">
        <v>894</v>
      </c>
      <c r="X53" s="3">
        <v>1829</v>
      </c>
      <c r="Y53" s="3">
        <v>0.48899999999999999</v>
      </c>
      <c r="Z53" s="3">
        <v>271</v>
      </c>
      <c r="AA53" s="3">
        <v>787</v>
      </c>
      <c r="AB53" s="3">
        <v>0.34399999999999997</v>
      </c>
      <c r="AC53" s="3">
        <v>380</v>
      </c>
      <c r="AD53" s="3">
        <v>515</v>
      </c>
      <c r="AE53" s="3">
        <v>0.73799999999999999</v>
      </c>
      <c r="AF53" s="3">
        <v>264</v>
      </c>
      <c r="AG53" s="3">
        <v>1072</v>
      </c>
      <c r="AH53" s="3">
        <v>547</v>
      </c>
      <c r="AI53" s="3">
        <v>232</v>
      </c>
      <c r="AJ53" s="3">
        <v>87</v>
      </c>
      <c r="AK53" s="3">
        <v>361</v>
      </c>
      <c r="AL53" s="3">
        <v>438</v>
      </c>
      <c r="AM53" s="3">
        <f>Table1[[#This Row],[W]]*$BX$18</f>
        <v>57.771999999999998</v>
      </c>
      <c r="AN53" s="3">
        <f>Table1[[#This Row],[L]]*$BY$18</f>
        <v>-7.992</v>
      </c>
      <c r="AO53" s="3">
        <f>Table1[[#This Row],[W-L%]]*$BZ$18</f>
        <v>173.39982659999998</v>
      </c>
      <c r="AP53" s="3">
        <f>Table1[[#This Row],[SRS]]*$CA$18</f>
        <v>10.091609</v>
      </c>
      <c r="AQ53" s="3">
        <f>1.5*Table1[[#This Row],[SOS]]</f>
        <v>-13.065000000000001</v>
      </c>
      <c r="AR53">
        <f>Table1[[#This Row],[Conf. W]]*$CC$18</f>
        <v>55.44</v>
      </c>
      <c r="AS53">
        <f>Table1[[#This Row],[Conf. L]]*$CD$18</f>
        <v>-6.16</v>
      </c>
      <c r="AT53">
        <f>Table1[[#This Row],[HomeW]]*$CE$18</f>
        <v>11</v>
      </c>
      <c r="AU53">
        <f>Table1[[#This Row],[HomeL]]*$CF$18</f>
        <v>1</v>
      </c>
      <c r="AV53">
        <f>Table1[[#This Row],[AwayW]]*$CG$18</f>
        <v>16.664999999999999</v>
      </c>
      <c r="AW53">
        <f>Table1[[#This Row],[AwayL]]*$CH$18</f>
        <v>3.3329999999999997</v>
      </c>
      <c r="AX53">
        <f>Table1[[#This Row],[Tm.]]*$CI$18</f>
        <v>4607.0271000000002</v>
      </c>
      <c r="AY53">
        <f>$CJ$18*Table1[[#This Row],[Opp.]]</f>
        <v>-3111.0622200000003</v>
      </c>
      <c r="AZ53">
        <f>Table1[[#This Row],[MP]]*$CK$18</f>
        <v>1205</v>
      </c>
      <c r="BA53">
        <f>$CL$18*Table1[[#This Row],[FG]]</f>
        <v>1341</v>
      </c>
      <c r="BB53">
        <f>$CM$18*Table1[[#This Row],[FGA]]</f>
        <v>-2743.4176950000001</v>
      </c>
      <c r="BC53">
        <f>Table1[[#This Row],[FG%]]*$CN$18</f>
        <v>122.25000978</v>
      </c>
      <c r="BD53">
        <f>Table1[[#This Row],[3P]]*$CO$18</f>
        <v>602.16200000000003</v>
      </c>
      <c r="BE53">
        <f>$CP$18*Table1[[#This Row],[3PA]]</f>
        <v>-787</v>
      </c>
      <c r="BF53">
        <f>Table1[[#This Row],[3P%]]*$CQ$18</f>
        <v>113.52010319999998</v>
      </c>
      <c r="BG53">
        <f>$CR$18*Table1[[#This Row],[FT]]</f>
        <v>199.994</v>
      </c>
      <c r="BH53">
        <f>$CS$18*Table1[[#This Row],[FTA]]</f>
        <v>271.04449999999997</v>
      </c>
      <c r="BI53">
        <f>Table1[[#This Row],[FT%]]*$CT$18</f>
        <v>271.89469800000001</v>
      </c>
      <c r="BJ53">
        <f>Table1[[#This Row],[ORB]]*$CU$18</f>
        <v>703.92959999999994</v>
      </c>
      <c r="BK53">
        <f>Table1[[#This Row],[TRB]]*$CV$18</f>
        <v>2450.2489600000004</v>
      </c>
      <c r="BL53">
        <f>$CW$18*Table1[[#This Row],[AST]]</f>
        <v>711.08358999999996</v>
      </c>
      <c r="BM53">
        <f>Table1[[#This Row],[STL]]</f>
        <v>232</v>
      </c>
      <c r="BN53">
        <f>Table1[[#This Row],[BLK]]*$CY$18</f>
        <v>152.25</v>
      </c>
      <c r="BO53">
        <f>$CZ$18*Table1[[#This Row],[TOV]]</f>
        <v>-902.50722000000007</v>
      </c>
      <c r="BP53">
        <f>Table1[[#This Row],[PF]]*$DA$18</f>
        <v>486.61799999999999</v>
      </c>
      <c r="BQ53">
        <f>SUM(Table1[[#This Row],[SCW]:[SCPF]])</f>
        <v>6227.5198615800009</v>
      </c>
    </row>
    <row r="54" spans="1:69" x14ac:dyDescent="0.45">
      <c r="A54" s="3">
        <v>35</v>
      </c>
      <c r="B54" s="4" t="s">
        <v>69</v>
      </c>
      <c r="C54" s="3">
        <v>33</v>
      </c>
      <c r="D54" s="3">
        <v>20</v>
      </c>
      <c r="E54" s="3">
        <v>13</v>
      </c>
      <c r="F54" s="3">
        <v>0.60599999999999998</v>
      </c>
      <c r="G54" s="3">
        <v>11.48</v>
      </c>
      <c r="H54" s="3">
        <v>10.82</v>
      </c>
      <c r="I54" s="3"/>
      <c r="J54" s="3">
        <v>10</v>
      </c>
      <c r="K54" s="3">
        <v>10</v>
      </c>
      <c r="L54" s="3"/>
      <c r="M54" s="3">
        <v>10</v>
      </c>
      <c r="N54" s="3">
        <v>6</v>
      </c>
      <c r="O54" s="3"/>
      <c r="P54" s="3">
        <v>4</v>
      </c>
      <c r="Q54" s="3">
        <v>6</v>
      </c>
      <c r="R54" s="3"/>
      <c r="S54" s="3">
        <v>2325</v>
      </c>
      <c r="T54" s="3">
        <v>2232</v>
      </c>
      <c r="U54" s="3"/>
      <c r="V54" s="3">
        <v>1330</v>
      </c>
      <c r="W54" s="3">
        <v>803</v>
      </c>
      <c r="X54" s="3">
        <v>1842</v>
      </c>
      <c r="Y54" s="3">
        <v>0.436</v>
      </c>
      <c r="Z54" s="3">
        <v>230</v>
      </c>
      <c r="AA54" s="3">
        <v>645</v>
      </c>
      <c r="AB54" s="3">
        <v>0.35699999999999998</v>
      </c>
      <c r="AC54" s="3">
        <v>489</v>
      </c>
      <c r="AD54" s="3">
        <v>642</v>
      </c>
      <c r="AE54" s="3">
        <v>0.76200000000000001</v>
      </c>
      <c r="AF54" s="3">
        <v>334</v>
      </c>
      <c r="AG54" s="3">
        <v>1133</v>
      </c>
      <c r="AH54" s="3">
        <v>480</v>
      </c>
      <c r="AI54" s="3">
        <v>191</v>
      </c>
      <c r="AJ54" s="3">
        <v>116</v>
      </c>
      <c r="AK54" s="3">
        <v>383</v>
      </c>
      <c r="AL54" s="3">
        <v>620</v>
      </c>
      <c r="AM54" s="3">
        <f>Table1[[#This Row],[W]]*$BX$18</f>
        <v>44.44</v>
      </c>
      <c r="AN54" s="3">
        <f>Table1[[#This Row],[L]]*$BY$18</f>
        <v>-25.974</v>
      </c>
      <c r="AO54" s="3">
        <f>Table1[[#This Row],[W-L%]]*$BZ$18</f>
        <v>121.19987879999999</v>
      </c>
      <c r="AP54" s="3">
        <f>Table1[[#This Row],[SRS]]*$CA$18</f>
        <v>33.483142000000001</v>
      </c>
      <c r="AQ54" s="3">
        <f>1.5*Table1[[#This Row],[SOS]]</f>
        <v>16.23</v>
      </c>
      <c r="AR54">
        <f>Table1[[#This Row],[Conf. W]]*$CC$18</f>
        <v>30.8</v>
      </c>
      <c r="AS54">
        <f>Table1[[#This Row],[Conf. L]]*$CD$18</f>
        <v>-30.8</v>
      </c>
      <c r="AT54">
        <f>Table1[[#This Row],[HomeW]]*$CE$18</f>
        <v>10</v>
      </c>
      <c r="AU54">
        <f>Table1[[#This Row],[HomeL]]*$CF$18</f>
        <v>6</v>
      </c>
      <c r="AV54">
        <f>Table1[[#This Row],[AwayW]]*$CG$18</f>
        <v>6.6659999999999995</v>
      </c>
      <c r="AW54">
        <f>Table1[[#This Row],[AwayL]]*$CH$18</f>
        <v>9.9989999999999988</v>
      </c>
      <c r="AX54">
        <f>Table1[[#This Row],[Tm.]]*$CI$18</f>
        <v>4391.6925000000001</v>
      </c>
      <c r="AY54">
        <f>$CJ$18*Table1[[#This Row],[Opp.]]</f>
        <v>-3348.0669600000006</v>
      </c>
      <c r="AZ54">
        <f>Table1[[#This Row],[MP]]*$CK$18</f>
        <v>1330</v>
      </c>
      <c r="BA54">
        <f>$CL$18*Table1[[#This Row],[FG]]</f>
        <v>1204.5</v>
      </c>
      <c r="BB54">
        <f>$CM$18*Table1[[#This Row],[FGA]]</f>
        <v>-2762.9171099999999</v>
      </c>
      <c r="BC54">
        <f>Table1[[#This Row],[FG%]]*$CN$18</f>
        <v>109.00000872</v>
      </c>
      <c r="BD54">
        <f>Table1[[#This Row],[3P]]*$CO$18</f>
        <v>511.06</v>
      </c>
      <c r="BE54">
        <f>$CP$18*Table1[[#This Row],[3PA]]</f>
        <v>-645</v>
      </c>
      <c r="BF54">
        <f>Table1[[#This Row],[3P%]]*$CQ$18</f>
        <v>117.81010709999998</v>
      </c>
      <c r="BG54">
        <f>$CR$18*Table1[[#This Row],[FT]]</f>
        <v>257.36070000000001</v>
      </c>
      <c r="BH54">
        <f>$CS$18*Table1[[#This Row],[FTA]]</f>
        <v>337.88459999999998</v>
      </c>
      <c r="BI54">
        <f>Table1[[#This Row],[FT%]]*$CT$18</f>
        <v>280.73680200000007</v>
      </c>
      <c r="BJ54">
        <f>Table1[[#This Row],[ORB]]*$CU$18</f>
        <v>890.57759999999996</v>
      </c>
      <c r="BK54">
        <f>Table1[[#This Row],[TRB]]*$CV$18</f>
        <v>2589.67544</v>
      </c>
      <c r="BL54">
        <f>$CW$18*Table1[[#This Row],[AST]]</f>
        <v>623.98559999999998</v>
      </c>
      <c r="BM54">
        <f>Table1[[#This Row],[STL]]</f>
        <v>191</v>
      </c>
      <c r="BN54">
        <f>Table1[[#This Row],[BLK]]*$CY$18</f>
        <v>203</v>
      </c>
      <c r="BO54">
        <f>$CZ$18*Table1[[#This Row],[TOV]]</f>
        <v>-957.5076600000001</v>
      </c>
      <c r="BP54">
        <f>Table1[[#This Row],[PF]]*$DA$18</f>
        <v>688.81999999999994</v>
      </c>
      <c r="BQ54">
        <f>SUM(Table1[[#This Row],[SCW]:[SCPF]])</f>
        <v>6235.6556486199997</v>
      </c>
    </row>
    <row r="55" spans="1:69" x14ac:dyDescent="0.45">
      <c r="A55" s="3">
        <v>37</v>
      </c>
      <c r="B55" s="4" t="s">
        <v>71</v>
      </c>
      <c r="C55" s="3">
        <v>29</v>
      </c>
      <c r="D55" s="3">
        <v>20</v>
      </c>
      <c r="E55" s="3">
        <v>9</v>
      </c>
      <c r="F55" s="3">
        <v>0.69</v>
      </c>
      <c r="G55" s="3">
        <v>10.99</v>
      </c>
      <c r="H55" s="3">
        <v>1.32</v>
      </c>
      <c r="I55" s="3"/>
      <c r="J55" s="3">
        <v>13</v>
      </c>
      <c r="K55" s="3">
        <v>4</v>
      </c>
      <c r="L55" s="3"/>
      <c r="M55" s="3">
        <v>10</v>
      </c>
      <c r="N55" s="3">
        <v>2</v>
      </c>
      <c r="O55" s="3"/>
      <c r="P55" s="3">
        <v>5</v>
      </c>
      <c r="Q55" s="3">
        <v>3</v>
      </c>
      <c r="R55" s="3"/>
      <c r="S55" s="3">
        <v>2105</v>
      </c>
      <c r="T55" s="3">
        <v>1808</v>
      </c>
      <c r="U55" s="3"/>
      <c r="V55" s="3">
        <v>1160</v>
      </c>
      <c r="W55" s="3">
        <v>773</v>
      </c>
      <c r="X55" s="3">
        <v>1732</v>
      </c>
      <c r="Y55" s="3">
        <v>0.44600000000000001</v>
      </c>
      <c r="Z55" s="3">
        <v>185</v>
      </c>
      <c r="AA55" s="3">
        <v>557</v>
      </c>
      <c r="AB55" s="3">
        <v>0.33200000000000002</v>
      </c>
      <c r="AC55" s="3">
        <v>374</v>
      </c>
      <c r="AD55" s="3">
        <v>518</v>
      </c>
      <c r="AE55" s="3">
        <v>0.72199999999999998</v>
      </c>
      <c r="AF55" s="3">
        <v>361</v>
      </c>
      <c r="AG55" s="3">
        <v>1180</v>
      </c>
      <c r="AH55" s="3">
        <v>469</v>
      </c>
      <c r="AI55" s="3">
        <v>193</v>
      </c>
      <c r="AJ55" s="3">
        <v>145</v>
      </c>
      <c r="AK55" s="3">
        <v>403</v>
      </c>
      <c r="AL55" s="3">
        <v>436</v>
      </c>
      <c r="AM55" s="3">
        <f>Table1[[#This Row],[W]]*$BX$18</f>
        <v>44.44</v>
      </c>
      <c r="AN55" s="3">
        <f>Table1[[#This Row],[L]]*$BY$18</f>
        <v>-17.981999999999999</v>
      </c>
      <c r="AO55" s="3">
        <f>Table1[[#This Row],[W-L%]]*$BZ$18</f>
        <v>137.99986199999998</v>
      </c>
      <c r="AP55" s="3">
        <f>Table1[[#This Row],[SRS]]*$CA$18</f>
        <v>32.053983500000001</v>
      </c>
      <c r="AQ55" s="3">
        <f>1.5*Table1[[#This Row],[SOS]]</f>
        <v>1.98</v>
      </c>
      <c r="AR55">
        <f>Table1[[#This Row],[Conf. W]]*$CC$18</f>
        <v>40.04</v>
      </c>
      <c r="AS55">
        <f>Table1[[#This Row],[Conf. L]]*$CD$18</f>
        <v>-12.32</v>
      </c>
      <c r="AT55">
        <f>Table1[[#This Row],[HomeW]]*$CE$18</f>
        <v>10</v>
      </c>
      <c r="AU55">
        <f>Table1[[#This Row],[HomeL]]*$CF$18</f>
        <v>2</v>
      </c>
      <c r="AV55">
        <f>Table1[[#This Row],[AwayW]]*$CG$18</f>
        <v>8.3324999999999996</v>
      </c>
      <c r="AW55">
        <f>Table1[[#This Row],[AwayL]]*$CH$18</f>
        <v>4.9994999999999994</v>
      </c>
      <c r="AX55">
        <f>Table1[[#This Row],[Tm.]]*$CI$18</f>
        <v>3976.1345000000001</v>
      </c>
      <c r="AY55">
        <f>$CJ$18*Table1[[#This Row],[Opp.]]</f>
        <v>-2712.0542400000004</v>
      </c>
      <c r="AZ55">
        <f>Table1[[#This Row],[MP]]*$CK$18</f>
        <v>1160</v>
      </c>
      <c r="BA55">
        <f>$CL$18*Table1[[#This Row],[FG]]</f>
        <v>1159.5</v>
      </c>
      <c r="BB55">
        <f>$CM$18*Table1[[#This Row],[FGA]]</f>
        <v>-2597.9220599999999</v>
      </c>
      <c r="BC55">
        <f>Table1[[#This Row],[FG%]]*$CN$18</f>
        <v>111.50000892</v>
      </c>
      <c r="BD55">
        <f>Table1[[#This Row],[3P]]*$CO$18</f>
        <v>411.07</v>
      </c>
      <c r="BE55">
        <f>$CP$18*Table1[[#This Row],[3PA]]</f>
        <v>-557</v>
      </c>
      <c r="BF55">
        <f>Table1[[#This Row],[3P%]]*$CQ$18</f>
        <v>109.5600996</v>
      </c>
      <c r="BG55">
        <f>$CR$18*Table1[[#This Row],[FT]]</f>
        <v>196.83619999999999</v>
      </c>
      <c r="BH55">
        <f>$CS$18*Table1[[#This Row],[FTA]]</f>
        <v>272.6234</v>
      </c>
      <c r="BI55">
        <f>Table1[[#This Row],[FT%]]*$CT$18</f>
        <v>265.99996200000004</v>
      </c>
      <c r="BJ55">
        <f>Table1[[#This Row],[ORB]]*$CU$18</f>
        <v>962.57039999999995</v>
      </c>
      <c r="BK55">
        <f>Table1[[#This Row],[TRB]]*$CV$18</f>
        <v>2697.1024000000002</v>
      </c>
      <c r="BL55">
        <f>$CW$18*Table1[[#This Row],[AST]]</f>
        <v>609.68592999999998</v>
      </c>
      <c r="BM55">
        <f>Table1[[#This Row],[STL]]</f>
        <v>193</v>
      </c>
      <c r="BN55">
        <f>Table1[[#This Row],[BLK]]*$CY$18</f>
        <v>253.75</v>
      </c>
      <c r="BO55">
        <f>$CZ$18*Table1[[#This Row],[TOV]]</f>
        <v>-1007.50806</v>
      </c>
      <c r="BP55">
        <f>Table1[[#This Row],[PF]]*$DA$18</f>
        <v>484.39600000000002</v>
      </c>
      <c r="BQ55">
        <f>SUM(Table1[[#This Row],[SCW]:[SCPF]])</f>
        <v>6240.7883860199991</v>
      </c>
    </row>
    <row r="56" spans="1:69" x14ac:dyDescent="0.45">
      <c r="A56" s="3">
        <v>12</v>
      </c>
      <c r="B56" s="4" t="s">
        <v>51</v>
      </c>
      <c r="C56" s="3">
        <v>32</v>
      </c>
      <c r="D56" s="3">
        <v>24</v>
      </c>
      <c r="E56" s="3">
        <v>8</v>
      </c>
      <c r="F56" s="3">
        <v>0.75</v>
      </c>
      <c r="G56" s="3">
        <v>6.63</v>
      </c>
      <c r="H56" s="3">
        <v>-0.21</v>
      </c>
      <c r="I56" s="3"/>
      <c r="J56" s="3">
        <v>12</v>
      </c>
      <c r="K56" s="3">
        <v>4</v>
      </c>
      <c r="L56" s="3"/>
      <c r="M56" s="3">
        <v>15</v>
      </c>
      <c r="N56" s="3">
        <v>1</v>
      </c>
      <c r="O56" s="3"/>
      <c r="P56" s="3">
        <v>5</v>
      </c>
      <c r="Q56" s="3">
        <v>5</v>
      </c>
      <c r="R56" s="3"/>
      <c r="S56" s="3">
        <v>2339</v>
      </c>
      <c r="T56" s="3">
        <v>2094</v>
      </c>
      <c r="U56" s="3"/>
      <c r="V56" s="3">
        <v>1280</v>
      </c>
      <c r="W56" s="3">
        <v>832</v>
      </c>
      <c r="X56" s="3">
        <v>1870</v>
      </c>
      <c r="Y56" s="3">
        <v>0.44500000000000001</v>
      </c>
      <c r="Z56" s="3">
        <v>240</v>
      </c>
      <c r="AA56" s="3">
        <v>698</v>
      </c>
      <c r="AB56" s="3">
        <v>0.34399999999999997</v>
      </c>
      <c r="AC56" s="3">
        <v>435</v>
      </c>
      <c r="AD56" s="3">
        <v>639</v>
      </c>
      <c r="AE56" s="3">
        <v>0.68100000000000005</v>
      </c>
      <c r="AF56" s="3">
        <v>323</v>
      </c>
      <c r="AG56" s="3">
        <v>1224</v>
      </c>
      <c r="AH56" s="3">
        <v>418</v>
      </c>
      <c r="AI56" s="3">
        <v>217</v>
      </c>
      <c r="AJ56" s="3">
        <v>93</v>
      </c>
      <c r="AK56" s="3">
        <v>411</v>
      </c>
      <c r="AL56" s="3">
        <v>497</v>
      </c>
      <c r="AM56" s="3">
        <f>Table1[[#This Row],[W]]*$BX$18</f>
        <v>53.328000000000003</v>
      </c>
      <c r="AN56" s="3">
        <f>Table1[[#This Row],[L]]*$BY$18</f>
        <v>-15.984</v>
      </c>
      <c r="AO56" s="3">
        <f>Table1[[#This Row],[W-L%]]*$BZ$18</f>
        <v>149.99984999999998</v>
      </c>
      <c r="AP56" s="3">
        <f>Table1[[#This Row],[SRS]]*$CA$18</f>
        <v>19.3373895</v>
      </c>
      <c r="AQ56" s="3">
        <f>1.5*Table1[[#This Row],[SOS]]</f>
        <v>-0.315</v>
      </c>
      <c r="AR56">
        <f>Table1[[#This Row],[Conf. W]]*$CC$18</f>
        <v>36.96</v>
      </c>
      <c r="AS56">
        <f>Table1[[#This Row],[Conf. L]]*$CD$18</f>
        <v>-12.32</v>
      </c>
      <c r="AT56">
        <f>Table1[[#This Row],[HomeW]]*$CE$18</f>
        <v>15</v>
      </c>
      <c r="AU56">
        <f>Table1[[#This Row],[HomeL]]*$CF$18</f>
        <v>1</v>
      </c>
      <c r="AV56">
        <f>Table1[[#This Row],[AwayW]]*$CG$18</f>
        <v>8.3324999999999996</v>
      </c>
      <c r="AW56">
        <f>Table1[[#This Row],[AwayL]]*$CH$18</f>
        <v>8.3324999999999996</v>
      </c>
      <c r="AX56">
        <f>Table1[[#This Row],[Tm.]]*$CI$18</f>
        <v>4418.1370999999999</v>
      </c>
      <c r="AY56">
        <f>$CJ$18*Table1[[#This Row],[Opp.]]</f>
        <v>-3141.0628200000006</v>
      </c>
      <c r="AZ56">
        <f>Table1[[#This Row],[MP]]*$CK$18</f>
        <v>1280</v>
      </c>
      <c r="BA56">
        <f>$CL$18*Table1[[#This Row],[FG]]</f>
        <v>1248</v>
      </c>
      <c r="BB56">
        <f>$CM$18*Table1[[#This Row],[FGA]]</f>
        <v>-2804.9158499999999</v>
      </c>
      <c r="BC56">
        <f>Table1[[#This Row],[FG%]]*$CN$18</f>
        <v>111.2500089</v>
      </c>
      <c r="BD56">
        <f>Table1[[#This Row],[3P]]*$CO$18</f>
        <v>533.28</v>
      </c>
      <c r="BE56">
        <f>$CP$18*Table1[[#This Row],[3PA]]</f>
        <v>-698</v>
      </c>
      <c r="BF56">
        <f>Table1[[#This Row],[3P%]]*$CQ$18</f>
        <v>113.52010319999998</v>
      </c>
      <c r="BG56">
        <f>$CR$18*Table1[[#This Row],[FT]]</f>
        <v>228.94049999999999</v>
      </c>
      <c r="BH56">
        <f>$CS$18*Table1[[#This Row],[FTA]]</f>
        <v>336.3057</v>
      </c>
      <c r="BI56">
        <f>Table1[[#This Row],[FT%]]*$CT$18</f>
        <v>250.89470100000005</v>
      </c>
      <c r="BJ56">
        <f>Table1[[#This Row],[ORB]]*$CU$18</f>
        <v>861.24719999999991</v>
      </c>
      <c r="BK56">
        <f>Table1[[#This Row],[TRB]]*$CV$18</f>
        <v>2797.6723200000001</v>
      </c>
      <c r="BL56">
        <f>$CW$18*Table1[[#This Row],[AST]]</f>
        <v>543.38745999999992</v>
      </c>
      <c r="BM56">
        <f>Table1[[#This Row],[STL]]</f>
        <v>217</v>
      </c>
      <c r="BN56">
        <f>Table1[[#This Row],[BLK]]*$CY$18</f>
        <v>162.75</v>
      </c>
      <c r="BO56">
        <f>$CZ$18*Table1[[#This Row],[TOV]]</f>
        <v>-1027.5082200000002</v>
      </c>
      <c r="BP56">
        <f>Table1[[#This Row],[PF]]*$DA$18</f>
        <v>552.16700000000003</v>
      </c>
      <c r="BQ56">
        <f>SUM(Table1[[#This Row],[SCW]:[SCPF]])</f>
        <v>6246.7364425999995</v>
      </c>
    </row>
    <row r="57" spans="1:69" x14ac:dyDescent="0.45">
      <c r="A57" s="3">
        <v>51</v>
      </c>
      <c r="B57" s="4" t="s">
        <v>80</v>
      </c>
      <c r="C57" s="3">
        <v>33</v>
      </c>
      <c r="D57" s="3">
        <v>18</v>
      </c>
      <c r="E57" s="3">
        <v>15</v>
      </c>
      <c r="F57" s="3">
        <v>0.54500000000000004</v>
      </c>
      <c r="G57" s="3">
        <v>9.24</v>
      </c>
      <c r="H57" s="3">
        <v>6.79</v>
      </c>
      <c r="I57" s="3"/>
      <c r="J57" s="3">
        <v>8</v>
      </c>
      <c r="K57" s="3">
        <v>10</v>
      </c>
      <c r="L57" s="3"/>
      <c r="M57" s="3">
        <v>9</v>
      </c>
      <c r="N57" s="3">
        <v>6</v>
      </c>
      <c r="O57" s="3"/>
      <c r="P57" s="3">
        <v>5</v>
      </c>
      <c r="Q57" s="3">
        <v>4</v>
      </c>
      <c r="R57" s="3"/>
      <c r="S57" s="3">
        <v>2287</v>
      </c>
      <c r="T57" s="3">
        <v>2206</v>
      </c>
      <c r="U57" s="3"/>
      <c r="V57" s="3">
        <v>1340</v>
      </c>
      <c r="W57" s="3">
        <v>847</v>
      </c>
      <c r="X57" s="3">
        <v>1866</v>
      </c>
      <c r="Y57" s="3">
        <v>0.45400000000000001</v>
      </c>
      <c r="Z57" s="3">
        <v>179</v>
      </c>
      <c r="AA57" s="3">
        <v>522</v>
      </c>
      <c r="AB57" s="3">
        <v>0.34300000000000003</v>
      </c>
      <c r="AC57" s="3">
        <v>414</v>
      </c>
      <c r="AD57" s="3">
        <v>629</v>
      </c>
      <c r="AE57" s="3">
        <v>0.65800000000000003</v>
      </c>
      <c r="AF57" s="3">
        <v>400</v>
      </c>
      <c r="AG57" s="3">
        <v>1287</v>
      </c>
      <c r="AH57" s="3">
        <v>428</v>
      </c>
      <c r="AI57" s="3">
        <v>207</v>
      </c>
      <c r="AJ57" s="3">
        <v>149</v>
      </c>
      <c r="AK57" s="3">
        <v>498</v>
      </c>
      <c r="AL57" s="3">
        <v>512</v>
      </c>
      <c r="AM57" s="3">
        <f>Table1[[#This Row],[W]]*$BX$18</f>
        <v>39.996000000000002</v>
      </c>
      <c r="AN57" s="3">
        <f>Table1[[#This Row],[L]]*$BY$18</f>
        <v>-29.97</v>
      </c>
      <c r="AO57" s="3">
        <f>Table1[[#This Row],[W-L%]]*$BZ$18</f>
        <v>108.99989100000001</v>
      </c>
      <c r="AP57" s="3">
        <f>Table1[[#This Row],[SRS]]*$CA$18</f>
        <v>26.949846000000001</v>
      </c>
      <c r="AQ57" s="3">
        <f>1.5*Table1[[#This Row],[SOS]]</f>
        <v>10.185</v>
      </c>
      <c r="AR57">
        <f>Table1[[#This Row],[Conf. W]]*$CC$18</f>
        <v>24.64</v>
      </c>
      <c r="AS57">
        <f>Table1[[#This Row],[Conf. L]]*$CD$18</f>
        <v>-30.8</v>
      </c>
      <c r="AT57">
        <f>Table1[[#This Row],[HomeW]]*$CE$18</f>
        <v>9</v>
      </c>
      <c r="AU57">
        <f>Table1[[#This Row],[HomeL]]*$CF$18</f>
        <v>6</v>
      </c>
      <c r="AV57">
        <f>Table1[[#This Row],[AwayW]]*$CG$18</f>
        <v>8.3324999999999996</v>
      </c>
      <c r="AW57">
        <f>Table1[[#This Row],[AwayL]]*$CH$18</f>
        <v>6.6659999999999995</v>
      </c>
      <c r="AX57">
        <f>Table1[[#This Row],[Tm.]]*$CI$18</f>
        <v>4319.9143000000004</v>
      </c>
      <c r="AY57">
        <f>$CJ$18*Table1[[#This Row],[Opp.]]</f>
        <v>-3309.0661800000003</v>
      </c>
      <c r="AZ57">
        <f>Table1[[#This Row],[MP]]*$CK$18</f>
        <v>1340</v>
      </c>
      <c r="BA57">
        <f>$CL$18*Table1[[#This Row],[FG]]</f>
        <v>1270.5</v>
      </c>
      <c r="BB57">
        <f>$CM$18*Table1[[#This Row],[FGA]]</f>
        <v>-2798.9160299999999</v>
      </c>
      <c r="BC57">
        <f>Table1[[#This Row],[FG%]]*$CN$18</f>
        <v>113.50000908000001</v>
      </c>
      <c r="BD57">
        <f>Table1[[#This Row],[3P]]*$CO$18</f>
        <v>397.738</v>
      </c>
      <c r="BE57">
        <f>$CP$18*Table1[[#This Row],[3PA]]</f>
        <v>-522</v>
      </c>
      <c r="BF57">
        <f>Table1[[#This Row],[3P%]]*$CQ$18</f>
        <v>113.1901029</v>
      </c>
      <c r="BG57">
        <f>$CR$18*Table1[[#This Row],[FT]]</f>
        <v>217.88819999999998</v>
      </c>
      <c r="BH57">
        <f>$CS$18*Table1[[#This Row],[FTA]]</f>
        <v>331.04269999999997</v>
      </c>
      <c r="BI57">
        <f>Table1[[#This Row],[FT%]]*$CT$18</f>
        <v>242.42101800000003</v>
      </c>
      <c r="BJ57">
        <f>Table1[[#This Row],[ORB]]*$CU$18</f>
        <v>1066.56</v>
      </c>
      <c r="BK57">
        <f>Table1[[#This Row],[TRB]]*$CV$18</f>
        <v>2941.6701600000001</v>
      </c>
      <c r="BL57">
        <f>$CW$18*Table1[[#This Row],[AST]]</f>
        <v>556.38715999999988</v>
      </c>
      <c r="BM57">
        <f>Table1[[#This Row],[STL]]</f>
        <v>207</v>
      </c>
      <c r="BN57">
        <f>Table1[[#This Row],[BLK]]*$CY$18</f>
        <v>260.75</v>
      </c>
      <c r="BO57">
        <f>$CZ$18*Table1[[#This Row],[TOV]]</f>
        <v>-1245.0099600000001</v>
      </c>
      <c r="BP57">
        <f>Table1[[#This Row],[PF]]*$DA$18</f>
        <v>568.83199999999999</v>
      </c>
      <c r="BQ57">
        <f>SUM(Table1[[#This Row],[SCW]:[SCPF]])</f>
        <v>6252.4007169800007</v>
      </c>
    </row>
    <row r="58" spans="1:69" x14ac:dyDescent="0.45">
      <c r="A58" s="3">
        <v>7</v>
      </c>
      <c r="B58" s="4" t="s">
        <v>48</v>
      </c>
      <c r="C58" s="3">
        <v>31</v>
      </c>
      <c r="D58" s="3">
        <v>26</v>
      </c>
      <c r="E58" s="3">
        <v>5</v>
      </c>
      <c r="F58" s="3">
        <v>0.83899999999999997</v>
      </c>
      <c r="G58" s="3">
        <v>15.12</v>
      </c>
      <c r="H58" s="3">
        <v>1.37</v>
      </c>
      <c r="I58" s="3"/>
      <c r="J58" s="3">
        <v>16</v>
      </c>
      <c r="K58" s="3">
        <v>2</v>
      </c>
      <c r="L58" s="3"/>
      <c r="M58" s="3">
        <v>13</v>
      </c>
      <c r="N58" s="3">
        <v>0</v>
      </c>
      <c r="O58" s="3"/>
      <c r="P58" s="3">
        <v>8</v>
      </c>
      <c r="Q58" s="3">
        <v>3</v>
      </c>
      <c r="R58" s="3"/>
      <c r="S58" s="3">
        <v>2202</v>
      </c>
      <c r="T58" s="3">
        <v>1738</v>
      </c>
      <c r="U58" s="3"/>
      <c r="V58" s="3">
        <v>1250</v>
      </c>
      <c r="W58" s="3">
        <v>804</v>
      </c>
      <c r="X58" s="3">
        <v>1614</v>
      </c>
      <c r="Y58" s="3">
        <v>0.498</v>
      </c>
      <c r="Z58" s="3">
        <v>221</v>
      </c>
      <c r="AA58" s="3">
        <v>606</v>
      </c>
      <c r="AB58" s="3">
        <v>0.36499999999999999</v>
      </c>
      <c r="AC58" s="3">
        <v>373</v>
      </c>
      <c r="AD58" s="3">
        <v>519</v>
      </c>
      <c r="AE58" s="3">
        <v>0.71899999999999997</v>
      </c>
      <c r="AF58" s="3">
        <v>230</v>
      </c>
      <c r="AG58" s="3">
        <v>1008</v>
      </c>
      <c r="AH58" s="3">
        <v>490</v>
      </c>
      <c r="AI58" s="3">
        <v>215</v>
      </c>
      <c r="AJ58" s="3">
        <v>75</v>
      </c>
      <c r="AK58" s="3">
        <v>364</v>
      </c>
      <c r="AL58" s="3">
        <v>444</v>
      </c>
      <c r="AM58" s="3">
        <f>Table1[[#This Row],[W]]*$BX$18</f>
        <v>57.771999999999998</v>
      </c>
      <c r="AN58" s="3">
        <f>Table1[[#This Row],[L]]*$BY$18</f>
        <v>-9.99</v>
      </c>
      <c r="AO58" s="3">
        <f>Table1[[#This Row],[W-L%]]*$BZ$18</f>
        <v>167.7998322</v>
      </c>
      <c r="AP58" s="3">
        <f>Table1[[#This Row],[SRS]]*$CA$18</f>
        <v>44.099747999999998</v>
      </c>
      <c r="AQ58" s="3">
        <f>1.5*Table1[[#This Row],[SOS]]</f>
        <v>2.0550000000000002</v>
      </c>
      <c r="AR58">
        <f>Table1[[#This Row],[Conf. W]]*$CC$18</f>
        <v>49.28</v>
      </c>
      <c r="AS58">
        <f>Table1[[#This Row],[Conf. L]]*$CD$18</f>
        <v>-6.16</v>
      </c>
      <c r="AT58">
        <f>Table1[[#This Row],[HomeW]]*$CE$18</f>
        <v>13</v>
      </c>
      <c r="AU58">
        <f>Table1[[#This Row],[HomeL]]*$CF$18</f>
        <v>0</v>
      </c>
      <c r="AV58">
        <f>Table1[[#This Row],[AwayW]]*$CG$18</f>
        <v>13.331999999999999</v>
      </c>
      <c r="AW58">
        <f>Table1[[#This Row],[AwayL]]*$CH$18</f>
        <v>4.9994999999999994</v>
      </c>
      <c r="AX58">
        <f>Table1[[#This Row],[Tm.]]*$CI$18</f>
        <v>4159.3577999999998</v>
      </c>
      <c r="AY58">
        <f>$CJ$18*Table1[[#This Row],[Opp.]]</f>
        <v>-2607.0521400000002</v>
      </c>
      <c r="AZ58">
        <f>Table1[[#This Row],[MP]]*$CK$18</f>
        <v>1250</v>
      </c>
      <c r="BA58">
        <f>$CL$18*Table1[[#This Row],[FG]]</f>
        <v>1206</v>
      </c>
      <c r="BB58">
        <f>$CM$18*Table1[[#This Row],[FGA]]</f>
        <v>-2420.9273699999999</v>
      </c>
      <c r="BC58">
        <f>Table1[[#This Row],[FG%]]*$CN$18</f>
        <v>124.50000996</v>
      </c>
      <c r="BD58">
        <f>Table1[[#This Row],[3P]]*$CO$18</f>
        <v>491.06200000000001</v>
      </c>
      <c r="BE58">
        <f>$CP$18*Table1[[#This Row],[3PA]]</f>
        <v>-606</v>
      </c>
      <c r="BF58">
        <f>Table1[[#This Row],[3P%]]*$CQ$18</f>
        <v>120.4501095</v>
      </c>
      <c r="BG58">
        <f>$CR$18*Table1[[#This Row],[FT]]</f>
        <v>196.3099</v>
      </c>
      <c r="BH58">
        <f>$CS$18*Table1[[#This Row],[FTA]]</f>
        <v>273.1497</v>
      </c>
      <c r="BI58">
        <f>Table1[[#This Row],[FT%]]*$CT$18</f>
        <v>264.894699</v>
      </c>
      <c r="BJ58">
        <f>Table1[[#This Row],[ORB]]*$CU$18</f>
        <v>613.27199999999993</v>
      </c>
      <c r="BK58">
        <f>Table1[[#This Row],[TRB]]*$CV$18</f>
        <v>2303.9654399999999</v>
      </c>
      <c r="BL58">
        <f>$CW$18*Table1[[#This Row],[AST]]</f>
        <v>636.98529999999994</v>
      </c>
      <c r="BM58">
        <f>Table1[[#This Row],[STL]]</f>
        <v>215</v>
      </c>
      <c r="BN58">
        <f>Table1[[#This Row],[BLK]]*$CY$18</f>
        <v>131.25</v>
      </c>
      <c r="BO58">
        <f>$CZ$18*Table1[[#This Row],[TOV]]</f>
        <v>-910.00728000000004</v>
      </c>
      <c r="BP58">
        <f>Table1[[#This Row],[PF]]*$DA$18</f>
        <v>493.28399999999999</v>
      </c>
      <c r="BQ58">
        <f>SUM(Table1[[#This Row],[SCW]:[SCPF]])</f>
        <v>6271.6822486599995</v>
      </c>
    </row>
    <row r="59" spans="1:69" x14ac:dyDescent="0.45">
      <c r="A59" s="3">
        <v>13</v>
      </c>
      <c r="B59" s="4" t="s">
        <v>43</v>
      </c>
      <c r="C59" s="3">
        <v>32</v>
      </c>
      <c r="D59" s="3">
        <v>23</v>
      </c>
      <c r="E59" s="3">
        <v>9</v>
      </c>
      <c r="F59" s="3">
        <v>0.71899999999999997</v>
      </c>
      <c r="G59" s="3">
        <v>18.88</v>
      </c>
      <c r="H59" s="3">
        <v>9.57</v>
      </c>
      <c r="I59" s="3"/>
      <c r="J59" s="3">
        <v>14</v>
      </c>
      <c r="K59" s="3">
        <v>6</v>
      </c>
      <c r="L59" s="3"/>
      <c r="M59" s="3">
        <v>11</v>
      </c>
      <c r="N59" s="3">
        <v>1</v>
      </c>
      <c r="O59" s="3"/>
      <c r="P59" s="3">
        <v>6</v>
      </c>
      <c r="Q59" s="3">
        <v>6</v>
      </c>
      <c r="R59" s="3"/>
      <c r="S59" s="3">
        <v>2340</v>
      </c>
      <c r="T59" s="3">
        <v>2042</v>
      </c>
      <c r="U59" s="3"/>
      <c r="V59" s="3">
        <v>1280</v>
      </c>
      <c r="W59" s="3">
        <v>828</v>
      </c>
      <c r="X59" s="3">
        <v>1815</v>
      </c>
      <c r="Y59" s="3">
        <v>0.45600000000000002</v>
      </c>
      <c r="Z59" s="3">
        <v>246</v>
      </c>
      <c r="AA59" s="3">
        <v>661</v>
      </c>
      <c r="AB59" s="3">
        <v>0.372</v>
      </c>
      <c r="AC59" s="3">
        <v>438</v>
      </c>
      <c r="AD59" s="3">
        <v>535</v>
      </c>
      <c r="AE59" s="3">
        <v>0.81899999999999995</v>
      </c>
      <c r="AF59" s="3">
        <v>312</v>
      </c>
      <c r="AG59" s="3">
        <v>1113</v>
      </c>
      <c r="AH59" s="3">
        <v>436</v>
      </c>
      <c r="AI59" s="3">
        <v>167</v>
      </c>
      <c r="AJ59" s="3">
        <v>88</v>
      </c>
      <c r="AK59" s="3">
        <v>364</v>
      </c>
      <c r="AL59" s="3">
        <v>526</v>
      </c>
      <c r="AM59" s="3">
        <f>Table1[[#This Row],[W]]*$BX$18</f>
        <v>51.106000000000002</v>
      </c>
      <c r="AN59" s="3">
        <f>Table1[[#This Row],[L]]*$BY$18</f>
        <v>-17.981999999999999</v>
      </c>
      <c r="AO59" s="3">
        <f>Table1[[#This Row],[W-L%]]*$BZ$18</f>
        <v>143.79985619999999</v>
      </c>
      <c r="AP59" s="3">
        <f>Table1[[#This Row],[SRS]]*$CA$18</f>
        <v>55.066352000000002</v>
      </c>
      <c r="AQ59" s="3">
        <f>1.5*Table1[[#This Row],[SOS]]</f>
        <v>14.355</v>
      </c>
      <c r="AR59">
        <f>Table1[[#This Row],[Conf. W]]*$CC$18</f>
        <v>43.120000000000005</v>
      </c>
      <c r="AS59">
        <f>Table1[[#This Row],[Conf. L]]*$CD$18</f>
        <v>-18.48</v>
      </c>
      <c r="AT59">
        <f>Table1[[#This Row],[HomeW]]*$CE$18</f>
        <v>11</v>
      </c>
      <c r="AU59">
        <f>Table1[[#This Row],[HomeL]]*$CF$18</f>
        <v>1</v>
      </c>
      <c r="AV59">
        <f>Table1[[#This Row],[AwayW]]*$CG$18</f>
        <v>9.9989999999999988</v>
      </c>
      <c r="AW59">
        <f>Table1[[#This Row],[AwayL]]*$CH$18</f>
        <v>9.9989999999999988</v>
      </c>
      <c r="AX59">
        <f>Table1[[#This Row],[Tm.]]*$CI$18</f>
        <v>4420.0259999999998</v>
      </c>
      <c r="AY59">
        <f>$CJ$18*Table1[[#This Row],[Opp.]]</f>
        <v>-3063.0612600000004</v>
      </c>
      <c r="AZ59">
        <f>Table1[[#This Row],[MP]]*$CK$18</f>
        <v>1280</v>
      </c>
      <c r="BA59">
        <f>$CL$18*Table1[[#This Row],[FG]]</f>
        <v>1242</v>
      </c>
      <c r="BB59">
        <f>$CM$18*Table1[[#This Row],[FGA]]</f>
        <v>-2722.4183249999996</v>
      </c>
      <c r="BC59">
        <f>Table1[[#This Row],[FG%]]*$CN$18</f>
        <v>114.00000912</v>
      </c>
      <c r="BD59">
        <f>Table1[[#This Row],[3P]]*$CO$18</f>
        <v>546.61199999999997</v>
      </c>
      <c r="BE59">
        <f>$CP$18*Table1[[#This Row],[3PA]]</f>
        <v>-661</v>
      </c>
      <c r="BF59">
        <f>Table1[[#This Row],[3P%]]*$CQ$18</f>
        <v>122.76011159999999</v>
      </c>
      <c r="BG59">
        <f>$CR$18*Table1[[#This Row],[FT]]</f>
        <v>230.51939999999999</v>
      </c>
      <c r="BH59">
        <f>$CS$18*Table1[[#This Row],[FTA]]</f>
        <v>281.57049999999998</v>
      </c>
      <c r="BI59">
        <f>Table1[[#This Row],[FT%]]*$CT$18</f>
        <v>301.73679900000002</v>
      </c>
      <c r="BJ59">
        <f>Table1[[#This Row],[ORB]]*$CU$18</f>
        <v>831.91679999999997</v>
      </c>
      <c r="BK59">
        <f>Table1[[#This Row],[TRB]]*$CV$18</f>
        <v>2543.9618400000004</v>
      </c>
      <c r="BL59">
        <f>$CW$18*Table1[[#This Row],[AST]]</f>
        <v>566.7869199999999</v>
      </c>
      <c r="BM59">
        <f>Table1[[#This Row],[STL]]</f>
        <v>167</v>
      </c>
      <c r="BN59">
        <f>Table1[[#This Row],[BLK]]*$CY$18</f>
        <v>154</v>
      </c>
      <c r="BO59">
        <f>$CZ$18*Table1[[#This Row],[TOV]]</f>
        <v>-910.00728000000004</v>
      </c>
      <c r="BP59">
        <f>Table1[[#This Row],[PF]]*$DA$18</f>
        <v>584.38599999999997</v>
      </c>
      <c r="BQ59">
        <f>SUM(Table1[[#This Row],[SCW]:[SCPF]])</f>
        <v>6333.7727229199991</v>
      </c>
    </row>
    <row r="60" spans="1:69" x14ac:dyDescent="0.45">
      <c r="A60" s="3">
        <v>27</v>
      </c>
      <c r="B60" s="4" t="s">
        <v>63</v>
      </c>
      <c r="C60" s="3">
        <v>31</v>
      </c>
      <c r="D60" s="3">
        <v>21</v>
      </c>
      <c r="E60" s="3">
        <v>10</v>
      </c>
      <c r="F60" s="3">
        <v>0.67700000000000005</v>
      </c>
      <c r="G60" s="3">
        <v>18.25</v>
      </c>
      <c r="H60" s="3">
        <v>12.19</v>
      </c>
      <c r="I60" s="3"/>
      <c r="J60" s="3">
        <v>12</v>
      </c>
      <c r="K60" s="3">
        <v>8</v>
      </c>
      <c r="L60" s="3"/>
      <c r="M60" s="3">
        <v>10</v>
      </c>
      <c r="N60" s="3">
        <v>4</v>
      </c>
      <c r="O60" s="3"/>
      <c r="P60" s="3">
        <v>7</v>
      </c>
      <c r="Q60" s="3">
        <v>4</v>
      </c>
      <c r="R60" s="3"/>
      <c r="S60" s="3">
        <v>2392</v>
      </c>
      <c r="T60" s="3">
        <v>2204</v>
      </c>
      <c r="U60" s="3"/>
      <c r="V60" s="3">
        <v>1255</v>
      </c>
      <c r="W60" s="3">
        <v>819</v>
      </c>
      <c r="X60" s="3">
        <v>1786</v>
      </c>
      <c r="Y60" s="3">
        <v>0.45900000000000002</v>
      </c>
      <c r="Z60" s="3">
        <v>252</v>
      </c>
      <c r="AA60" s="3">
        <v>700</v>
      </c>
      <c r="AB60" s="3">
        <v>0.36</v>
      </c>
      <c r="AC60" s="3">
        <v>502</v>
      </c>
      <c r="AD60" s="3">
        <v>664</v>
      </c>
      <c r="AE60" s="3">
        <v>0.75600000000000001</v>
      </c>
      <c r="AF60" s="3">
        <v>302</v>
      </c>
      <c r="AG60" s="3">
        <v>1135</v>
      </c>
      <c r="AH60" s="3">
        <v>406</v>
      </c>
      <c r="AI60" s="3">
        <v>140</v>
      </c>
      <c r="AJ60" s="3">
        <v>108</v>
      </c>
      <c r="AK60" s="3">
        <v>329</v>
      </c>
      <c r="AL60" s="3">
        <v>571</v>
      </c>
      <c r="AM60" s="3">
        <f>Table1[[#This Row],[W]]*$BX$18</f>
        <v>46.661999999999999</v>
      </c>
      <c r="AN60" s="3">
        <f>Table1[[#This Row],[L]]*$BY$18</f>
        <v>-19.98</v>
      </c>
      <c r="AO60" s="3">
        <f>Table1[[#This Row],[W-L%]]*$BZ$18</f>
        <v>135.3998646</v>
      </c>
      <c r="AP60" s="3">
        <f>Table1[[#This Row],[SRS]]*$CA$18</f>
        <v>53.228862500000005</v>
      </c>
      <c r="AQ60" s="3">
        <f>1.5*Table1[[#This Row],[SOS]]</f>
        <v>18.285</v>
      </c>
      <c r="AR60">
        <f>Table1[[#This Row],[Conf. W]]*$CC$18</f>
        <v>36.96</v>
      </c>
      <c r="AS60">
        <f>Table1[[#This Row],[Conf. L]]*$CD$18</f>
        <v>-24.64</v>
      </c>
      <c r="AT60">
        <f>Table1[[#This Row],[HomeW]]*$CE$18</f>
        <v>10</v>
      </c>
      <c r="AU60">
        <f>Table1[[#This Row],[HomeL]]*$CF$18</f>
        <v>4</v>
      </c>
      <c r="AV60">
        <f>Table1[[#This Row],[AwayW]]*$CG$18</f>
        <v>11.6655</v>
      </c>
      <c r="AW60">
        <f>Table1[[#This Row],[AwayL]]*$CH$18</f>
        <v>6.6659999999999995</v>
      </c>
      <c r="AX60">
        <f>Table1[[#This Row],[Tm.]]*$CI$18</f>
        <v>4518.2488000000003</v>
      </c>
      <c r="AY60">
        <f>$CJ$18*Table1[[#This Row],[Opp.]]</f>
        <v>-3306.0661200000004</v>
      </c>
      <c r="AZ60">
        <f>Table1[[#This Row],[MP]]*$CK$18</f>
        <v>1255</v>
      </c>
      <c r="BA60">
        <f>$CL$18*Table1[[#This Row],[FG]]</f>
        <v>1228.5</v>
      </c>
      <c r="BB60">
        <f>$CM$18*Table1[[#This Row],[FGA]]</f>
        <v>-2678.9196299999999</v>
      </c>
      <c r="BC60">
        <f>Table1[[#This Row],[FG%]]*$CN$18</f>
        <v>114.75000918000001</v>
      </c>
      <c r="BD60">
        <f>Table1[[#This Row],[3P]]*$CO$18</f>
        <v>559.94399999999996</v>
      </c>
      <c r="BE60">
        <f>$CP$18*Table1[[#This Row],[3PA]]</f>
        <v>-700</v>
      </c>
      <c r="BF60">
        <f>Table1[[#This Row],[3P%]]*$CQ$18</f>
        <v>118.80010799999999</v>
      </c>
      <c r="BG60">
        <f>$CR$18*Table1[[#This Row],[FT]]</f>
        <v>264.20260000000002</v>
      </c>
      <c r="BH60">
        <f>$CS$18*Table1[[#This Row],[FTA]]</f>
        <v>349.46319999999997</v>
      </c>
      <c r="BI60">
        <f>Table1[[#This Row],[FT%]]*$CT$18</f>
        <v>278.52627600000005</v>
      </c>
      <c r="BJ60">
        <f>Table1[[#This Row],[ORB]]*$CU$18</f>
        <v>805.25279999999998</v>
      </c>
      <c r="BK60">
        <f>Table1[[#This Row],[TRB]]*$CV$18</f>
        <v>2594.2468000000003</v>
      </c>
      <c r="BL60">
        <f>$CW$18*Table1[[#This Row],[AST]]</f>
        <v>527.7878199999999</v>
      </c>
      <c r="BM60">
        <f>Table1[[#This Row],[STL]]</f>
        <v>140</v>
      </c>
      <c r="BN60">
        <f>Table1[[#This Row],[BLK]]*$CY$18</f>
        <v>189</v>
      </c>
      <c r="BO60">
        <f>$CZ$18*Table1[[#This Row],[TOV]]</f>
        <v>-822.5065800000001</v>
      </c>
      <c r="BP60">
        <f>Table1[[#This Row],[PF]]*$DA$18</f>
        <v>634.38099999999997</v>
      </c>
      <c r="BQ60">
        <f>SUM(Table1[[#This Row],[SCW]:[SCPF]])</f>
        <v>6348.8583102800003</v>
      </c>
    </row>
    <row r="61" spans="1:69" x14ac:dyDescent="0.45">
      <c r="A61" s="3">
        <v>53</v>
      </c>
      <c r="B61" s="4" t="s">
        <v>82</v>
      </c>
      <c r="C61" s="3">
        <v>29</v>
      </c>
      <c r="D61" s="3">
        <v>18</v>
      </c>
      <c r="E61" s="3">
        <v>11</v>
      </c>
      <c r="F61" s="3">
        <v>0.621</v>
      </c>
      <c r="G61" s="3">
        <v>14.79</v>
      </c>
      <c r="H61" s="3">
        <v>9.52</v>
      </c>
      <c r="I61" s="3"/>
      <c r="J61" s="3">
        <v>10</v>
      </c>
      <c r="K61" s="3">
        <v>6</v>
      </c>
      <c r="L61" s="3"/>
      <c r="M61" s="3">
        <v>10</v>
      </c>
      <c r="N61" s="3">
        <v>1</v>
      </c>
      <c r="O61" s="3"/>
      <c r="P61" s="3">
        <v>3</v>
      </c>
      <c r="Q61" s="3">
        <v>7</v>
      </c>
      <c r="R61" s="3"/>
      <c r="S61" s="3">
        <v>2181</v>
      </c>
      <c r="T61" s="3">
        <v>2028</v>
      </c>
      <c r="U61" s="3"/>
      <c r="V61" s="3">
        <v>1160</v>
      </c>
      <c r="W61" s="3">
        <v>801</v>
      </c>
      <c r="X61" s="3">
        <v>1826</v>
      </c>
      <c r="Y61" s="3">
        <v>0.439</v>
      </c>
      <c r="Z61" s="3">
        <v>162</v>
      </c>
      <c r="AA61" s="3">
        <v>509</v>
      </c>
      <c r="AB61" s="3">
        <v>0.318</v>
      </c>
      <c r="AC61" s="3">
        <v>417</v>
      </c>
      <c r="AD61" s="3">
        <v>624</v>
      </c>
      <c r="AE61" s="3">
        <v>0.66800000000000004</v>
      </c>
      <c r="AF61" s="3">
        <v>454</v>
      </c>
      <c r="AG61" s="3">
        <v>1242</v>
      </c>
      <c r="AH61" s="3">
        <v>443</v>
      </c>
      <c r="AI61" s="3">
        <v>204</v>
      </c>
      <c r="AJ61" s="3">
        <v>137</v>
      </c>
      <c r="AK61" s="3">
        <v>423</v>
      </c>
      <c r="AL61" s="3">
        <v>486</v>
      </c>
      <c r="AM61" s="3">
        <f>Table1[[#This Row],[W]]*$BX$18</f>
        <v>39.996000000000002</v>
      </c>
      <c r="AN61" s="3">
        <f>Table1[[#This Row],[L]]*$BY$18</f>
        <v>-21.978000000000002</v>
      </c>
      <c r="AO61" s="3">
        <f>Table1[[#This Row],[W-L%]]*$BZ$18</f>
        <v>124.1998758</v>
      </c>
      <c r="AP61" s="3">
        <f>Table1[[#This Row],[SRS]]*$CA$18</f>
        <v>43.1372535</v>
      </c>
      <c r="AQ61" s="3">
        <f>1.5*Table1[[#This Row],[SOS]]</f>
        <v>14.28</v>
      </c>
      <c r="AR61">
        <f>Table1[[#This Row],[Conf. W]]*$CC$18</f>
        <v>30.8</v>
      </c>
      <c r="AS61">
        <f>Table1[[#This Row],[Conf. L]]*$CD$18</f>
        <v>-18.48</v>
      </c>
      <c r="AT61">
        <f>Table1[[#This Row],[HomeW]]*$CE$18</f>
        <v>10</v>
      </c>
      <c r="AU61">
        <f>Table1[[#This Row],[HomeL]]*$CF$18</f>
        <v>1</v>
      </c>
      <c r="AV61">
        <f>Table1[[#This Row],[AwayW]]*$CG$18</f>
        <v>4.9994999999999994</v>
      </c>
      <c r="AW61">
        <f>Table1[[#This Row],[AwayL]]*$CH$18</f>
        <v>11.6655</v>
      </c>
      <c r="AX61">
        <f>Table1[[#This Row],[Tm.]]*$CI$18</f>
        <v>4119.6908999999996</v>
      </c>
      <c r="AY61">
        <f>$CJ$18*Table1[[#This Row],[Opp.]]</f>
        <v>-3042.0608400000006</v>
      </c>
      <c r="AZ61">
        <f>Table1[[#This Row],[MP]]*$CK$18</f>
        <v>1160</v>
      </c>
      <c r="BA61">
        <f>$CL$18*Table1[[#This Row],[FG]]</f>
        <v>1201.5</v>
      </c>
      <c r="BB61">
        <f>$CM$18*Table1[[#This Row],[FGA]]</f>
        <v>-2738.9178299999999</v>
      </c>
      <c r="BC61">
        <f>Table1[[#This Row],[FG%]]*$CN$18</f>
        <v>109.75000878</v>
      </c>
      <c r="BD61">
        <f>Table1[[#This Row],[3P]]*$CO$18</f>
        <v>359.964</v>
      </c>
      <c r="BE61">
        <f>$CP$18*Table1[[#This Row],[3PA]]</f>
        <v>-509</v>
      </c>
      <c r="BF61">
        <f>Table1[[#This Row],[3P%]]*$CQ$18</f>
        <v>104.94009539999999</v>
      </c>
      <c r="BG61">
        <f>$CR$18*Table1[[#This Row],[FT]]</f>
        <v>219.46709999999999</v>
      </c>
      <c r="BH61">
        <f>$CS$18*Table1[[#This Row],[FTA]]</f>
        <v>328.41120000000001</v>
      </c>
      <c r="BI61">
        <f>Table1[[#This Row],[FT%]]*$CT$18</f>
        <v>246.10522800000004</v>
      </c>
      <c r="BJ61">
        <f>Table1[[#This Row],[ORB]]*$CU$18</f>
        <v>1210.5455999999999</v>
      </c>
      <c r="BK61">
        <f>Table1[[#This Row],[TRB]]*$CV$18</f>
        <v>2838.8145600000003</v>
      </c>
      <c r="BL61">
        <f>$CW$18*Table1[[#This Row],[AST]]</f>
        <v>575.88670999999988</v>
      </c>
      <c r="BM61">
        <f>Table1[[#This Row],[STL]]</f>
        <v>204</v>
      </c>
      <c r="BN61">
        <f>Table1[[#This Row],[BLK]]*$CY$18</f>
        <v>239.75</v>
      </c>
      <c r="BO61">
        <f>$CZ$18*Table1[[#This Row],[TOV]]</f>
        <v>-1057.50846</v>
      </c>
      <c r="BP61">
        <f>Table1[[#This Row],[PF]]*$DA$18</f>
        <v>539.94600000000003</v>
      </c>
      <c r="BQ61">
        <f>SUM(Table1[[#This Row],[SCW]:[SCPF]])</f>
        <v>6350.9044014800002</v>
      </c>
    </row>
    <row r="62" spans="1:69" x14ac:dyDescent="0.45">
      <c r="A62" s="3">
        <v>10</v>
      </c>
      <c r="B62" s="4" t="s">
        <v>26</v>
      </c>
      <c r="C62" s="3">
        <v>29</v>
      </c>
      <c r="D62" s="3">
        <v>24</v>
      </c>
      <c r="E62" s="3">
        <v>5</v>
      </c>
      <c r="F62" s="3">
        <v>0.82799999999999996</v>
      </c>
      <c r="G62" s="3">
        <v>6.27</v>
      </c>
      <c r="H62" s="3">
        <v>-6.37</v>
      </c>
      <c r="I62" s="3"/>
      <c r="J62" s="3">
        <v>13</v>
      </c>
      <c r="K62" s="3">
        <v>2</v>
      </c>
      <c r="L62" s="3"/>
      <c r="M62" s="3">
        <v>13</v>
      </c>
      <c r="N62" s="3">
        <v>0</v>
      </c>
      <c r="O62" s="3"/>
      <c r="P62" s="3">
        <v>5</v>
      </c>
      <c r="Q62" s="3">
        <v>4</v>
      </c>
      <c r="R62" s="3"/>
      <c r="S62" s="3">
        <v>2196</v>
      </c>
      <c r="T62" s="3">
        <v>1753</v>
      </c>
      <c r="U62" s="3"/>
      <c r="V62" s="3">
        <v>1160</v>
      </c>
      <c r="W62" s="3">
        <v>786</v>
      </c>
      <c r="X62" s="3">
        <v>1752</v>
      </c>
      <c r="Y62" s="3">
        <v>0.44900000000000001</v>
      </c>
      <c r="Z62" s="3">
        <v>221</v>
      </c>
      <c r="AA62" s="3">
        <v>643</v>
      </c>
      <c r="AB62" s="3">
        <v>0.34399999999999997</v>
      </c>
      <c r="AC62" s="3">
        <v>403</v>
      </c>
      <c r="AD62" s="3">
        <v>594</v>
      </c>
      <c r="AE62" s="3">
        <v>0.67800000000000005</v>
      </c>
      <c r="AF62" s="3">
        <v>329</v>
      </c>
      <c r="AG62" s="3">
        <v>1047</v>
      </c>
      <c r="AH62" s="3">
        <v>513</v>
      </c>
      <c r="AI62" s="3">
        <v>282</v>
      </c>
      <c r="AJ62" s="3">
        <v>86</v>
      </c>
      <c r="AK62" s="3">
        <v>394</v>
      </c>
      <c r="AL62" s="3">
        <v>554</v>
      </c>
      <c r="AM62" s="3">
        <f>Table1[[#This Row],[W]]*$BX$18</f>
        <v>53.328000000000003</v>
      </c>
      <c r="AN62" s="3">
        <f>Table1[[#This Row],[L]]*$BY$18</f>
        <v>-9.99</v>
      </c>
      <c r="AO62" s="3">
        <f>Table1[[#This Row],[W-L%]]*$BZ$18</f>
        <v>165.59983439999999</v>
      </c>
      <c r="AP62" s="3">
        <f>Table1[[#This Row],[SRS]]*$CA$18</f>
        <v>18.287395499999999</v>
      </c>
      <c r="AQ62" s="3">
        <f>1.5*Table1[[#This Row],[SOS]]</f>
        <v>-9.5549999999999997</v>
      </c>
      <c r="AR62">
        <f>Table1[[#This Row],[Conf. W]]*$CC$18</f>
        <v>40.04</v>
      </c>
      <c r="AS62">
        <f>Table1[[#This Row],[Conf. L]]*$CD$18</f>
        <v>-6.16</v>
      </c>
      <c r="AT62">
        <f>Table1[[#This Row],[HomeW]]*$CE$18</f>
        <v>13</v>
      </c>
      <c r="AU62">
        <f>Table1[[#This Row],[HomeL]]*$CF$18</f>
        <v>0</v>
      </c>
      <c r="AV62">
        <f>Table1[[#This Row],[AwayW]]*$CG$18</f>
        <v>8.3324999999999996</v>
      </c>
      <c r="AW62">
        <f>Table1[[#This Row],[AwayL]]*$CH$18</f>
        <v>6.6659999999999995</v>
      </c>
      <c r="AX62">
        <f>Table1[[#This Row],[Tm.]]*$CI$18</f>
        <v>4148.0244000000002</v>
      </c>
      <c r="AY62">
        <f>$CJ$18*Table1[[#This Row],[Opp.]]</f>
        <v>-2629.5525900000002</v>
      </c>
      <c r="AZ62">
        <f>Table1[[#This Row],[MP]]*$CK$18</f>
        <v>1160</v>
      </c>
      <c r="BA62">
        <f>$CL$18*Table1[[#This Row],[FG]]</f>
        <v>1179</v>
      </c>
      <c r="BB62">
        <f>$CM$18*Table1[[#This Row],[FGA]]</f>
        <v>-2627.9211599999999</v>
      </c>
      <c r="BC62">
        <f>Table1[[#This Row],[FG%]]*$CN$18</f>
        <v>112.25000898</v>
      </c>
      <c r="BD62">
        <f>Table1[[#This Row],[3P]]*$CO$18</f>
        <v>491.06200000000001</v>
      </c>
      <c r="BE62">
        <f>$CP$18*Table1[[#This Row],[3PA]]</f>
        <v>-643</v>
      </c>
      <c r="BF62">
        <f>Table1[[#This Row],[3P%]]*$CQ$18</f>
        <v>113.52010319999998</v>
      </c>
      <c r="BG62">
        <f>$CR$18*Table1[[#This Row],[FT]]</f>
        <v>212.09889999999999</v>
      </c>
      <c r="BH62">
        <f>$CS$18*Table1[[#This Row],[FTA]]</f>
        <v>312.62220000000002</v>
      </c>
      <c r="BI62">
        <f>Table1[[#This Row],[FT%]]*$CT$18</f>
        <v>249.78943800000005</v>
      </c>
      <c r="BJ62">
        <f>Table1[[#This Row],[ORB]]*$CU$18</f>
        <v>877.24559999999997</v>
      </c>
      <c r="BK62">
        <f>Table1[[#This Row],[TRB]]*$CV$18</f>
        <v>2393.1069600000001</v>
      </c>
      <c r="BL62">
        <f>$CW$18*Table1[[#This Row],[AST]]</f>
        <v>666.88460999999995</v>
      </c>
      <c r="BM62">
        <f>Table1[[#This Row],[STL]]</f>
        <v>282</v>
      </c>
      <c r="BN62">
        <f>Table1[[#This Row],[BLK]]*$CY$18</f>
        <v>150.5</v>
      </c>
      <c r="BO62">
        <f>$CZ$18*Table1[[#This Row],[TOV]]</f>
        <v>-985.00788</v>
      </c>
      <c r="BP62">
        <f>Table1[[#This Row],[PF]]*$DA$18</f>
        <v>615.49400000000003</v>
      </c>
      <c r="BQ62">
        <f>SUM(Table1[[#This Row],[SCW]:[SCPF]])</f>
        <v>6357.6653200799992</v>
      </c>
    </row>
    <row r="63" spans="1:69" x14ac:dyDescent="0.45">
      <c r="A63" s="3">
        <v>6</v>
      </c>
      <c r="B63" s="4" t="s">
        <v>47</v>
      </c>
      <c r="C63" s="3">
        <v>31</v>
      </c>
      <c r="D63" s="3">
        <v>26</v>
      </c>
      <c r="E63" s="3">
        <v>5</v>
      </c>
      <c r="F63" s="3">
        <v>0.83899999999999997</v>
      </c>
      <c r="G63" s="3">
        <v>9.42</v>
      </c>
      <c r="H63" s="3">
        <v>-0.48</v>
      </c>
      <c r="I63" s="3"/>
      <c r="J63" s="3">
        <v>15</v>
      </c>
      <c r="K63" s="3">
        <v>3</v>
      </c>
      <c r="L63" s="3"/>
      <c r="M63" s="3">
        <v>14</v>
      </c>
      <c r="N63" s="3">
        <v>1</v>
      </c>
      <c r="O63" s="3"/>
      <c r="P63" s="3">
        <v>9</v>
      </c>
      <c r="Q63" s="3">
        <v>2</v>
      </c>
      <c r="R63" s="3"/>
      <c r="S63" s="3">
        <v>2354</v>
      </c>
      <c r="T63" s="3">
        <v>1999</v>
      </c>
      <c r="U63" s="3"/>
      <c r="V63" s="3">
        <v>1250</v>
      </c>
      <c r="W63" s="3">
        <v>908</v>
      </c>
      <c r="X63" s="3">
        <v>1878</v>
      </c>
      <c r="Y63" s="3">
        <v>0.48299999999999998</v>
      </c>
      <c r="Z63" s="3">
        <v>218</v>
      </c>
      <c r="AA63" s="3">
        <v>594</v>
      </c>
      <c r="AB63" s="3">
        <v>0.36699999999999999</v>
      </c>
      <c r="AC63" s="3">
        <v>320</v>
      </c>
      <c r="AD63" s="3">
        <v>449</v>
      </c>
      <c r="AE63" s="3">
        <v>0.71299999999999997</v>
      </c>
      <c r="AF63" s="3">
        <v>317</v>
      </c>
      <c r="AG63" s="3">
        <v>1120</v>
      </c>
      <c r="AH63" s="3">
        <v>423</v>
      </c>
      <c r="AI63" s="3">
        <v>216</v>
      </c>
      <c r="AJ63" s="3">
        <v>92</v>
      </c>
      <c r="AK63" s="3">
        <v>320</v>
      </c>
      <c r="AL63" s="3">
        <v>487</v>
      </c>
      <c r="AM63" s="3">
        <f>Table1[[#This Row],[W]]*$BX$18</f>
        <v>57.771999999999998</v>
      </c>
      <c r="AN63" s="3">
        <f>Table1[[#This Row],[L]]*$BY$18</f>
        <v>-9.99</v>
      </c>
      <c r="AO63" s="3">
        <f>Table1[[#This Row],[W-L%]]*$BZ$18</f>
        <v>167.7998322</v>
      </c>
      <c r="AP63" s="3">
        <f>Table1[[#This Row],[SRS]]*$CA$18</f>
        <v>27.474843</v>
      </c>
      <c r="AQ63" s="3">
        <f>1.5*Table1[[#This Row],[SOS]]</f>
        <v>-0.72</v>
      </c>
      <c r="AR63">
        <f>Table1[[#This Row],[Conf. W]]*$CC$18</f>
        <v>46.2</v>
      </c>
      <c r="AS63">
        <f>Table1[[#This Row],[Conf. L]]*$CD$18</f>
        <v>-9.24</v>
      </c>
      <c r="AT63">
        <f>Table1[[#This Row],[HomeW]]*$CE$18</f>
        <v>14</v>
      </c>
      <c r="AU63">
        <f>Table1[[#This Row],[HomeL]]*$CF$18</f>
        <v>1</v>
      </c>
      <c r="AV63">
        <f>Table1[[#This Row],[AwayW]]*$CG$18</f>
        <v>14.998499999999998</v>
      </c>
      <c r="AW63">
        <f>Table1[[#This Row],[AwayL]]*$CH$18</f>
        <v>3.3329999999999997</v>
      </c>
      <c r="AX63">
        <f>Table1[[#This Row],[Tm.]]*$CI$18</f>
        <v>4446.4705999999996</v>
      </c>
      <c r="AY63">
        <f>$CJ$18*Table1[[#This Row],[Opp.]]</f>
        <v>-2998.5599700000002</v>
      </c>
      <c r="AZ63">
        <f>Table1[[#This Row],[MP]]*$CK$18</f>
        <v>1250</v>
      </c>
      <c r="BA63">
        <f>$CL$18*Table1[[#This Row],[FG]]</f>
        <v>1362</v>
      </c>
      <c r="BB63">
        <f>$CM$18*Table1[[#This Row],[FGA]]</f>
        <v>-2816.9154899999999</v>
      </c>
      <c r="BC63">
        <f>Table1[[#This Row],[FG%]]*$CN$18</f>
        <v>120.75000966</v>
      </c>
      <c r="BD63">
        <f>Table1[[#This Row],[3P]]*$CO$18</f>
        <v>484.39600000000002</v>
      </c>
      <c r="BE63">
        <f>$CP$18*Table1[[#This Row],[3PA]]</f>
        <v>-594</v>
      </c>
      <c r="BF63">
        <f>Table1[[#This Row],[3P%]]*$CQ$18</f>
        <v>121.11011009999999</v>
      </c>
      <c r="BG63">
        <f>$CR$18*Table1[[#This Row],[FT]]</f>
        <v>168.416</v>
      </c>
      <c r="BH63">
        <f>$CS$18*Table1[[#This Row],[FTA]]</f>
        <v>236.30869999999999</v>
      </c>
      <c r="BI63">
        <f>Table1[[#This Row],[FT%]]*$CT$18</f>
        <v>262.68417300000004</v>
      </c>
      <c r="BJ63">
        <f>Table1[[#This Row],[ORB]]*$CU$18</f>
        <v>845.24879999999996</v>
      </c>
      <c r="BK63">
        <f>Table1[[#This Row],[TRB]]*$CV$18</f>
        <v>2559.9616000000001</v>
      </c>
      <c r="BL63">
        <f>$CW$18*Table1[[#This Row],[AST]]</f>
        <v>549.88730999999996</v>
      </c>
      <c r="BM63">
        <f>Table1[[#This Row],[STL]]</f>
        <v>216</v>
      </c>
      <c r="BN63">
        <f>Table1[[#This Row],[BLK]]*$CY$18</f>
        <v>161</v>
      </c>
      <c r="BO63">
        <f>$CZ$18*Table1[[#This Row],[TOV]]</f>
        <v>-800.00639999999999</v>
      </c>
      <c r="BP63">
        <f>Table1[[#This Row],[PF]]*$DA$18</f>
        <v>541.05700000000002</v>
      </c>
      <c r="BQ63">
        <f>SUM(Table1[[#This Row],[SCW]:[SCPF]])</f>
        <v>6428.4366179599992</v>
      </c>
    </row>
    <row r="64" spans="1:69" x14ac:dyDescent="0.45">
      <c r="A64" s="3">
        <v>8</v>
      </c>
      <c r="B64" s="4" t="s">
        <v>31</v>
      </c>
      <c r="C64" s="3">
        <v>32</v>
      </c>
      <c r="D64" s="3">
        <v>25</v>
      </c>
      <c r="E64" s="3">
        <v>7</v>
      </c>
      <c r="F64" s="3">
        <v>0.78100000000000003</v>
      </c>
      <c r="G64" s="3">
        <v>17.8</v>
      </c>
      <c r="H64" s="3">
        <v>7.18</v>
      </c>
      <c r="I64" s="3"/>
      <c r="J64" s="3">
        <v>13</v>
      </c>
      <c r="K64" s="3">
        <v>4</v>
      </c>
      <c r="L64" s="3"/>
      <c r="M64" s="3">
        <v>16</v>
      </c>
      <c r="N64" s="3">
        <v>1</v>
      </c>
      <c r="O64" s="3"/>
      <c r="P64" s="3">
        <v>5</v>
      </c>
      <c r="Q64" s="3">
        <v>4</v>
      </c>
      <c r="R64" s="3"/>
      <c r="S64" s="3">
        <v>2604</v>
      </c>
      <c r="T64" s="3">
        <v>2264</v>
      </c>
      <c r="U64" s="3"/>
      <c r="V64" s="3">
        <v>1285</v>
      </c>
      <c r="W64" s="3">
        <v>935</v>
      </c>
      <c r="X64" s="3">
        <v>2071</v>
      </c>
      <c r="Y64" s="3">
        <v>0.45100000000000001</v>
      </c>
      <c r="Z64" s="3">
        <v>233</v>
      </c>
      <c r="AA64" s="3">
        <v>702</v>
      </c>
      <c r="AB64" s="3">
        <v>0.33200000000000002</v>
      </c>
      <c r="AC64" s="3">
        <v>501</v>
      </c>
      <c r="AD64" s="3">
        <v>677</v>
      </c>
      <c r="AE64" s="3">
        <v>0.74</v>
      </c>
      <c r="AF64" s="3">
        <v>378</v>
      </c>
      <c r="AG64" s="3">
        <v>1271</v>
      </c>
      <c r="AH64" s="3">
        <v>466</v>
      </c>
      <c r="AI64" s="3">
        <v>251</v>
      </c>
      <c r="AJ64" s="3">
        <v>158</v>
      </c>
      <c r="AK64" s="3">
        <v>412</v>
      </c>
      <c r="AL64" s="3">
        <v>540</v>
      </c>
      <c r="AM64" s="3">
        <f>Table1[[#This Row],[W]]*$BX$18</f>
        <v>55.55</v>
      </c>
      <c r="AN64" s="3">
        <f>Table1[[#This Row],[L]]*$BY$18</f>
        <v>-13.986000000000001</v>
      </c>
      <c r="AO64" s="3">
        <f>Table1[[#This Row],[W-L%]]*$BZ$18</f>
        <v>156.1998438</v>
      </c>
      <c r="AP64" s="3">
        <f>Table1[[#This Row],[SRS]]*$CA$18</f>
        <v>51.916370000000008</v>
      </c>
      <c r="AQ64" s="3">
        <f>1.5*Table1[[#This Row],[SOS]]</f>
        <v>10.77</v>
      </c>
      <c r="AR64">
        <f>Table1[[#This Row],[Conf. W]]*$CC$18</f>
        <v>40.04</v>
      </c>
      <c r="AS64">
        <f>Table1[[#This Row],[Conf. L]]*$CD$18</f>
        <v>-12.32</v>
      </c>
      <c r="AT64">
        <f>Table1[[#This Row],[HomeW]]*$CE$18</f>
        <v>16</v>
      </c>
      <c r="AU64">
        <f>Table1[[#This Row],[HomeL]]*$CF$18</f>
        <v>1</v>
      </c>
      <c r="AV64">
        <f>Table1[[#This Row],[AwayW]]*$CG$18</f>
        <v>8.3324999999999996</v>
      </c>
      <c r="AW64">
        <f>Table1[[#This Row],[AwayL]]*$CH$18</f>
        <v>6.6659999999999995</v>
      </c>
      <c r="AX64">
        <f>Table1[[#This Row],[Tm.]]*$CI$18</f>
        <v>4918.6956</v>
      </c>
      <c r="AY64">
        <f>$CJ$18*Table1[[#This Row],[Opp.]]</f>
        <v>-3396.0679200000004</v>
      </c>
      <c r="AZ64">
        <f>Table1[[#This Row],[MP]]*$CK$18</f>
        <v>1285</v>
      </c>
      <c r="BA64">
        <f>$CL$18*Table1[[#This Row],[FG]]</f>
        <v>1402.5</v>
      </c>
      <c r="BB64">
        <f>$CM$18*Table1[[#This Row],[FGA]]</f>
        <v>-3106.4068049999996</v>
      </c>
      <c r="BC64">
        <f>Table1[[#This Row],[FG%]]*$CN$18</f>
        <v>112.75000902000001</v>
      </c>
      <c r="BD64">
        <f>Table1[[#This Row],[3P]]*$CO$18</f>
        <v>517.726</v>
      </c>
      <c r="BE64">
        <f>$CP$18*Table1[[#This Row],[3PA]]</f>
        <v>-702</v>
      </c>
      <c r="BF64">
        <f>Table1[[#This Row],[3P%]]*$CQ$18</f>
        <v>109.5600996</v>
      </c>
      <c r="BG64">
        <f>$CR$18*Table1[[#This Row],[FT]]</f>
        <v>263.67629999999997</v>
      </c>
      <c r="BH64">
        <f>$CS$18*Table1[[#This Row],[FTA]]</f>
        <v>356.30509999999998</v>
      </c>
      <c r="BI64">
        <f>Table1[[#This Row],[FT%]]*$CT$18</f>
        <v>272.63154000000003</v>
      </c>
      <c r="BJ64">
        <f>Table1[[#This Row],[ORB]]*$CU$18</f>
        <v>1007.8992</v>
      </c>
      <c r="BK64">
        <f>Table1[[#This Row],[TRB]]*$CV$18</f>
        <v>2905.0992800000004</v>
      </c>
      <c r="BL64">
        <f>$CW$18*Table1[[#This Row],[AST]]</f>
        <v>605.78601999999989</v>
      </c>
      <c r="BM64">
        <f>Table1[[#This Row],[STL]]</f>
        <v>251</v>
      </c>
      <c r="BN64">
        <f>Table1[[#This Row],[BLK]]*$CY$18</f>
        <v>276.5</v>
      </c>
      <c r="BO64">
        <f>$CZ$18*Table1[[#This Row],[TOV]]</f>
        <v>-1030.0082400000001</v>
      </c>
      <c r="BP64">
        <f>Table1[[#This Row],[PF]]*$DA$18</f>
        <v>599.93999999999994</v>
      </c>
      <c r="BQ64">
        <f>SUM(Table1[[#This Row],[SCW]:[SCPF]])</f>
        <v>6970.754897419999</v>
      </c>
    </row>
    <row r="65" spans="1:69" x14ac:dyDescent="0.45">
      <c r="A65" s="3">
        <v>4</v>
      </c>
      <c r="B65" s="4" t="s">
        <v>28</v>
      </c>
      <c r="C65" s="3">
        <v>33</v>
      </c>
      <c r="D65" s="3">
        <v>26</v>
      </c>
      <c r="E65" s="3">
        <v>7</v>
      </c>
      <c r="F65" s="3">
        <v>0.78800000000000003</v>
      </c>
      <c r="G65" s="3">
        <v>19.579999999999998</v>
      </c>
      <c r="H65" s="3">
        <v>10.01</v>
      </c>
      <c r="I65" s="3"/>
      <c r="J65" s="3">
        <v>16</v>
      </c>
      <c r="K65" s="3">
        <v>2</v>
      </c>
      <c r="L65" s="3"/>
      <c r="M65" s="3">
        <v>12</v>
      </c>
      <c r="N65" s="3">
        <v>1</v>
      </c>
      <c r="O65" s="3"/>
      <c r="P65" s="3">
        <v>7</v>
      </c>
      <c r="Q65" s="3">
        <v>3</v>
      </c>
      <c r="R65" s="3"/>
      <c r="S65" s="3">
        <v>2629</v>
      </c>
      <c r="T65" s="3">
        <v>2313</v>
      </c>
      <c r="U65" s="3"/>
      <c r="V65" s="3">
        <v>1325</v>
      </c>
      <c r="W65" s="3">
        <v>924</v>
      </c>
      <c r="X65" s="3">
        <v>2125</v>
      </c>
      <c r="Y65" s="3">
        <v>0.435</v>
      </c>
      <c r="Z65" s="3">
        <v>348</v>
      </c>
      <c r="AA65" s="3">
        <v>989</v>
      </c>
      <c r="AB65" s="3">
        <v>0.35199999999999998</v>
      </c>
      <c r="AC65" s="3">
        <v>433</v>
      </c>
      <c r="AD65" s="3">
        <v>612</v>
      </c>
      <c r="AE65" s="3">
        <v>0.70799999999999996</v>
      </c>
      <c r="AF65" s="3">
        <v>408</v>
      </c>
      <c r="AG65" s="3">
        <v>1343</v>
      </c>
      <c r="AH65" s="3">
        <v>464</v>
      </c>
      <c r="AI65" s="3">
        <v>280</v>
      </c>
      <c r="AJ65" s="3">
        <v>143</v>
      </c>
      <c r="AK65" s="3">
        <v>458</v>
      </c>
      <c r="AL65" s="3">
        <v>603</v>
      </c>
      <c r="AM65" s="3">
        <f>Table1[[#This Row],[W]]*$BX$18</f>
        <v>57.771999999999998</v>
      </c>
      <c r="AN65" s="3">
        <f>Table1[[#This Row],[L]]*$BY$18</f>
        <v>-13.986000000000001</v>
      </c>
      <c r="AO65" s="3">
        <f>Table1[[#This Row],[W-L%]]*$BZ$18</f>
        <v>157.5998424</v>
      </c>
      <c r="AP65" s="3">
        <f>Table1[[#This Row],[SRS]]*$CA$18</f>
        <v>57.108007000000001</v>
      </c>
      <c r="AQ65" s="3">
        <f>1.5*Table1[[#This Row],[SOS]]</f>
        <v>15.015000000000001</v>
      </c>
      <c r="AR65">
        <f>Table1[[#This Row],[Conf. W]]*$CC$18</f>
        <v>49.28</v>
      </c>
      <c r="AS65">
        <f>Table1[[#This Row],[Conf. L]]*$CD$18</f>
        <v>-6.16</v>
      </c>
      <c r="AT65">
        <f>Table1[[#This Row],[HomeW]]*$CE$18</f>
        <v>12</v>
      </c>
      <c r="AU65">
        <f>Table1[[#This Row],[HomeL]]*$CF$18</f>
        <v>1</v>
      </c>
      <c r="AV65">
        <f>Table1[[#This Row],[AwayW]]*$CG$18</f>
        <v>11.6655</v>
      </c>
      <c r="AW65">
        <f>Table1[[#This Row],[AwayL]]*$CH$18</f>
        <v>4.9994999999999994</v>
      </c>
      <c r="AX65">
        <f>Table1[[#This Row],[Tm.]]*$CI$18</f>
        <v>4965.9180999999999</v>
      </c>
      <c r="AY65">
        <f>$CJ$18*Table1[[#This Row],[Opp.]]</f>
        <v>-3469.5693900000006</v>
      </c>
      <c r="AZ65">
        <f>Table1[[#This Row],[MP]]*$CK$18</f>
        <v>1325</v>
      </c>
      <c r="BA65">
        <f>$CL$18*Table1[[#This Row],[FG]]</f>
        <v>1386</v>
      </c>
      <c r="BB65">
        <f>$CM$18*Table1[[#This Row],[FGA]]</f>
        <v>-3187.4043750000001</v>
      </c>
      <c r="BC65">
        <f>Table1[[#This Row],[FG%]]*$CN$18</f>
        <v>108.75000870000001</v>
      </c>
      <c r="BD65">
        <f>Table1[[#This Row],[3P]]*$CO$18</f>
        <v>773.25599999999997</v>
      </c>
      <c r="BE65">
        <f>$CP$18*Table1[[#This Row],[3PA]]</f>
        <v>-989</v>
      </c>
      <c r="BF65">
        <f>Table1[[#This Row],[3P%]]*$CQ$18</f>
        <v>116.16010559999998</v>
      </c>
      <c r="BG65">
        <f>$CR$18*Table1[[#This Row],[FT]]</f>
        <v>227.8879</v>
      </c>
      <c r="BH65">
        <f>$CS$18*Table1[[#This Row],[FTA]]</f>
        <v>322.09559999999999</v>
      </c>
      <c r="BI65">
        <f>Table1[[#This Row],[FT%]]*$CT$18</f>
        <v>260.84206800000004</v>
      </c>
      <c r="BJ65">
        <f>Table1[[#This Row],[ORB]]*$CU$18</f>
        <v>1087.8912</v>
      </c>
      <c r="BK65">
        <f>Table1[[#This Row],[TRB]]*$CV$18</f>
        <v>3069.6682400000004</v>
      </c>
      <c r="BL65">
        <f>$CW$18*Table1[[#This Row],[AST]]</f>
        <v>603.18607999999995</v>
      </c>
      <c r="BM65">
        <f>Table1[[#This Row],[STL]]</f>
        <v>280</v>
      </c>
      <c r="BN65">
        <f>Table1[[#This Row],[BLK]]*$CY$18</f>
        <v>250.25</v>
      </c>
      <c r="BO65">
        <f>$CZ$18*Table1[[#This Row],[TOV]]</f>
        <v>-1145.0091600000001</v>
      </c>
      <c r="BP65">
        <f>Table1[[#This Row],[PF]]*$DA$18</f>
        <v>669.93299999999999</v>
      </c>
      <c r="BQ65">
        <f>SUM(Table1[[#This Row],[SCW]:[SCPF]])</f>
        <v>7002.1492267000003</v>
      </c>
    </row>
    <row r="66" spans="1:69" x14ac:dyDescent="0.45">
      <c r="A66" s="3">
        <v>11</v>
      </c>
      <c r="B66" s="4" t="s">
        <v>50</v>
      </c>
      <c r="C66" s="3">
        <v>31</v>
      </c>
      <c r="D66" s="3">
        <v>24</v>
      </c>
      <c r="E66" s="3">
        <v>7</v>
      </c>
      <c r="F66" s="3">
        <v>0.77400000000000002</v>
      </c>
      <c r="G66" s="3">
        <v>23.25</v>
      </c>
      <c r="H66" s="3">
        <v>11.34</v>
      </c>
      <c r="I66" s="3"/>
      <c r="J66" s="3">
        <v>16</v>
      </c>
      <c r="K66" s="3">
        <v>4</v>
      </c>
      <c r="L66" s="3"/>
      <c r="M66" s="3">
        <v>11</v>
      </c>
      <c r="N66" s="3">
        <v>2</v>
      </c>
      <c r="O66" s="3"/>
      <c r="P66" s="3">
        <v>9</v>
      </c>
      <c r="Q66" s="3">
        <v>3</v>
      </c>
      <c r="R66" s="3"/>
      <c r="S66" s="3">
        <v>2497</v>
      </c>
      <c r="T66" s="3">
        <v>2128</v>
      </c>
      <c r="U66" s="3"/>
      <c r="V66" s="3">
        <v>1255</v>
      </c>
      <c r="W66" s="3">
        <v>909</v>
      </c>
      <c r="X66" s="3">
        <v>1819</v>
      </c>
      <c r="Y66" s="3">
        <v>0.5</v>
      </c>
      <c r="Z66" s="3">
        <v>203</v>
      </c>
      <c r="AA66" s="3">
        <v>544</v>
      </c>
      <c r="AB66" s="3">
        <v>0.373</v>
      </c>
      <c r="AC66" s="3">
        <v>476</v>
      </c>
      <c r="AD66" s="3">
        <v>690</v>
      </c>
      <c r="AE66" s="3">
        <v>0.69</v>
      </c>
      <c r="AF66" s="3">
        <v>322</v>
      </c>
      <c r="AG66" s="3">
        <v>1239</v>
      </c>
      <c r="AH66" s="3">
        <v>506</v>
      </c>
      <c r="AI66" s="3">
        <v>176</v>
      </c>
      <c r="AJ66" s="3">
        <v>87</v>
      </c>
      <c r="AK66" s="3">
        <v>404</v>
      </c>
      <c r="AL66" s="3">
        <v>549</v>
      </c>
      <c r="AM66" s="3">
        <f>Table1[[#This Row],[W]]*$BX$18</f>
        <v>53.328000000000003</v>
      </c>
      <c r="AN66" s="3">
        <f>Table1[[#This Row],[L]]*$BY$18</f>
        <v>-13.986000000000001</v>
      </c>
      <c r="AO66" s="3">
        <f>Table1[[#This Row],[W-L%]]*$BZ$18</f>
        <v>154.79984519999999</v>
      </c>
      <c r="AP66" s="3">
        <f>Table1[[#This Row],[SRS]]*$CA$18</f>
        <v>67.812112499999998</v>
      </c>
      <c r="AQ66" s="3">
        <f>1.5*Table1[[#This Row],[SOS]]</f>
        <v>17.009999999999998</v>
      </c>
      <c r="AR66">
        <f>Table1[[#This Row],[Conf. W]]*$CC$18</f>
        <v>49.28</v>
      </c>
      <c r="AS66">
        <f>Table1[[#This Row],[Conf. L]]*$CD$18</f>
        <v>-12.32</v>
      </c>
      <c r="AT66">
        <f>Table1[[#This Row],[HomeW]]*$CE$18</f>
        <v>11</v>
      </c>
      <c r="AU66">
        <f>Table1[[#This Row],[HomeL]]*$CF$18</f>
        <v>2</v>
      </c>
      <c r="AV66">
        <f>Table1[[#This Row],[AwayW]]*$CG$18</f>
        <v>14.998499999999998</v>
      </c>
      <c r="AW66">
        <f>Table1[[#This Row],[AwayL]]*$CH$18</f>
        <v>4.9994999999999994</v>
      </c>
      <c r="AX66">
        <f>Table1[[#This Row],[Tm.]]*$CI$18</f>
        <v>4716.5833000000002</v>
      </c>
      <c r="AY66">
        <f>$CJ$18*Table1[[#This Row],[Opp.]]</f>
        <v>-3192.0638400000003</v>
      </c>
      <c r="AZ66">
        <f>Table1[[#This Row],[MP]]*$CK$18</f>
        <v>1255</v>
      </c>
      <c r="BA66">
        <f>$CL$18*Table1[[#This Row],[FG]]</f>
        <v>1363.5</v>
      </c>
      <c r="BB66">
        <f>$CM$18*Table1[[#This Row],[FGA]]</f>
        <v>-2728.4181449999996</v>
      </c>
      <c r="BC66">
        <f>Table1[[#This Row],[FG%]]*$CN$18</f>
        <v>125.00001</v>
      </c>
      <c r="BD66">
        <f>Table1[[#This Row],[3P]]*$CO$18</f>
        <v>451.06599999999997</v>
      </c>
      <c r="BE66">
        <f>$CP$18*Table1[[#This Row],[3PA]]</f>
        <v>-544</v>
      </c>
      <c r="BF66">
        <f>Table1[[#This Row],[3P%]]*$CQ$18</f>
        <v>123.0901119</v>
      </c>
      <c r="BG66">
        <f>$CR$18*Table1[[#This Row],[FT]]</f>
        <v>250.5188</v>
      </c>
      <c r="BH66">
        <f>$CS$18*Table1[[#This Row],[FTA]]</f>
        <v>363.14699999999999</v>
      </c>
      <c r="BI66">
        <f>Table1[[#This Row],[FT%]]*$CT$18</f>
        <v>254.21049000000002</v>
      </c>
      <c r="BJ66">
        <f>Table1[[#This Row],[ORB]]*$CU$18</f>
        <v>858.58079999999995</v>
      </c>
      <c r="BK66">
        <f>Table1[[#This Row],[TRB]]*$CV$18</f>
        <v>2831.9575200000004</v>
      </c>
      <c r="BL66">
        <f>$CW$18*Table1[[#This Row],[AST]]</f>
        <v>657.78481999999997</v>
      </c>
      <c r="BM66">
        <f>Table1[[#This Row],[STL]]</f>
        <v>176</v>
      </c>
      <c r="BN66">
        <f>Table1[[#This Row],[BLK]]*$CY$18</f>
        <v>152.25</v>
      </c>
      <c r="BO66">
        <f>$CZ$18*Table1[[#This Row],[TOV]]</f>
        <v>-1010.0080800000001</v>
      </c>
      <c r="BP66">
        <f>Table1[[#This Row],[PF]]*$DA$18</f>
        <v>609.93899999999996</v>
      </c>
      <c r="BQ66">
        <f>SUM(Table1[[#This Row],[SCW]:[SCPF]])</f>
        <v>7063.0597445999992</v>
      </c>
    </row>
    <row r="67" spans="1:69" x14ac:dyDescent="0.45">
      <c r="A67" s="3">
        <v>2</v>
      </c>
      <c r="B67" s="4" t="s">
        <v>32</v>
      </c>
      <c r="C67" s="3">
        <v>30</v>
      </c>
      <c r="D67" s="3">
        <v>28</v>
      </c>
      <c r="E67" s="3">
        <v>2</v>
      </c>
      <c r="F67" s="3">
        <v>0.93300000000000005</v>
      </c>
      <c r="G67" s="3">
        <v>24.83</v>
      </c>
      <c r="H67" s="3">
        <v>7.4</v>
      </c>
      <c r="I67" s="3"/>
      <c r="J67" s="3">
        <v>13</v>
      </c>
      <c r="K67" s="3">
        <v>1</v>
      </c>
      <c r="L67" s="3"/>
      <c r="M67" s="3">
        <v>11</v>
      </c>
      <c r="N67" s="3">
        <v>0</v>
      </c>
      <c r="O67" s="3"/>
      <c r="P67" s="3">
        <v>7</v>
      </c>
      <c r="Q67" s="3">
        <v>1</v>
      </c>
      <c r="R67" s="3"/>
      <c r="S67" s="3">
        <v>2487</v>
      </c>
      <c r="T67" s="3">
        <v>1964</v>
      </c>
      <c r="U67" s="3"/>
      <c r="V67" s="3">
        <v>1205</v>
      </c>
      <c r="W67" s="3">
        <v>917</v>
      </c>
      <c r="X67" s="3">
        <v>1886</v>
      </c>
      <c r="Y67" s="3">
        <v>0.48599999999999999</v>
      </c>
      <c r="Z67" s="3">
        <v>299</v>
      </c>
      <c r="AA67" s="3">
        <v>724</v>
      </c>
      <c r="AB67" s="3">
        <v>0.41299999999999998</v>
      </c>
      <c r="AC67" s="3">
        <v>354</v>
      </c>
      <c r="AD67" s="3">
        <v>500</v>
      </c>
      <c r="AE67" s="3">
        <v>0.70799999999999996</v>
      </c>
      <c r="AF67" s="3">
        <v>374</v>
      </c>
      <c r="AG67" s="3">
        <v>1079</v>
      </c>
      <c r="AH67" s="3">
        <v>507</v>
      </c>
      <c r="AI67" s="3">
        <v>267</v>
      </c>
      <c r="AJ67" s="3">
        <v>111</v>
      </c>
      <c r="AK67" s="3">
        <v>345</v>
      </c>
      <c r="AL67" s="3">
        <v>513</v>
      </c>
      <c r="AM67" s="3">
        <f>Table1[[#This Row],[W]]*$BX$18</f>
        <v>62.216000000000001</v>
      </c>
      <c r="AN67" s="3">
        <f>Table1[[#This Row],[L]]*$BY$18</f>
        <v>-3.996</v>
      </c>
      <c r="AO67" s="3">
        <f>Table1[[#This Row],[W-L%]]*$BZ$18</f>
        <v>186.59981340000002</v>
      </c>
      <c r="AP67" s="3">
        <f>Table1[[#This Row],[SRS]]*$CA$18</f>
        <v>72.420419499999994</v>
      </c>
      <c r="AQ67" s="3">
        <f>1.5*Table1[[#This Row],[SOS]]</f>
        <v>11.100000000000001</v>
      </c>
      <c r="AR67">
        <f>Table1[[#This Row],[Conf. W]]*$CC$18</f>
        <v>40.04</v>
      </c>
      <c r="AS67">
        <f>Table1[[#This Row],[Conf. L]]*$CD$18</f>
        <v>-3.08</v>
      </c>
      <c r="AT67">
        <f>Table1[[#This Row],[HomeW]]*$CE$18</f>
        <v>11</v>
      </c>
      <c r="AU67">
        <f>Table1[[#This Row],[HomeL]]*$CF$18</f>
        <v>0</v>
      </c>
      <c r="AV67">
        <f>Table1[[#This Row],[AwayW]]*$CG$18</f>
        <v>11.6655</v>
      </c>
      <c r="AW67">
        <f>Table1[[#This Row],[AwayL]]*$CH$18</f>
        <v>1.6664999999999999</v>
      </c>
      <c r="AX67">
        <f>Table1[[#This Row],[Tm.]]*$CI$18</f>
        <v>4697.6943000000001</v>
      </c>
      <c r="AY67">
        <f>$CJ$18*Table1[[#This Row],[Opp.]]</f>
        <v>-2946.0589200000004</v>
      </c>
      <c r="AZ67">
        <f>Table1[[#This Row],[MP]]*$CK$18</f>
        <v>1205</v>
      </c>
      <c r="BA67">
        <f>$CL$18*Table1[[#This Row],[FG]]</f>
        <v>1375.5</v>
      </c>
      <c r="BB67">
        <f>$CM$18*Table1[[#This Row],[FGA]]</f>
        <v>-2828.9151299999999</v>
      </c>
      <c r="BC67">
        <f>Table1[[#This Row],[FG%]]*$CN$18</f>
        <v>121.50000971999999</v>
      </c>
      <c r="BD67">
        <f>Table1[[#This Row],[3P]]*$CO$18</f>
        <v>664.37800000000004</v>
      </c>
      <c r="BE67">
        <f>$CP$18*Table1[[#This Row],[3PA]]</f>
        <v>-724</v>
      </c>
      <c r="BF67">
        <f>Table1[[#This Row],[3P%]]*$CQ$18</f>
        <v>136.2901239</v>
      </c>
      <c r="BG67">
        <f>$CR$18*Table1[[#This Row],[FT]]</f>
        <v>186.31020000000001</v>
      </c>
      <c r="BH67">
        <f>$CS$18*Table1[[#This Row],[FTA]]</f>
        <v>263.14999999999998</v>
      </c>
      <c r="BI67">
        <f>Table1[[#This Row],[FT%]]*$CT$18</f>
        <v>260.84206800000004</v>
      </c>
      <c r="BJ67">
        <f>Table1[[#This Row],[ORB]]*$CU$18</f>
        <v>997.23359999999991</v>
      </c>
      <c r="BK67">
        <f>Table1[[#This Row],[TRB]]*$CV$18</f>
        <v>2466.24872</v>
      </c>
      <c r="BL67">
        <f>$CW$18*Table1[[#This Row],[AST]]</f>
        <v>659.08478999999988</v>
      </c>
      <c r="BM67">
        <f>Table1[[#This Row],[STL]]</f>
        <v>267</v>
      </c>
      <c r="BN67">
        <f>Table1[[#This Row],[BLK]]*$CY$18</f>
        <v>194.25</v>
      </c>
      <c r="BO67">
        <f>$CZ$18*Table1[[#This Row],[TOV]]</f>
        <v>-862.50690000000009</v>
      </c>
      <c r="BP67">
        <f>Table1[[#This Row],[PF]]*$DA$18</f>
        <v>569.94299999999998</v>
      </c>
      <c r="BQ67">
        <f>SUM(Table1[[#This Row],[SCW]:[SCPF]])</f>
        <v>7092.57609452</v>
      </c>
    </row>
    <row r="68" spans="1:69" x14ac:dyDescent="0.45">
      <c r="A68" s="3">
        <v>9</v>
      </c>
      <c r="B68" s="4" t="s">
        <v>49</v>
      </c>
      <c r="C68" s="3">
        <v>33</v>
      </c>
      <c r="D68" s="3">
        <v>25</v>
      </c>
      <c r="E68" s="3">
        <v>8</v>
      </c>
      <c r="F68" s="3">
        <v>0.75800000000000001</v>
      </c>
      <c r="G68" s="3">
        <v>20.5</v>
      </c>
      <c r="H68" s="3">
        <v>10.65</v>
      </c>
      <c r="I68" s="3"/>
      <c r="J68" s="3">
        <v>15</v>
      </c>
      <c r="K68" s="3">
        <v>5</v>
      </c>
      <c r="L68" s="3"/>
      <c r="M68" s="3">
        <v>13</v>
      </c>
      <c r="N68" s="3">
        <v>2</v>
      </c>
      <c r="O68" s="3"/>
      <c r="P68" s="3">
        <v>7</v>
      </c>
      <c r="Q68" s="3">
        <v>3</v>
      </c>
      <c r="R68" s="3"/>
      <c r="S68" s="3">
        <v>2473</v>
      </c>
      <c r="T68" s="3">
        <v>2148</v>
      </c>
      <c r="U68" s="3"/>
      <c r="V68" s="3">
        <v>1340</v>
      </c>
      <c r="W68" s="3">
        <v>904</v>
      </c>
      <c r="X68" s="3">
        <v>1916</v>
      </c>
      <c r="Y68" s="3">
        <v>0.47199999999999998</v>
      </c>
      <c r="Z68" s="3">
        <v>214</v>
      </c>
      <c r="AA68" s="3">
        <v>594</v>
      </c>
      <c r="AB68" s="3">
        <v>0.36</v>
      </c>
      <c r="AC68" s="3">
        <v>451</v>
      </c>
      <c r="AD68" s="3">
        <v>695</v>
      </c>
      <c r="AE68" s="3">
        <v>0.64900000000000002</v>
      </c>
      <c r="AF68" s="3">
        <v>384</v>
      </c>
      <c r="AG68" s="3">
        <v>1282</v>
      </c>
      <c r="AH68" s="3">
        <v>458</v>
      </c>
      <c r="AI68" s="3">
        <v>157</v>
      </c>
      <c r="AJ68" s="3">
        <v>168</v>
      </c>
      <c r="AK68" s="3">
        <v>408</v>
      </c>
      <c r="AL68" s="3">
        <v>498</v>
      </c>
      <c r="AM68" s="3">
        <f>Table1[[#This Row],[W]]*$BX$18</f>
        <v>55.55</v>
      </c>
      <c r="AN68" s="3">
        <f>Table1[[#This Row],[L]]*$BY$18</f>
        <v>-15.984</v>
      </c>
      <c r="AO68" s="3">
        <f>Table1[[#This Row],[W-L%]]*$BZ$18</f>
        <v>151.59984839999998</v>
      </c>
      <c r="AP68" s="3">
        <f>Table1[[#This Row],[SRS]]*$CA$18</f>
        <v>59.791325000000001</v>
      </c>
      <c r="AQ68" s="3">
        <f>1.5*Table1[[#This Row],[SOS]]</f>
        <v>15.975000000000001</v>
      </c>
      <c r="AR68">
        <f>Table1[[#This Row],[Conf. W]]*$CC$18</f>
        <v>46.2</v>
      </c>
      <c r="AS68">
        <f>Table1[[#This Row],[Conf. L]]*$CD$18</f>
        <v>-15.4</v>
      </c>
      <c r="AT68">
        <f>Table1[[#This Row],[HomeW]]*$CE$18</f>
        <v>13</v>
      </c>
      <c r="AU68">
        <f>Table1[[#This Row],[HomeL]]*$CF$18</f>
        <v>2</v>
      </c>
      <c r="AV68">
        <f>Table1[[#This Row],[AwayW]]*$CG$18</f>
        <v>11.6655</v>
      </c>
      <c r="AW68">
        <f>Table1[[#This Row],[AwayL]]*$CH$18</f>
        <v>4.9994999999999994</v>
      </c>
      <c r="AX68">
        <f>Table1[[#This Row],[Tm.]]*$CI$18</f>
        <v>4671.2497000000003</v>
      </c>
      <c r="AY68">
        <f>$CJ$18*Table1[[#This Row],[Opp.]]</f>
        <v>-3222.0644400000006</v>
      </c>
      <c r="AZ68">
        <f>Table1[[#This Row],[MP]]*$CK$18</f>
        <v>1340</v>
      </c>
      <c r="BA68">
        <f>$CL$18*Table1[[#This Row],[FG]]</f>
        <v>1356</v>
      </c>
      <c r="BB68">
        <f>$CM$18*Table1[[#This Row],[FGA]]</f>
        <v>-2873.9137799999999</v>
      </c>
      <c r="BC68">
        <f>Table1[[#This Row],[FG%]]*$CN$18</f>
        <v>118.00000944</v>
      </c>
      <c r="BD68">
        <f>Table1[[#This Row],[3P]]*$CO$18</f>
        <v>475.50799999999998</v>
      </c>
      <c r="BE68">
        <f>$CP$18*Table1[[#This Row],[3PA]]</f>
        <v>-594</v>
      </c>
      <c r="BF68">
        <f>Table1[[#This Row],[3P%]]*$CQ$18</f>
        <v>118.80010799999999</v>
      </c>
      <c r="BG68">
        <f>$CR$18*Table1[[#This Row],[FT]]</f>
        <v>237.3613</v>
      </c>
      <c r="BH68">
        <f>$CS$18*Table1[[#This Row],[FTA]]</f>
        <v>365.77850000000001</v>
      </c>
      <c r="BI68">
        <f>Table1[[#This Row],[FT%]]*$CT$18</f>
        <v>239.10522900000004</v>
      </c>
      <c r="BJ68">
        <f>Table1[[#This Row],[ORB]]*$CU$18</f>
        <v>1023.8976</v>
      </c>
      <c r="BK68">
        <f>Table1[[#This Row],[TRB]]*$CV$18</f>
        <v>2930.2417600000003</v>
      </c>
      <c r="BL68">
        <f>$CW$18*Table1[[#This Row],[AST]]</f>
        <v>595.38625999999988</v>
      </c>
      <c r="BM68">
        <f>Table1[[#This Row],[STL]]</f>
        <v>157</v>
      </c>
      <c r="BN68">
        <f>Table1[[#This Row],[BLK]]*$CY$18</f>
        <v>294</v>
      </c>
      <c r="BO68">
        <f>$CZ$18*Table1[[#This Row],[TOV]]</f>
        <v>-1020.0081600000001</v>
      </c>
      <c r="BP68">
        <f>Table1[[#This Row],[PF]]*$DA$18</f>
        <v>553.27800000000002</v>
      </c>
      <c r="BQ68">
        <f>SUM(Table1[[#This Row],[SCW]:[SCPF]])</f>
        <v>7095.0172598400004</v>
      </c>
    </row>
    <row r="69" spans="1:69" x14ac:dyDescent="0.45">
      <c r="A69" s="3">
        <v>23</v>
      </c>
      <c r="B69" s="4" t="s">
        <v>59</v>
      </c>
      <c r="C69" s="3">
        <v>31</v>
      </c>
      <c r="D69" s="3">
        <v>22</v>
      </c>
      <c r="E69" s="3">
        <v>9</v>
      </c>
      <c r="F69" s="3">
        <v>0.71</v>
      </c>
      <c r="G69" s="3">
        <v>21.4</v>
      </c>
      <c r="H69" s="3">
        <v>10.43</v>
      </c>
      <c r="I69" s="3"/>
      <c r="J69" s="3">
        <v>14</v>
      </c>
      <c r="K69" s="3">
        <v>6</v>
      </c>
      <c r="L69" s="3"/>
      <c r="M69" s="3">
        <v>14</v>
      </c>
      <c r="N69" s="3">
        <v>2</v>
      </c>
      <c r="O69" s="3"/>
      <c r="P69" s="3">
        <v>6</v>
      </c>
      <c r="Q69" s="3">
        <v>4</v>
      </c>
      <c r="R69" s="3"/>
      <c r="S69" s="3">
        <v>2595</v>
      </c>
      <c r="T69" s="3">
        <v>2255</v>
      </c>
      <c r="U69" s="3"/>
      <c r="V69" s="3">
        <v>1245</v>
      </c>
      <c r="W69" s="3">
        <v>923</v>
      </c>
      <c r="X69" s="3">
        <v>1961</v>
      </c>
      <c r="Y69" s="3">
        <v>0.47099999999999997</v>
      </c>
      <c r="Z69" s="3">
        <v>301</v>
      </c>
      <c r="AA69" s="3">
        <v>780</v>
      </c>
      <c r="AB69" s="3">
        <v>0.38600000000000001</v>
      </c>
      <c r="AC69" s="3">
        <v>448</v>
      </c>
      <c r="AD69" s="3">
        <v>627</v>
      </c>
      <c r="AE69" s="3">
        <v>0.71499999999999997</v>
      </c>
      <c r="AF69" s="3">
        <v>346</v>
      </c>
      <c r="AG69" s="3">
        <v>1231</v>
      </c>
      <c r="AH69" s="3">
        <v>594</v>
      </c>
      <c r="AI69" s="3">
        <v>173</v>
      </c>
      <c r="AJ69" s="3">
        <v>141</v>
      </c>
      <c r="AK69" s="3">
        <v>294</v>
      </c>
      <c r="AL69" s="3">
        <v>461</v>
      </c>
      <c r="AM69" s="3">
        <f>Table1[[#This Row],[W]]*$BX$18</f>
        <v>48.884</v>
      </c>
      <c r="AN69" s="3">
        <f>Table1[[#This Row],[L]]*$BY$18</f>
        <v>-17.981999999999999</v>
      </c>
      <c r="AO69" s="3">
        <f>Table1[[#This Row],[W-L%]]*$BZ$18</f>
        <v>141.99985799999999</v>
      </c>
      <c r="AP69" s="3">
        <f>Table1[[#This Row],[SRS]]*$CA$18</f>
        <v>62.416310000000003</v>
      </c>
      <c r="AQ69" s="3">
        <f>1.5*Table1[[#This Row],[SOS]]</f>
        <v>15.645</v>
      </c>
      <c r="AR69">
        <f>Table1[[#This Row],[Conf. W]]*$CC$18</f>
        <v>43.120000000000005</v>
      </c>
      <c r="AS69">
        <f>Table1[[#This Row],[Conf. L]]*$CD$18</f>
        <v>-18.48</v>
      </c>
      <c r="AT69">
        <f>Table1[[#This Row],[HomeW]]*$CE$18</f>
        <v>14</v>
      </c>
      <c r="AU69">
        <f>Table1[[#This Row],[HomeL]]*$CF$18</f>
        <v>2</v>
      </c>
      <c r="AV69">
        <f>Table1[[#This Row],[AwayW]]*$CG$18</f>
        <v>9.9989999999999988</v>
      </c>
      <c r="AW69">
        <f>Table1[[#This Row],[AwayL]]*$CH$18</f>
        <v>6.6659999999999995</v>
      </c>
      <c r="AX69">
        <f>Table1[[#This Row],[Tm.]]*$CI$18</f>
        <v>4901.6954999999998</v>
      </c>
      <c r="AY69">
        <f>$CJ$18*Table1[[#This Row],[Opp.]]</f>
        <v>-3382.5676500000004</v>
      </c>
      <c r="AZ69">
        <f>Table1[[#This Row],[MP]]*$CK$18</f>
        <v>1245</v>
      </c>
      <c r="BA69">
        <f>$CL$18*Table1[[#This Row],[FG]]</f>
        <v>1384.5</v>
      </c>
      <c r="BB69">
        <f>$CM$18*Table1[[#This Row],[FGA]]</f>
        <v>-2941.4117550000001</v>
      </c>
      <c r="BC69">
        <f>Table1[[#This Row],[FG%]]*$CN$18</f>
        <v>117.75000942</v>
      </c>
      <c r="BD69">
        <f>Table1[[#This Row],[3P]]*$CO$18</f>
        <v>668.822</v>
      </c>
      <c r="BE69">
        <f>$CP$18*Table1[[#This Row],[3PA]]</f>
        <v>-780</v>
      </c>
      <c r="BF69">
        <f>Table1[[#This Row],[3P%]]*$CQ$18</f>
        <v>127.3801158</v>
      </c>
      <c r="BG69">
        <f>$CR$18*Table1[[#This Row],[FT]]</f>
        <v>235.7824</v>
      </c>
      <c r="BH69">
        <f>$CS$18*Table1[[#This Row],[FTA]]</f>
        <v>329.99009999999998</v>
      </c>
      <c r="BI69">
        <f>Table1[[#This Row],[FT%]]*$CT$18</f>
        <v>263.42101500000001</v>
      </c>
      <c r="BJ69">
        <f>Table1[[#This Row],[ORB]]*$CU$18</f>
        <v>922.57439999999997</v>
      </c>
      <c r="BK69">
        <f>Table1[[#This Row],[TRB]]*$CV$18</f>
        <v>2813.6720800000003</v>
      </c>
      <c r="BL69">
        <f>$CW$18*Table1[[#This Row],[AST]]</f>
        <v>772.1821799999999</v>
      </c>
      <c r="BM69">
        <f>Table1[[#This Row],[STL]]</f>
        <v>173</v>
      </c>
      <c r="BN69">
        <f>Table1[[#This Row],[BLK]]*$CY$18</f>
        <v>246.75</v>
      </c>
      <c r="BO69">
        <f>$CZ$18*Table1[[#This Row],[TOV]]</f>
        <v>-735.00588000000005</v>
      </c>
      <c r="BP69">
        <f>Table1[[#This Row],[PF]]*$DA$18</f>
        <v>512.17100000000005</v>
      </c>
      <c r="BQ69">
        <f>SUM(Table1[[#This Row],[SCW]:[SCPF]])</f>
        <v>7183.9736832200006</v>
      </c>
    </row>
    <row r="70" spans="1:69" x14ac:dyDescent="0.45">
      <c r="A70" s="3">
        <v>3</v>
      </c>
      <c r="B70" s="4" t="s">
        <v>46</v>
      </c>
      <c r="C70" s="3">
        <v>32</v>
      </c>
      <c r="D70" s="3">
        <v>28</v>
      </c>
      <c r="E70" s="3">
        <v>4</v>
      </c>
      <c r="F70" s="3">
        <v>0.875</v>
      </c>
      <c r="G70" s="3">
        <v>21.66</v>
      </c>
      <c r="H70" s="3">
        <v>5.37</v>
      </c>
      <c r="I70" s="3"/>
      <c r="J70" s="3">
        <v>14</v>
      </c>
      <c r="K70" s="3">
        <v>3</v>
      </c>
      <c r="L70" s="3"/>
      <c r="M70" s="3">
        <v>15</v>
      </c>
      <c r="N70" s="3">
        <v>0</v>
      </c>
      <c r="O70" s="3"/>
      <c r="P70" s="3">
        <v>5</v>
      </c>
      <c r="Q70" s="3">
        <v>3</v>
      </c>
      <c r="R70" s="3"/>
      <c r="S70" s="3">
        <v>2434</v>
      </c>
      <c r="T70" s="3">
        <v>1863</v>
      </c>
      <c r="U70" s="3"/>
      <c r="V70" s="3">
        <v>1280</v>
      </c>
      <c r="W70" s="3">
        <v>854</v>
      </c>
      <c r="X70" s="3">
        <v>1961</v>
      </c>
      <c r="Y70" s="3">
        <v>0.435</v>
      </c>
      <c r="Z70" s="3">
        <v>291</v>
      </c>
      <c r="AA70" s="3">
        <v>823</v>
      </c>
      <c r="AB70" s="3">
        <v>0.35399999999999998</v>
      </c>
      <c r="AC70" s="3">
        <v>435</v>
      </c>
      <c r="AD70" s="3">
        <v>595</v>
      </c>
      <c r="AE70" s="3">
        <v>0.73099999999999998</v>
      </c>
      <c r="AF70" s="3">
        <v>458</v>
      </c>
      <c r="AG70" s="3">
        <v>1296</v>
      </c>
      <c r="AH70" s="3">
        <v>446</v>
      </c>
      <c r="AI70" s="3">
        <v>255</v>
      </c>
      <c r="AJ70" s="3">
        <v>149</v>
      </c>
      <c r="AK70" s="3">
        <v>341</v>
      </c>
      <c r="AL70" s="3">
        <v>575</v>
      </c>
      <c r="AM70" s="3">
        <f>Table1[[#This Row],[W]]*BX83</f>
        <v>0</v>
      </c>
      <c r="AN70" s="3">
        <f>Table1[[#This Row],[L]]*$BY$18</f>
        <v>-7.992</v>
      </c>
      <c r="AO70" s="3">
        <f>Table1[[#This Row],[W-L%]]*$BZ$18</f>
        <v>174.99982499999999</v>
      </c>
      <c r="AP70" s="3">
        <f>Table1[[#This Row],[SRS]]*$CA$18</f>
        <v>63.174639000000006</v>
      </c>
      <c r="AQ70" s="3">
        <f>1.5*Table1[[#This Row],[SOS]]</f>
        <v>8.0549999999999997</v>
      </c>
      <c r="AR70">
        <f>Table1[[#This Row],[Conf. W]]*$CC$18</f>
        <v>43.120000000000005</v>
      </c>
      <c r="AS70">
        <f>Table1[[#This Row],[Conf. L]]*$CD$18</f>
        <v>-9.24</v>
      </c>
      <c r="AT70">
        <f>Table1[[#This Row],[HomeW]]*$CE$18</f>
        <v>15</v>
      </c>
      <c r="AU70">
        <f>Table1[[#This Row],[HomeL]]*$CF$18</f>
        <v>0</v>
      </c>
      <c r="AV70">
        <f>Table1[[#This Row],[AwayW]]*$CG$18</f>
        <v>8.3324999999999996</v>
      </c>
      <c r="AW70">
        <f>Table1[[#This Row],[AwayL]]*$CH$18</f>
        <v>4.9994999999999994</v>
      </c>
      <c r="AX70">
        <f>Table1[[#This Row],[Tm.]]*$CI$18</f>
        <v>4597.5825999999997</v>
      </c>
      <c r="AY70">
        <f>$CJ$18*Table1[[#This Row],[Opp.]]</f>
        <v>-2794.5558900000005</v>
      </c>
      <c r="AZ70">
        <f>Table1[[#This Row],[MP]]*$CK$18</f>
        <v>1280</v>
      </c>
      <c r="BA70">
        <f>$CL$18*Table1[[#This Row],[FG]]</f>
        <v>1281</v>
      </c>
      <c r="BB70">
        <f>$CM$18*Table1[[#This Row],[FGA]]</f>
        <v>-2941.4117550000001</v>
      </c>
      <c r="BC70">
        <f>Table1[[#This Row],[FG%]]*$CN$18</f>
        <v>108.75000870000001</v>
      </c>
      <c r="BD70">
        <f>Table1[[#This Row],[3P]]*$CO$18</f>
        <v>646.60199999999998</v>
      </c>
      <c r="BE70">
        <f>$CP$18*Table1[[#This Row],[3PA]]</f>
        <v>-823</v>
      </c>
      <c r="BF70">
        <f>Table1[[#This Row],[3P%]]*$CQ$18</f>
        <v>116.82010619999998</v>
      </c>
      <c r="BG70">
        <f>$CR$18*Table1[[#This Row],[FT]]</f>
        <v>228.94049999999999</v>
      </c>
      <c r="BH70">
        <f>$CS$18*Table1[[#This Row],[FTA]]</f>
        <v>313.14850000000001</v>
      </c>
      <c r="BI70">
        <f>Table1[[#This Row],[FT%]]*$CT$18</f>
        <v>269.31575100000003</v>
      </c>
      <c r="BJ70">
        <f>Table1[[#This Row],[ORB]]*$CU$18</f>
        <v>1221.2112</v>
      </c>
      <c r="BK70">
        <f>Table1[[#This Row],[TRB]]*$CV$18</f>
        <v>2962.2412800000002</v>
      </c>
      <c r="BL70">
        <f>$CW$18*Table1[[#This Row],[AST]]</f>
        <v>579.78661999999997</v>
      </c>
      <c r="BM70">
        <f>Table1[[#This Row],[STL]]</f>
        <v>255</v>
      </c>
      <c r="BN70">
        <f>Table1[[#This Row],[BLK]]*$CY$18</f>
        <v>260.75</v>
      </c>
      <c r="BO70">
        <f>$CZ$18*Table1[[#This Row],[TOV]]</f>
        <v>-852.50682000000006</v>
      </c>
      <c r="BP70">
        <f>Table1[[#This Row],[PF]]*$DA$18</f>
        <v>638.82500000000005</v>
      </c>
      <c r="BQ70">
        <f>SUM(Table1[[#This Row],[SCW]:[SCPF]])</f>
        <v>7648.9485648999989</v>
      </c>
    </row>
    <row r="71" spans="1:69" x14ac:dyDescent="0.45">
      <c r="A71" s="3">
        <v>1</v>
      </c>
      <c r="B71" s="4" t="s">
        <v>45</v>
      </c>
      <c r="C71" s="3">
        <v>32</v>
      </c>
      <c r="D71" s="3">
        <v>31</v>
      </c>
      <c r="E71" s="3">
        <v>1</v>
      </c>
      <c r="F71" s="3">
        <v>0.96899999999999997</v>
      </c>
      <c r="G71" s="3">
        <v>27.2</v>
      </c>
      <c r="H71" s="3">
        <v>5.92</v>
      </c>
      <c r="I71" s="3"/>
      <c r="J71" s="3">
        <v>15</v>
      </c>
      <c r="K71" s="3">
        <v>0</v>
      </c>
      <c r="L71" s="3"/>
      <c r="M71" s="3">
        <v>12</v>
      </c>
      <c r="N71" s="3">
        <v>0</v>
      </c>
      <c r="O71" s="3"/>
      <c r="P71" s="3">
        <v>7</v>
      </c>
      <c r="Q71" s="3">
        <v>0</v>
      </c>
      <c r="R71" s="3"/>
      <c r="S71" s="3">
        <v>2911</v>
      </c>
      <c r="T71" s="3">
        <v>2230</v>
      </c>
      <c r="U71" s="3"/>
      <c r="V71" s="3">
        <v>1285</v>
      </c>
      <c r="W71" s="3">
        <v>1079</v>
      </c>
      <c r="X71" s="3">
        <v>1965</v>
      </c>
      <c r="Y71" s="3">
        <v>0.54900000000000004</v>
      </c>
      <c r="Z71" s="3">
        <v>240</v>
      </c>
      <c r="AA71" s="3">
        <v>652</v>
      </c>
      <c r="AB71" s="3">
        <v>0.36799999999999999</v>
      </c>
      <c r="AC71" s="3">
        <v>513</v>
      </c>
      <c r="AD71" s="3">
        <v>703</v>
      </c>
      <c r="AE71" s="3">
        <v>0.73</v>
      </c>
      <c r="AF71" s="3">
        <v>289</v>
      </c>
      <c r="AG71" s="3">
        <v>1189</v>
      </c>
      <c r="AH71" s="3">
        <v>601</v>
      </c>
      <c r="AI71" s="3">
        <v>254</v>
      </c>
      <c r="AJ71" s="3">
        <v>90</v>
      </c>
      <c r="AK71" s="3">
        <v>385</v>
      </c>
      <c r="AL71" s="3">
        <v>521</v>
      </c>
      <c r="AM71" s="3">
        <f>Table1[[#This Row],[W]]*BX85</f>
        <v>0</v>
      </c>
      <c r="AN71" s="3">
        <f>Table1[[#This Row],[L]]*$BY$18</f>
        <v>-1.998</v>
      </c>
      <c r="AO71" s="3">
        <f>Table1[[#This Row],[W-L%]]*$BZ$18</f>
        <v>193.79980619999998</v>
      </c>
      <c r="AP71" s="3">
        <f>Table1[[#This Row],[SRS]]*$CA$18</f>
        <v>79.332880000000003</v>
      </c>
      <c r="AQ71" s="3">
        <f>1.5*Table1[[#This Row],[SOS]]</f>
        <v>8.879999999999999</v>
      </c>
      <c r="AR71">
        <f>Table1[[#This Row],[Conf. W]]*$CC$18</f>
        <v>46.2</v>
      </c>
      <c r="AS71">
        <f>Table1[[#This Row],[Conf. L]]*$CD$18</f>
        <v>0</v>
      </c>
      <c r="AT71">
        <f>Table1[[#This Row],[HomeW]]*$CE$18</f>
        <v>12</v>
      </c>
      <c r="AU71">
        <f>Table1[[#This Row],[HomeL]]*$CF$18</f>
        <v>0</v>
      </c>
      <c r="AV71">
        <f>Table1[[#This Row],[AwayW]]*$CG$18</f>
        <v>11.6655</v>
      </c>
      <c r="AW71">
        <f>Table1[[#This Row],[AwayL]]*$CH$18</f>
        <v>0</v>
      </c>
      <c r="AX71">
        <f>Table1[[#This Row],[Tm.]]*$CI$18</f>
        <v>5498.5879000000004</v>
      </c>
      <c r="AY71">
        <f>$CJ$18*Table1[[#This Row],[Opp.]]</f>
        <v>-3345.0669000000003</v>
      </c>
      <c r="AZ71">
        <f>Table1[[#This Row],[MP]]*$CK$18</f>
        <v>1285</v>
      </c>
      <c r="BA71">
        <f>$CL$18*Table1[[#This Row],[FG]]</f>
        <v>1618.5</v>
      </c>
      <c r="BB71">
        <f>$CM$18*Table1[[#This Row],[FGA]]</f>
        <v>-2947.4115750000001</v>
      </c>
      <c r="BC71">
        <f>Table1[[#This Row],[FG%]]*$CN$18</f>
        <v>137.25001098000001</v>
      </c>
      <c r="BD71">
        <f>Table1[[#This Row],[3P]]*$CO$18</f>
        <v>533.28</v>
      </c>
      <c r="BE71">
        <f>$CP$18*Table1[[#This Row],[3PA]]</f>
        <v>-652</v>
      </c>
      <c r="BF71">
        <f>Table1[[#This Row],[3P%]]*$CQ$18</f>
        <v>121.44011039999999</v>
      </c>
      <c r="BG71">
        <f>$CR$18*Table1[[#This Row],[FT]]</f>
        <v>269.99189999999999</v>
      </c>
      <c r="BH71">
        <f>$CS$18*Table1[[#This Row],[FTA]]</f>
        <v>369.9889</v>
      </c>
      <c r="BI71">
        <f>Table1[[#This Row],[FT%]]*$CT$18</f>
        <v>268.94733000000002</v>
      </c>
      <c r="BJ71">
        <f>Table1[[#This Row],[ORB]]*$CU$18</f>
        <v>770.58960000000002</v>
      </c>
      <c r="BK71">
        <f>Table1[[#This Row],[TRB]]*$CV$18</f>
        <v>2717.6735200000003</v>
      </c>
      <c r="BL71">
        <f>$CW$18*Table1[[#This Row],[AST]]</f>
        <v>781.28196999999989</v>
      </c>
      <c r="BM71">
        <f>Table1[[#This Row],[STL]]*$CX$18</f>
        <v>444.5</v>
      </c>
      <c r="BN71">
        <f>Table1[[#This Row],[BLK]]*$CY$18</f>
        <v>157.5</v>
      </c>
      <c r="BO71">
        <f>$CZ$18*Table1[[#This Row],[TOV]]</f>
        <v>-962.5077</v>
      </c>
      <c r="BP71">
        <f>Table1[[#This Row],[PF]]*$DA$18</f>
        <v>578.83100000000002</v>
      </c>
      <c r="BQ71">
        <f>SUM(Table1[[#This Row],[SCW]:[SCPF]])</f>
        <v>7996.2562525800004</v>
      </c>
    </row>
    <row r="72" spans="1:69" x14ac:dyDescent="0.45">
      <c r="A72" s="5"/>
      <c r="B72" s="6"/>
      <c r="C72" s="5"/>
      <c r="D72" s="5"/>
      <c r="E72" s="5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</row>
    <row r="73" spans="1:69" x14ac:dyDescent="0.45">
      <c r="A73" s="3"/>
      <c r="B73" s="4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</row>
    <row r="74" spans="1:69" x14ac:dyDescent="0.45">
      <c r="A74" s="3"/>
      <c r="B74" s="4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</row>
    <row r="75" spans="1:69" x14ac:dyDescent="0.45">
      <c r="A75" s="3"/>
      <c r="B75" s="4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</row>
    <row r="76" spans="1:69" x14ac:dyDescent="0.45">
      <c r="A76" s="3"/>
      <c r="B76" s="4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</row>
    <row r="77" spans="1:69" x14ac:dyDescent="0.45">
      <c r="A77" s="5"/>
      <c r="B77" s="6"/>
      <c r="C77" s="5"/>
      <c r="D77" s="5"/>
      <c r="E77" s="5"/>
      <c r="F77" s="5"/>
      <c r="G77" s="5"/>
      <c r="H77" s="5"/>
      <c r="I77" s="5"/>
      <c r="J77" s="5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</row>
  </sheetData>
  <hyperlinks>
    <hyperlink ref="B71" r:id="rId1" display="https://www.sports-reference.com/cbb/schools/gonzaga/2021.html" xr:uid="{C9124506-AA2F-4169-AA45-2D7F5DC9ABBD}"/>
    <hyperlink ref="B67" r:id="rId2" display="https://www.sports-reference.com/cbb/schools/baylor/2021.html" xr:uid="{83E1EF10-9668-46DF-AC1B-4A6029BAF0E3}"/>
    <hyperlink ref="B70" r:id="rId3" display="https://www.sports-reference.com/cbb/schools/houston/2021.html" xr:uid="{C20F9090-0794-47C9-9733-767F8607A5A3}"/>
    <hyperlink ref="B65" r:id="rId4" display="https://www.sports-reference.com/cbb/schools/alabama/2021.html" xr:uid="{00798388-7E46-400B-98E0-32AEB7E08842}"/>
    <hyperlink ref="B53" r:id="rId5" display="https://www.sports-reference.com/cbb/schools/belmont/2021.html" xr:uid="{A0C3FB4C-5711-4C29-8B5B-80150A0CBAEE}"/>
    <hyperlink ref="B63" r:id="rId6" display="https://www.sports-reference.com/cbb/schools/drake/2021.html" xr:uid="{46010A96-B29A-44E9-AD3F-5F305DF090AB}"/>
    <hyperlink ref="B58" r:id="rId7" display="https://www.sports-reference.com/cbb/schools/loyola-il/2021.html" xr:uid="{D8CF6EA7-0FF1-47F3-A5A6-FA1EE10E6F36}"/>
    <hyperlink ref="B64" r:id="rId8" display="https://www.sports-reference.com/cbb/schools/arkansas/2021.html" xr:uid="{32EB8BDC-1C9D-4FA5-BE87-9277C2182AE2}"/>
    <hyperlink ref="B68" r:id="rId9" display="https://www.sports-reference.com/cbb/schools/southern-california/2021.html" xr:uid="{B6214A74-6E19-4713-9FF2-2E69F7F86973}"/>
    <hyperlink ref="B62" r:id="rId10" display="https://www.sports-reference.com/cbb/schools/abilene-christian/2021.html" xr:uid="{EB6FED64-720A-412C-ABAD-E07762D1B571}"/>
    <hyperlink ref="B66" r:id="rId11" display="https://www.sports-reference.com/cbb/schools/illinois/2021.html" xr:uid="{D4240B45-C886-4CB7-9873-DBE77FBA37F9}"/>
    <hyperlink ref="B56" r:id="rId12" display="https://www.sports-reference.com/cbb/schools/louisiana-tech/2021.html" xr:uid="{FBEDA10C-BFCA-442C-B437-7C4627FF7B40}"/>
    <hyperlink ref="B59" r:id="rId13" display="https://www.sports-reference.com/cbb/schools/colorado/2021.html" xr:uid="{1E649797-9541-43BC-9AC2-1082894A365F}"/>
    <hyperlink ref="B36" r:id="rId14" display="https://www.sports-reference.com/cbb/schools/liberty/2021.html" xr:uid="{48F0ACE5-C2C0-4720-A682-69117733D216}"/>
    <hyperlink ref="B47" r:id="rId15" display="https://www.sports-reference.com/cbb/schools/michigan/2021.html" xr:uid="{0420E6C9-3D4F-41FF-A137-528A9995B60C}"/>
    <hyperlink ref="B37" r:id="rId16" display="https://www.sports-reference.com/cbb/schools/morehead-state/2021.html" xr:uid="{3122843D-9DCE-4AFF-873D-4BA80B15647C}"/>
    <hyperlink ref="B45" r:id="rId17" display="https://www.sports-reference.com/cbb/schools/san-diego-state/2021.html" xr:uid="{801C74C4-B96F-4DAE-89F3-0BD178329BA9}"/>
    <hyperlink ref="B29" r:id="rId18" display="https://www.sports-reference.com/cbb/schools/winthrop/2021.html" xr:uid="{6E541A59-AC6F-4402-A2D8-57355D13A69B}"/>
    <hyperlink ref="B43" r:id="rId19" display="https://www.sports-reference.com/cbb/schools/alabama-birmingham/2021.html" xr:uid="{01C42A54-116D-467F-900E-97D60987F0B4}"/>
    <hyperlink ref="B39" r:id="rId20" display="https://www.sports-reference.com/cbb/schools/california-santa-barbara/2021.html" xr:uid="{B2CC0A48-B38A-4341-BE70-22DA1AF6C005}"/>
    <hyperlink ref="B44" r:id="rId21" display="https://www.sports-reference.com/cbb/schools/creighton/2021.html" xr:uid="{0044D3D6-8337-4E10-BE61-F80CAC53EE76}"/>
    <hyperlink ref="B35" r:id="rId22" display="https://www.sports-reference.com/cbb/schools/eastern-kentucky/2021.html" xr:uid="{1FF49E55-F771-4FCE-B5AF-42A7ADFEA59F}"/>
    <hyperlink ref="B69" r:id="rId23" display="https://www.sports-reference.com/cbb/schools/iowa/2021.html" xr:uid="{9B3473A9-3D84-4535-A36E-90B78FB78791}"/>
    <hyperlink ref="B51" r:id="rId24" display="https://www.sports-reference.com/cbb/schools/ucla/2021.html" xr:uid="{05AB25D8-2C4C-4EFD-B29A-2BDB503EEF6F}"/>
    <hyperlink ref="B40" r:id="rId25" display="https://www.sports-reference.com/cbb/schools/kansas/2021.html" xr:uid="{3AC6F934-485C-4A81-9F5B-B9643D5F4E2D}"/>
    <hyperlink ref="B38" r:id="rId26" display="https://www.sports-reference.com/cbb/schools/north-carolina-greensboro/2021.html" xr:uid="{02F7DF66-BE05-4F52-B39B-CB78C0D325EE}"/>
    <hyperlink ref="B60" r:id="rId27" display="https://www.sports-reference.com/cbb/schools/ohio-state/2021.html" xr:uid="{C8076E15-4096-4827-86E0-8F421B6632EC}"/>
    <hyperlink ref="B41" r:id="rId28" display="https://www.sports-reference.com/cbb/schools/oklahoma-state/2021.html" xr:uid="{B51B98C5-21B7-4C7D-BBA4-A6C360DC8178}"/>
    <hyperlink ref="B18" r:id="rId29" display="https://www.sports-reference.com/cbb/schools/oregon/2021.html" xr:uid="{EC47272D-E83A-4E32-9E5B-E17BE5E8FB31}"/>
    <hyperlink ref="B52" r:id="rId30" display="https://www.sports-reference.com/cbb/schools/toledo/2021.html" xr:uid="{458A3352-845F-4595-88BC-D41F003DCB75}"/>
    <hyperlink ref="B31" r:id="rId31" display="https://www.sports-reference.com/cbb/schools/western-kentucky/2021.html" xr:uid="{3A710F40-825E-499E-A142-48F500D115B8}"/>
    <hyperlink ref="B32" r:id="rId32" display="https://www.sports-reference.com/cbb/schools/brigham-young/2021.html" xr:uid="{22A1AF7B-DA70-4EA1-97A0-E3988CDD0FE6}"/>
    <hyperlink ref="B14" r:id="rId33" display="https://www.sports-reference.com/cbb/schools/colorado-state/2021.html" xr:uid="{0D687332-D227-4DDD-9A29-FBA5B586C88B}"/>
    <hyperlink ref="B46" r:id="rId34" display="https://www.sports-reference.com/cbb/schools/memphis/2021.html" xr:uid="{A0318573-C3E1-4FC3-A433-8485275FC9ED}"/>
    <hyperlink ref="B54" r:id="rId35" display="https://www.sports-reference.com/cbb/schools/oregon-state/2021.html" xr:uid="{C8847578-1804-41F1-BDD3-E62EA3E90921}"/>
    <hyperlink ref="B23" r:id="rId36" display="https://www.sports-reference.com/cbb/schools/southern-utah/2021.html" xr:uid="{D29E341A-7952-4B0C-B573-DF44C76CC9AD}"/>
    <hyperlink ref="B55" r:id="rId37" display="https://www.sports-reference.com/cbb/schools/utah-state/2021.html" xr:uid="{44D1885C-BBF0-492B-A796-6EE14CF61A20}"/>
    <hyperlink ref="B26" r:id="rId38" display="https://www.sports-reference.com/cbb/schools/boise-state/2021.html" xr:uid="{A27394FC-68FD-4AF7-B773-B2AEB1CAF7ED}"/>
    <hyperlink ref="B9" r:id="rId39" display="https://www.sports-reference.com/cbb/schools/cleveland-state/2021.html" xr:uid="{4BCDDD2B-FB6E-4C28-AF73-CE0A19ED2321}"/>
    <hyperlink ref="B49" r:id="rId40" display="https://www.sports-reference.com/cbb/schools/louisiana-state/2021.html" xr:uid="{4EA28067-30E7-462B-9C53-339A5D2D82AC}"/>
    <hyperlink ref="B33" r:id="rId41" display="https://www.sports-reference.com/cbb/schools/sam-houston-state/2021.html" xr:uid="{0C393A57-0A98-4F11-AF84-0E764F56943B}"/>
    <hyperlink ref="B22" r:id="rId42" display="https://www.sports-reference.com/cbb/schools/texas/2021.html" xr:uid="{45969A96-C3DC-4C83-AC80-BD43000CF0C4}"/>
    <hyperlink ref="B12" r:id="rId43" display="https://www.sports-reference.com/cbb/schools/virginia-commonwealth/2021.html" xr:uid="{D0B9B95D-1366-4590-9488-7300B54AF0BC}"/>
    <hyperlink ref="B50" r:id="rId44" display="https://www.sports-reference.com/cbb/schools/west-virginia/2021.html" xr:uid="{1C2DE9A2-2A98-415C-9F48-88183F9179D4}"/>
    <hyperlink ref="B27" r:id="rId45" display="https://www.sports-reference.com/cbb/schools/california-irvine/2021.html" xr:uid="{DBE860C6-F203-4A39-903D-D7C0BDDD686F}"/>
    <hyperlink ref="B6" r:id="rId46" display="https://www.sports-reference.com/cbb/schools/chattanooga/2021.html" xr:uid="{09CD2A2A-4E33-46CC-AE7A-B621E123BC47}"/>
    <hyperlink ref="B42" r:id="rId47" display="https://www.sports-reference.com/cbb/schools/coastal-carolina/2021.html" xr:uid="{B7AD6375-40E1-4E82-930C-EDEF3F9AA165}"/>
    <hyperlink ref="B15" r:id="rId48" display="https://www.sports-reference.com/cbb/schools/florida-state/2021.html" xr:uid="{010AA602-FC01-41CF-9982-0321003955CB}"/>
    <hyperlink ref="B17" r:id="rId49" display="https://www.sports-reference.com/cbb/schools/jacksonville-state/2021.html" xr:uid="{0C754739-0FBF-4818-BBC3-75776F6D9659}"/>
    <hyperlink ref="B20" r:id="rId50" display="https://www.sports-reference.com/cbb/schools/mercer/2021.html" xr:uid="{B95C8521-11E2-44A9-A505-7A33F8B75776}"/>
    <hyperlink ref="B57" r:id="rId51" display="https://www.sports-reference.com/cbb/schools/mississippi-state/2021.html" xr:uid="{7A326457-2767-44BD-887E-C7F7C192B223}"/>
    <hyperlink ref="B10" r:id="rId52" display="https://www.sports-reference.com/cbb/schools/nicholls-state/2021.html" xr:uid="{54F6109F-94BF-44E7-BBC3-0F391F673918}"/>
    <hyperlink ref="B61" r:id="rId53" display="https://www.sports-reference.com/cbb/schools/north-carolina/2021.html" xr:uid="{B2F4E6C9-5FE8-4D71-83C1-DB744EDEDC82}"/>
    <hyperlink ref="B13" r:id="rId54" display="https://www.sports-reference.com/cbb/schools/north-texas/2021.html" xr:uid="{1606751B-FA68-4F70-9A79-429655AD26C4}"/>
    <hyperlink ref="B19" r:id="rId55" display="https://www.sports-reference.com/cbb/schools/oral-roberts/2021.html" xr:uid="{89A95F05-07A7-413E-A2B1-8D5DE30453C6}"/>
    <hyperlink ref="B24" r:id="rId56" display="https://www.sports-reference.com/cbb/schools/purdue/2021.html" xr:uid="{1667192D-50DE-4177-B3FA-55381280518E}"/>
    <hyperlink ref="B21" r:id="rId57" display="https://www.sports-reference.com/cbb/schools/syracuse/2021.html" xr:uid="{E59411AC-FCF7-44E6-8AEE-01B2525FBDBE}"/>
    <hyperlink ref="B25" r:id="rId58" display="https://www.sports-reference.com/cbb/schools/tennessee/2021.html" xr:uid="{F133A1D4-6036-42D0-9276-77014A5B2C37}"/>
    <hyperlink ref="B7" r:id="rId59" display="https://www.sports-reference.com/cbb/schools/texas-state/2021.html" xr:uid="{6555F716-2D4D-44FB-A1C4-6DACDD978415}"/>
    <hyperlink ref="B48" r:id="rId60" display="https://www.sports-reference.com/cbb/schools/texas-tech/2021.html" xr:uid="{5C3DD5D3-D01A-4BD0-BFF6-3ACD32AC0B98}"/>
    <hyperlink ref="B11" r:id="rId61" display="https://www.sports-reference.com/cbb/schools/villanova/2021.html" xr:uid="{8E0C5FB4-AC8F-44C8-84E7-EF3DC5F9DB52}"/>
    <hyperlink ref="B8" r:id="rId62" display="https://www.sports-reference.com/cbb/schools/virginia/2021.html" xr:uid="{E75579E7-19A2-424E-88A6-BB6B9E618263}"/>
    <hyperlink ref="B28" r:id="rId63" display="https://www.sports-reference.com/cbb/schools/wisconsin/2021.html" xr:uid="{542763D2-D7D3-4520-B720-29A4F00F3DA7}"/>
    <hyperlink ref="B30" r:id="rId64" display="https://www.sports-reference.com/cbb/schools/wright-state/2021.html" xr:uid="{05B03AC7-D9BC-488B-A97E-DD71CC3FAAC5}"/>
    <hyperlink ref="B16" r:id="rId65" display="https://www.sports-reference.com/cbb/schools/appalachian-state/2021.html" xr:uid="{EC0A81D3-C76A-4B6C-B134-5D7CA119825F}"/>
    <hyperlink ref="B34" r:id="rId66" display="https://www.sports-reference.com/cbb/schools/arizona/2021.html" xr:uid="{9BE7B853-C258-4683-B7E4-A7AC35D7C6D0}"/>
    <hyperlink ref="B5" r:id="rId67" display="https://www.sports-reference.com/cbb/schools/campbell/2021.html" xr:uid="{272FE569-DDC3-4C3C-BED9-7F3C9100771B}"/>
  </hyperlinks>
  <pageMargins left="0.7" right="0.7" top="0.75" bottom="0.75" header="0.3" footer="0.3"/>
  <pageSetup orientation="portrait" r:id="rId68"/>
  <tableParts count="3">
    <tablePart r:id="rId69"/>
    <tablePart r:id="rId70"/>
    <tablePart r:id="rId7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1E446-046C-4FE5-AC43-18C4D5E68832}">
  <dimension ref="A1"/>
  <sheetViews>
    <sheetView workbookViewId="0">
      <selection sqref="A1:AD2"/>
    </sheetView>
  </sheetViews>
  <sheetFormatPr defaultRowHeight="14.25" x14ac:dyDescent="0.45"/>
  <cols>
    <col min="1" max="1" width="9.3984375" customWidth="1"/>
    <col min="3" max="3" width="10.796875" customWidth="1"/>
    <col min="4" max="4" width="10.59765625" customWidth="1"/>
    <col min="5" max="5" width="10.86328125" customWidth="1"/>
    <col min="6" max="6" width="13.86328125" customWidth="1"/>
    <col min="7" max="7" width="12.9296875" customWidth="1"/>
    <col min="8" max="8" width="14" customWidth="1"/>
    <col min="9" max="9" width="13.59765625" customWidth="1"/>
    <col min="10" max="10" width="14.53125" customWidth="1"/>
    <col min="11" max="11" width="13.59765625" customWidth="1"/>
    <col min="12" max="12" width="9.53125" customWidth="1"/>
    <col min="13" max="13" width="9.33203125" customWidth="1"/>
    <col min="14" max="14" width="10.33203125" customWidth="1"/>
    <col min="15" max="15" width="9.73046875" customWidth="1"/>
    <col min="16" max="16" width="10.9296875" customWidth="1"/>
    <col min="17" max="17" width="11.1328125" customWidth="1"/>
    <col min="18" max="18" width="9.6640625" customWidth="1"/>
    <col min="19" max="19" width="10.86328125" customWidth="1"/>
    <col min="20" max="20" width="11.1328125" customWidth="1"/>
    <col min="21" max="21" width="9.46484375" customWidth="1"/>
    <col min="22" max="22" width="10.6640625" customWidth="1"/>
    <col min="23" max="23" width="10.86328125" customWidth="1"/>
    <col min="24" max="24" width="11.1328125" customWidth="1"/>
    <col min="25" max="26" width="10.19921875" customWidth="1"/>
    <col min="27" max="27" width="9.796875" customWidth="1"/>
    <col min="28" max="28" width="10.06640625" customWidth="1"/>
    <col min="29" max="29" width="11.06640625" customWidth="1"/>
    <col min="30" max="30" width="10.53125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18116-9B90-4651-9189-42BBB61B02ED}">
  <dimension ref="A1:DB70"/>
  <sheetViews>
    <sheetView tabSelected="1" zoomScale="78" workbookViewId="0">
      <selection activeCell="J15" sqref="J15"/>
    </sheetView>
  </sheetViews>
  <sheetFormatPr defaultRowHeight="14.25" x14ac:dyDescent="0.45"/>
  <cols>
    <col min="2" max="2" width="19.86328125" bestFit="1" customWidth="1"/>
    <col min="9" max="9" width="10.265625" customWidth="1"/>
    <col min="12" max="12" width="10.265625" customWidth="1"/>
    <col min="15" max="15" width="10.265625" customWidth="1"/>
    <col min="18" max="18" width="11.3984375" customWidth="1"/>
    <col min="21" max="21" width="11.3984375" customWidth="1"/>
    <col min="44" max="44" width="10.59765625" customWidth="1"/>
    <col min="50" max="50" width="9.6640625" customWidth="1"/>
    <col min="69" max="69" width="11.73046875" customWidth="1"/>
    <col min="80" max="80" width="9.1328125" bestFit="1" customWidth="1"/>
    <col min="81" max="81" width="17.33203125" bestFit="1" customWidth="1"/>
    <col min="82" max="82" width="13.9296875" bestFit="1" customWidth="1"/>
    <col min="83" max="83" width="15.46484375" bestFit="1" customWidth="1"/>
    <col min="84" max="84" width="9.46484375" bestFit="1" customWidth="1"/>
    <col min="85" max="85" width="11" bestFit="1" customWidth="1"/>
    <col min="86" max="86" width="9.46484375" bestFit="1" customWidth="1"/>
    <col min="87" max="87" width="10.59765625" bestFit="1" customWidth="1"/>
    <col min="88" max="88" width="11.59765625" bestFit="1" customWidth="1"/>
    <col min="89" max="89" width="12.265625" bestFit="1" customWidth="1"/>
    <col min="90" max="90" width="8.265625" bestFit="1" customWidth="1"/>
    <col min="91" max="91" width="13.6640625" bestFit="1" customWidth="1"/>
    <col min="92" max="92" width="17.73046875" bestFit="1" customWidth="1"/>
    <col min="93" max="93" width="17.86328125" bestFit="1" customWidth="1"/>
    <col min="94" max="94" width="13.73046875" bestFit="1" customWidth="1"/>
    <col min="95" max="95" width="17.86328125" bestFit="1" customWidth="1"/>
    <col min="96" max="96" width="9.86328125" bestFit="1" customWidth="1"/>
    <col min="97" max="97" width="14.86328125" bestFit="1" customWidth="1"/>
    <col min="98" max="98" width="19.265625" bestFit="1" customWidth="1"/>
    <col min="99" max="99" width="18.6640625" bestFit="1" customWidth="1"/>
    <col min="100" max="100" width="15.9296875" bestFit="1" customWidth="1"/>
    <col min="101" max="101" width="12.46484375" bestFit="1" customWidth="1"/>
  </cols>
  <sheetData>
    <row r="1" spans="1:106" x14ac:dyDescent="0.45">
      <c r="A1" s="19" t="s">
        <v>258</v>
      </c>
      <c r="B1" s="19"/>
      <c r="C1" s="19"/>
      <c r="D1" s="19"/>
      <c r="E1" s="19"/>
      <c r="F1" s="19"/>
      <c r="G1" s="2"/>
      <c r="H1" s="19" t="s">
        <v>259</v>
      </c>
      <c r="I1" s="19"/>
      <c r="J1" s="2"/>
      <c r="K1" s="19" t="s">
        <v>260</v>
      </c>
      <c r="L1" s="19"/>
      <c r="M1" s="2"/>
      <c r="N1" s="19" t="s">
        <v>261</v>
      </c>
      <c r="O1" s="19"/>
      <c r="P1" s="2"/>
      <c r="Q1" s="19" t="s">
        <v>238</v>
      </c>
      <c r="R1" s="19"/>
      <c r="S1" s="2"/>
      <c r="T1" s="19" t="s">
        <v>262</v>
      </c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"/>
      <c r="AL1" s="1"/>
    </row>
    <row r="2" spans="1:106" x14ac:dyDescent="0.45">
      <c r="A2" s="2" t="s">
        <v>263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7" t="s">
        <v>8</v>
      </c>
      <c r="H2" s="2" t="s">
        <v>9</v>
      </c>
      <c r="I2" s="2" t="s">
        <v>131</v>
      </c>
      <c r="J2" s="2" t="s">
        <v>326</v>
      </c>
      <c r="K2" s="2" t="s">
        <v>327</v>
      </c>
      <c r="L2" s="2" t="s">
        <v>134</v>
      </c>
      <c r="M2" s="2" t="s">
        <v>328</v>
      </c>
      <c r="N2" s="2" t="s">
        <v>329</v>
      </c>
      <c r="O2" s="2" t="s">
        <v>330</v>
      </c>
      <c r="P2" s="2" t="s">
        <v>331</v>
      </c>
      <c r="Q2" s="2" t="s">
        <v>332</v>
      </c>
      <c r="R2" s="2" t="s">
        <v>333</v>
      </c>
      <c r="S2" s="2" t="s">
        <v>10</v>
      </c>
      <c r="T2" s="2" t="s">
        <v>11</v>
      </c>
      <c r="U2" s="2" t="s">
        <v>334</v>
      </c>
      <c r="V2" s="2" t="s">
        <v>12</v>
      </c>
      <c r="W2" s="2" t="s">
        <v>13</v>
      </c>
      <c r="X2" s="2" t="s">
        <v>14</v>
      </c>
      <c r="Y2" s="2" t="s">
        <v>0</v>
      </c>
      <c r="Z2" s="2" t="s">
        <v>15</v>
      </c>
      <c r="AA2" s="2" t="s">
        <v>16</v>
      </c>
      <c r="AB2" s="2" t="s">
        <v>2</v>
      </c>
      <c r="AC2" s="2" t="s">
        <v>17</v>
      </c>
      <c r="AD2" s="2" t="s">
        <v>18</v>
      </c>
      <c r="AE2" s="2" t="s">
        <v>1</v>
      </c>
      <c r="AF2" s="2" t="s">
        <v>19</v>
      </c>
      <c r="AG2" s="2" t="s">
        <v>20</v>
      </c>
      <c r="AH2" s="2" t="s">
        <v>21</v>
      </c>
      <c r="AI2" s="2" t="s">
        <v>22</v>
      </c>
      <c r="AJ2" s="2" t="s">
        <v>23</v>
      </c>
      <c r="AK2" s="2" t="s">
        <v>24</v>
      </c>
      <c r="AL2" s="2" t="s">
        <v>25</v>
      </c>
      <c r="AM2" s="21" t="s">
        <v>101</v>
      </c>
      <c r="AN2" s="22" t="s">
        <v>102</v>
      </c>
      <c r="AO2" s="22" t="s">
        <v>103</v>
      </c>
      <c r="AP2" s="22" t="s">
        <v>104</v>
      </c>
      <c r="AQ2" s="22" t="s">
        <v>105</v>
      </c>
      <c r="AR2" s="22" t="s">
        <v>106</v>
      </c>
      <c r="AS2" s="22" t="s">
        <v>107</v>
      </c>
      <c r="AT2" s="22" t="s">
        <v>108</v>
      </c>
      <c r="AU2" s="22" t="s">
        <v>109</v>
      </c>
      <c r="AV2" s="22" t="s">
        <v>110</v>
      </c>
      <c r="AW2" s="22" t="s">
        <v>111</v>
      </c>
      <c r="AX2" s="22" t="s">
        <v>112</v>
      </c>
      <c r="AY2" s="22" t="s">
        <v>113</v>
      </c>
      <c r="AZ2" s="22" t="s">
        <v>114</v>
      </c>
      <c r="BA2" s="22" t="s">
        <v>115</v>
      </c>
      <c r="BB2" s="22" t="s">
        <v>116</v>
      </c>
      <c r="BC2" s="22" t="s">
        <v>117</v>
      </c>
      <c r="BD2" s="22" t="s">
        <v>118</v>
      </c>
      <c r="BE2" s="22" t="s">
        <v>119</v>
      </c>
      <c r="BF2" s="22" t="s">
        <v>120</v>
      </c>
      <c r="BG2" s="22" t="s">
        <v>121</v>
      </c>
      <c r="BH2" s="22" t="s">
        <v>122</v>
      </c>
      <c r="BI2" s="22" t="s">
        <v>123</v>
      </c>
      <c r="BJ2" s="22" t="s">
        <v>124</v>
      </c>
      <c r="BK2" s="22" t="s">
        <v>125</v>
      </c>
      <c r="BL2" s="22" t="s">
        <v>126</v>
      </c>
      <c r="BM2" s="22" t="s">
        <v>127</v>
      </c>
      <c r="BN2" s="22" t="s">
        <v>128</v>
      </c>
      <c r="BO2" s="22" t="s">
        <v>129</v>
      </c>
      <c r="BP2" s="22" t="s">
        <v>130</v>
      </c>
      <c r="BQ2" s="22" t="s">
        <v>136</v>
      </c>
    </row>
    <row r="3" spans="1:106" x14ac:dyDescent="0.45">
      <c r="A3" s="3">
        <v>2</v>
      </c>
      <c r="B3" s="4" t="s">
        <v>30</v>
      </c>
      <c r="C3" s="3">
        <v>34</v>
      </c>
      <c r="D3" s="3">
        <v>31</v>
      </c>
      <c r="E3" s="3">
        <v>3</v>
      </c>
      <c r="F3" s="3">
        <v>0.91200000000000003</v>
      </c>
      <c r="G3" s="3">
        <v>24</v>
      </c>
      <c r="H3" s="3">
        <v>6.97</v>
      </c>
      <c r="I3" s="3"/>
      <c r="J3" s="3">
        <v>18</v>
      </c>
      <c r="K3" s="3">
        <v>2</v>
      </c>
      <c r="L3" s="3"/>
      <c r="M3" s="3">
        <v>17</v>
      </c>
      <c r="N3" s="3">
        <v>0</v>
      </c>
      <c r="O3" s="3"/>
      <c r="P3" s="3">
        <v>9</v>
      </c>
      <c r="Q3" s="3">
        <v>3</v>
      </c>
      <c r="R3" s="3"/>
      <c r="S3" s="3">
        <v>2875</v>
      </c>
      <c r="T3" s="3">
        <v>2296</v>
      </c>
      <c r="U3" s="3"/>
      <c r="V3" s="3">
        <v>1365</v>
      </c>
      <c r="W3" s="3">
        <v>1035</v>
      </c>
      <c r="X3" s="3">
        <v>2087</v>
      </c>
      <c r="Y3" s="3">
        <v>0.496</v>
      </c>
      <c r="Z3" s="3">
        <v>264</v>
      </c>
      <c r="AA3" s="3">
        <v>746</v>
      </c>
      <c r="AB3" s="3">
        <v>0.35399999999999998</v>
      </c>
      <c r="AC3" s="3">
        <v>541</v>
      </c>
      <c r="AD3" s="3">
        <v>733</v>
      </c>
      <c r="AE3" s="3">
        <v>0.73799999999999999</v>
      </c>
      <c r="AF3" s="3">
        <v>389</v>
      </c>
      <c r="AG3" s="3">
        <v>1406</v>
      </c>
      <c r="AH3" s="3">
        <v>677</v>
      </c>
      <c r="AI3" s="3">
        <v>228</v>
      </c>
      <c r="AJ3" s="3">
        <v>194</v>
      </c>
      <c r="AK3" s="3">
        <v>448</v>
      </c>
      <c r="AL3" s="3">
        <v>560</v>
      </c>
      <c r="AM3" s="25">
        <f>D3*$BY$15</f>
        <v>68.882000000000005</v>
      </c>
      <c r="AN3" s="26">
        <f>$BZ$15*E3</f>
        <v>-6.66</v>
      </c>
      <c r="AO3" s="26">
        <f>F3*$CA$15</f>
        <v>202.66646400000002</v>
      </c>
      <c r="AP3" s="26">
        <f>G3*$CB$15</f>
        <v>2112</v>
      </c>
      <c r="AQ3" s="26">
        <f>H3*$CC$15</f>
        <v>940.94999999999993</v>
      </c>
      <c r="AR3" s="26">
        <f>J3*$CD$15</f>
        <v>39.6</v>
      </c>
      <c r="AS3" s="26">
        <f>K3*$CE$15</f>
        <v>-4.4000000000000004</v>
      </c>
      <c r="AT3" s="26">
        <f>M3*$CF$15</f>
        <v>17</v>
      </c>
      <c r="AU3" s="26">
        <f>N3*$CG$15</f>
        <v>0</v>
      </c>
      <c r="AV3" s="26">
        <f>P3*$CH$15</f>
        <v>14.998499999999998</v>
      </c>
      <c r="AW3" s="26">
        <f>$CI$15*Q3</f>
        <v>4.9994999999999994</v>
      </c>
      <c r="AX3" s="26">
        <f>S3*$CJ$15</f>
        <v>5430.5874999999996</v>
      </c>
      <c r="AY3" s="26">
        <f>T3*$CK$15</f>
        <v>-3826.7432000000003</v>
      </c>
      <c r="AZ3" s="26">
        <f>V3*$CL$15</f>
        <v>1365</v>
      </c>
      <c r="BA3" s="26">
        <f>W3*$CM$15</f>
        <v>1242</v>
      </c>
      <c r="BB3" s="26">
        <f>X3*$CN$15</f>
        <v>-2636.1314400000001</v>
      </c>
      <c r="BC3" s="26">
        <f>Y3*$CO$15</f>
        <v>137.7777888</v>
      </c>
      <c r="BD3" s="26">
        <f>$CP$15*Z3</f>
        <v>351.96480000000003</v>
      </c>
      <c r="BE3" s="26">
        <f>AA3*$CQ$15</f>
        <v>-746</v>
      </c>
      <c r="BF3" s="26">
        <f>AB3*$CR$15</f>
        <v>103.84009439999998</v>
      </c>
      <c r="BG3" s="26">
        <f>AC3*$CS$15</f>
        <v>284.72829999999999</v>
      </c>
      <c r="BH3" s="26">
        <f>$CT$15*AD3</f>
        <v>385.77789999999999</v>
      </c>
      <c r="BI3" s="26">
        <f>AE3*$CU$15</f>
        <v>271.89469800000001</v>
      </c>
      <c r="BJ3" s="26">
        <f>$CV$15*AF3</f>
        <v>648.2684999999999</v>
      </c>
      <c r="BK3" s="26">
        <f>AG3*$CW$15</f>
        <v>2811.9578200000005</v>
      </c>
      <c r="BL3" s="26">
        <f>AH3*$CX$15</f>
        <v>628.62834999999995</v>
      </c>
      <c r="BM3" s="26">
        <f>AI3*$CY$15</f>
        <v>285</v>
      </c>
      <c r="BN3" s="26">
        <f>AJ3*$CZ$15</f>
        <v>97</v>
      </c>
      <c r="BO3" s="26">
        <f>AK3*$DA$15</f>
        <v>-1244.4544000000001</v>
      </c>
      <c r="BP3" s="26">
        <f>AL3*$DB$15</f>
        <v>622.16</v>
      </c>
      <c r="BQ3" s="26">
        <f>SUM(Table9[[#This Row],[SCW]:[SCPF]])</f>
        <v>9603.2931751999949</v>
      </c>
    </row>
    <row r="4" spans="1:106" x14ac:dyDescent="0.45">
      <c r="A4" s="3">
        <v>6</v>
      </c>
      <c r="B4" s="4" t="s">
        <v>268</v>
      </c>
      <c r="C4" s="3">
        <v>34</v>
      </c>
      <c r="D4" s="3">
        <v>28</v>
      </c>
      <c r="E4" s="3">
        <v>6</v>
      </c>
      <c r="F4" s="3">
        <v>0.82399999999999995</v>
      </c>
      <c r="G4" s="3">
        <v>21.83</v>
      </c>
      <c r="H4" s="3">
        <v>11.39</v>
      </c>
      <c r="I4" s="3"/>
      <c r="J4" s="3">
        <v>14</v>
      </c>
      <c r="K4" s="3">
        <v>4</v>
      </c>
      <c r="L4" s="3"/>
      <c r="M4" s="3">
        <v>16</v>
      </c>
      <c r="N4" s="3">
        <v>1</v>
      </c>
      <c r="O4" s="3"/>
      <c r="P4" s="3">
        <v>6</v>
      </c>
      <c r="Q4" s="3">
        <v>4</v>
      </c>
      <c r="R4" s="3"/>
      <c r="S4" s="3">
        <v>2672</v>
      </c>
      <c r="T4" s="3">
        <v>2317</v>
      </c>
      <c r="U4" s="3"/>
      <c r="V4" s="3">
        <v>1375</v>
      </c>
      <c r="W4" s="3">
        <v>974</v>
      </c>
      <c r="X4" s="3">
        <v>2025</v>
      </c>
      <c r="Y4" s="3">
        <v>0.48099999999999998</v>
      </c>
      <c r="Z4" s="3">
        <v>243</v>
      </c>
      <c r="AA4" s="3">
        <v>684</v>
      </c>
      <c r="AB4" s="3">
        <v>0.35499999999999998</v>
      </c>
      <c r="AC4" s="3">
        <v>481</v>
      </c>
      <c r="AD4" s="3">
        <v>664</v>
      </c>
      <c r="AE4" s="3">
        <v>0.72399999999999998</v>
      </c>
      <c r="AF4" s="3">
        <v>376</v>
      </c>
      <c r="AG4" s="3">
        <v>1270</v>
      </c>
      <c r="AH4" s="3">
        <v>525</v>
      </c>
      <c r="AI4" s="3">
        <v>218</v>
      </c>
      <c r="AJ4" s="3">
        <v>141</v>
      </c>
      <c r="AK4" s="3">
        <v>425</v>
      </c>
      <c r="AL4" s="3">
        <v>540</v>
      </c>
      <c r="AM4" s="25">
        <f>D4*$BY$15</f>
        <v>62.216000000000001</v>
      </c>
      <c r="AN4" s="26">
        <f>$BZ$15*E4</f>
        <v>-13.32</v>
      </c>
      <c r="AO4" s="26">
        <f>F4*$CA$15</f>
        <v>183.110928</v>
      </c>
      <c r="AP4" s="26">
        <f>G4*$CB$15</f>
        <v>1921.04</v>
      </c>
      <c r="AQ4" s="26">
        <f>H4*$CC$15</f>
        <v>1537.65</v>
      </c>
      <c r="AR4" s="26">
        <f>J4*$CD$15</f>
        <v>30.800000000000004</v>
      </c>
      <c r="AS4" s="26">
        <f>K4*$CE$15</f>
        <v>-8.8000000000000007</v>
      </c>
      <c r="AT4" s="26">
        <f>M4*$CF$15</f>
        <v>16</v>
      </c>
      <c r="AU4" s="26">
        <f>N4*$CG$15</f>
        <v>1</v>
      </c>
      <c r="AV4" s="26">
        <f>P4*$CH$15</f>
        <v>9.9989999999999988</v>
      </c>
      <c r="AW4" s="26">
        <f>$CI$15*Q4</f>
        <v>6.6659999999999995</v>
      </c>
      <c r="AX4" s="26">
        <f>S4*$CJ$15</f>
        <v>5047.1408000000001</v>
      </c>
      <c r="AY4" s="26">
        <f>T4*$CK$15</f>
        <v>-3861.7438999999999</v>
      </c>
      <c r="AZ4" s="26">
        <f>V4*$CL$15</f>
        <v>1375</v>
      </c>
      <c r="BA4" s="26">
        <f>W4*$CM$15</f>
        <v>1168.8</v>
      </c>
      <c r="BB4" s="26">
        <f>X4*$CN$15</f>
        <v>-2557.8180000000002</v>
      </c>
      <c r="BC4" s="26">
        <f>Y4*$CO$15</f>
        <v>133.61112180000001</v>
      </c>
      <c r="BD4" s="26">
        <f>$CP$15*Z4</f>
        <v>323.96760000000006</v>
      </c>
      <c r="BE4" s="26">
        <f>AA4*$CQ$15</f>
        <v>-684</v>
      </c>
      <c r="BF4" s="26">
        <f>AB4*$CR$15</f>
        <v>104.13342799999999</v>
      </c>
      <c r="BG4" s="26">
        <f>AC4*$CS$15</f>
        <v>253.15029999999999</v>
      </c>
      <c r="BH4" s="26">
        <f>$CT$15*AD4</f>
        <v>349.46319999999997</v>
      </c>
      <c r="BI4" s="26">
        <f>AE4*$CU$15</f>
        <v>266.73680400000001</v>
      </c>
      <c r="BJ4" s="26">
        <f>$CV$15*AF4</f>
        <v>626.60399999999993</v>
      </c>
      <c r="BK4" s="26">
        <f>AG4*$CW$15</f>
        <v>2539.9619000000002</v>
      </c>
      <c r="BL4" s="26">
        <f>AH4*$CX$15</f>
        <v>487.48874999999998</v>
      </c>
      <c r="BM4" s="26">
        <f>AI4*$CY$15</f>
        <v>272.5</v>
      </c>
      <c r="BN4" s="26">
        <f>AJ4*$CZ$15</f>
        <v>70.5</v>
      </c>
      <c r="BO4" s="26">
        <f>AK4*$DA$15</f>
        <v>-1180.5650000000001</v>
      </c>
      <c r="BP4" s="26">
        <f>AL4*$DB$15</f>
        <v>599.93999999999994</v>
      </c>
      <c r="BQ4" s="26">
        <f>SUM(Table9[[#This Row],[SCW]:[SCPF]])</f>
        <v>9081.2329318000011</v>
      </c>
      <c r="BY4" t="s">
        <v>227</v>
      </c>
      <c r="BZ4" t="s">
        <v>228</v>
      </c>
      <c r="CA4" t="s">
        <v>229</v>
      </c>
      <c r="CB4" t="s">
        <v>230</v>
      </c>
      <c r="CC4" t="s">
        <v>231</v>
      </c>
      <c r="CD4" t="s">
        <v>232</v>
      </c>
      <c r="CE4" t="s">
        <v>233</v>
      </c>
      <c r="CF4" t="s">
        <v>234</v>
      </c>
      <c r="CG4" t="s">
        <v>235</v>
      </c>
      <c r="CH4" t="s">
        <v>236</v>
      </c>
      <c r="CI4" t="s">
        <v>237</v>
      </c>
      <c r="CJ4" t="s">
        <v>257</v>
      </c>
      <c r="CK4" t="s">
        <v>239</v>
      </c>
      <c r="CL4" t="s">
        <v>240</v>
      </c>
      <c r="CM4" t="s">
        <v>241</v>
      </c>
      <c r="CN4" t="s">
        <v>242</v>
      </c>
      <c r="CO4" t="s">
        <v>243</v>
      </c>
      <c r="CP4" t="s">
        <v>244</v>
      </c>
      <c r="CQ4" t="s">
        <v>245</v>
      </c>
      <c r="CR4" t="s">
        <v>246</v>
      </c>
      <c r="CS4" t="s">
        <v>247</v>
      </c>
      <c r="CT4" t="s">
        <v>248</v>
      </c>
      <c r="CU4" t="s">
        <v>249</v>
      </c>
      <c r="CV4" t="s">
        <v>250</v>
      </c>
      <c r="CW4" t="s">
        <v>251</v>
      </c>
      <c r="CX4" t="s">
        <v>252</v>
      </c>
      <c r="CY4" t="s">
        <v>253</v>
      </c>
      <c r="CZ4" t="s">
        <v>254</v>
      </c>
      <c r="DA4" t="s">
        <v>255</v>
      </c>
      <c r="DB4" t="s">
        <v>256</v>
      </c>
    </row>
    <row r="5" spans="1:106" x14ac:dyDescent="0.45">
      <c r="A5" s="3">
        <v>5</v>
      </c>
      <c r="B5" s="4" t="s">
        <v>267</v>
      </c>
      <c r="C5" s="3">
        <v>33</v>
      </c>
      <c r="D5" s="3">
        <v>26</v>
      </c>
      <c r="E5" s="3">
        <v>7</v>
      </c>
      <c r="F5" s="3">
        <v>0.78800000000000003</v>
      </c>
      <c r="G5" s="3">
        <v>21.85</v>
      </c>
      <c r="H5" s="3">
        <v>8.4</v>
      </c>
      <c r="I5" s="3"/>
      <c r="J5" s="3">
        <v>14</v>
      </c>
      <c r="K5" s="3">
        <v>4</v>
      </c>
      <c r="L5" s="3"/>
      <c r="M5" s="3">
        <v>18</v>
      </c>
      <c r="N5" s="3">
        <v>0</v>
      </c>
      <c r="O5" s="3"/>
      <c r="P5" s="3">
        <v>6</v>
      </c>
      <c r="Q5" s="3">
        <v>5</v>
      </c>
      <c r="R5" s="3"/>
      <c r="S5" s="3">
        <v>2622</v>
      </c>
      <c r="T5" s="3">
        <v>2178</v>
      </c>
      <c r="U5" s="3"/>
      <c r="V5" s="3">
        <v>1325</v>
      </c>
      <c r="W5" s="3">
        <v>1004</v>
      </c>
      <c r="X5" s="3">
        <v>2072</v>
      </c>
      <c r="Y5" s="3">
        <v>0.48499999999999999</v>
      </c>
      <c r="Z5" s="3">
        <v>203</v>
      </c>
      <c r="AA5" s="3">
        <v>581</v>
      </c>
      <c r="AB5" s="3">
        <v>0.34899999999999998</v>
      </c>
      <c r="AC5" s="3">
        <v>411</v>
      </c>
      <c r="AD5" s="3">
        <v>563</v>
      </c>
      <c r="AE5" s="3">
        <v>0.73</v>
      </c>
      <c r="AF5" s="3">
        <v>427</v>
      </c>
      <c r="AG5" s="3">
        <v>1329</v>
      </c>
      <c r="AH5" s="3">
        <v>531</v>
      </c>
      <c r="AI5" s="3">
        <v>225</v>
      </c>
      <c r="AJ5" s="3">
        <v>138</v>
      </c>
      <c r="AK5" s="3">
        <v>381</v>
      </c>
      <c r="AL5" s="3">
        <v>470</v>
      </c>
      <c r="AM5" s="23">
        <f>D5*$BY$15</f>
        <v>57.771999999999998</v>
      </c>
      <c r="AN5" s="24">
        <f>$BZ$15*E5</f>
        <v>-15.540000000000001</v>
      </c>
      <c r="AO5" s="24">
        <f>F5*$CA$15</f>
        <v>175.11093600000001</v>
      </c>
      <c r="AP5" s="24">
        <f>G5*$CB$15</f>
        <v>1922.8000000000002</v>
      </c>
      <c r="AQ5" s="24">
        <f>H5*$CC$15</f>
        <v>1134</v>
      </c>
      <c r="AR5" s="24">
        <f>J5*$CD$15</f>
        <v>30.800000000000004</v>
      </c>
      <c r="AS5" s="24">
        <f>K5*$CE$15</f>
        <v>-8.8000000000000007</v>
      </c>
      <c r="AT5" s="24">
        <f>M5*$CF$15</f>
        <v>18</v>
      </c>
      <c r="AU5" s="24">
        <f>N5*$CG$15</f>
        <v>0</v>
      </c>
      <c r="AV5" s="24">
        <f>P5*$CH$15</f>
        <v>9.9989999999999988</v>
      </c>
      <c r="AW5" s="24">
        <f>$CI$15*Q5</f>
        <v>8.3324999999999996</v>
      </c>
      <c r="AX5" s="24">
        <f>S5*$CJ$15</f>
        <v>4952.6958000000004</v>
      </c>
      <c r="AY5" s="24">
        <f>T5*$CK$15</f>
        <v>-3630.0726</v>
      </c>
      <c r="AZ5" s="24">
        <f>V5*$CL$15</f>
        <v>1325</v>
      </c>
      <c r="BA5" s="24">
        <f>W5*$CM$15</f>
        <v>1204.8</v>
      </c>
      <c r="BB5" s="24">
        <f>X5*$CN$15</f>
        <v>-2617.1846399999999</v>
      </c>
      <c r="BC5" s="24">
        <f>Y5*$CO$15</f>
        <v>134.72223300000002</v>
      </c>
      <c r="BD5" s="24">
        <f>$CP$15*Z5</f>
        <v>270.63960000000003</v>
      </c>
      <c r="BE5" s="24">
        <f>AA5*$CQ$15</f>
        <v>-581</v>
      </c>
      <c r="BF5" s="24">
        <f>AB5*$CR$15</f>
        <v>102.37342639999999</v>
      </c>
      <c r="BG5" s="24">
        <f>AC5*$CS$15</f>
        <v>216.30930000000001</v>
      </c>
      <c r="BH5" s="24">
        <f>$CT$15*AD5</f>
        <v>296.30689999999998</v>
      </c>
      <c r="BI5" s="24">
        <f>AE5*$CU$15</f>
        <v>268.94733000000002</v>
      </c>
      <c r="BJ5" s="24">
        <f>$CV$15*AF5</f>
        <v>711.5954999999999</v>
      </c>
      <c r="BK5" s="24">
        <f>AG5*$CW$15</f>
        <v>2657.9601300000004</v>
      </c>
      <c r="BL5" s="24">
        <f>AH5*$CX$15</f>
        <v>493.06004999999999</v>
      </c>
      <c r="BM5" s="24">
        <f>AI5*$CY$15</f>
        <v>281.25</v>
      </c>
      <c r="BN5" s="24">
        <f>AJ5*$CZ$15</f>
        <v>69</v>
      </c>
      <c r="BO5" s="24">
        <f>AK5*$DA$15</f>
        <v>-1058.3417999999999</v>
      </c>
      <c r="BP5" s="24">
        <f>AL5*$DB$15</f>
        <v>522.16999999999996</v>
      </c>
      <c r="BQ5" s="24">
        <f>SUM(Table9[[#This Row],[SCW]:[SCPF]])</f>
        <v>8952.7056654000007</v>
      </c>
      <c r="BY5" t="s">
        <v>167</v>
      </c>
      <c r="BZ5" t="s">
        <v>168</v>
      </c>
      <c r="CA5" t="s">
        <v>169</v>
      </c>
      <c r="CB5" t="s">
        <v>170</v>
      </c>
      <c r="CC5" t="s">
        <v>171</v>
      </c>
      <c r="CD5" t="s">
        <v>172</v>
      </c>
      <c r="CE5" t="s">
        <v>173</v>
      </c>
      <c r="CF5" t="s">
        <v>174</v>
      </c>
      <c r="CG5" t="s">
        <v>175</v>
      </c>
      <c r="CH5" t="s">
        <v>176</v>
      </c>
      <c r="CI5" t="s">
        <v>177</v>
      </c>
      <c r="CJ5" t="s">
        <v>178</v>
      </c>
      <c r="CK5" t="s">
        <v>179</v>
      </c>
      <c r="CL5" t="s">
        <v>180</v>
      </c>
      <c r="CM5" t="s">
        <v>181</v>
      </c>
      <c r="CN5" t="s">
        <v>182</v>
      </c>
      <c r="CO5" t="s">
        <v>183</v>
      </c>
      <c r="CP5" t="s">
        <v>184</v>
      </c>
      <c r="CQ5" t="s">
        <v>185</v>
      </c>
      <c r="CR5" t="s">
        <v>186</v>
      </c>
      <c r="CS5" t="s">
        <v>187</v>
      </c>
      <c r="CT5" t="s">
        <v>195</v>
      </c>
      <c r="CU5" t="s">
        <v>188</v>
      </c>
      <c r="CV5" t="s">
        <v>189</v>
      </c>
      <c r="CW5" t="s">
        <v>190</v>
      </c>
      <c r="CX5" t="s">
        <v>191</v>
      </c>
      <c r="CY5" t="s">
        <v>192</v>
      </c>
      <c r="CZ5" t="s">
        <v>193</v>
      </c>
      <c r="DA5" t="s">
        <v>194</v>
      </c>
      <c r="DB5" t="s">
        <v>196</v>
      </c>
    </row>
    <row r="6" spans="1:106" x14ac:dyDescent="0.45">
      <c r="A6" s="3">
        <v>1</v>
      </c>
      <c r="B6" s="4" t="s">
        <v>264</v>
      </c>
      <c r="C6" s="3">
        <v>29</v>
      </c>
      <c r="D6" s="3">
        <v>26</v>
      </c>
      <c r="E6" s="3">
        <v>3</v>
      </c>
      <c r="F6" s="3">
        <v>0.89700000000000002</v>
      </c>
      <c r="G6" s="3">
        <v>26.78</v>
      </c>
      <c r="H6" s="3">
        <v>4.3</v>
      </c>
      <c r="I6" s="3"/>
      <c r="J6" s="3">
        <v>13</v>
      </c>
      <c r="K6" s="3">
        <v>1</v>
      </c>
      <c r="L6" s="3"/>
      <c r="M6" s="3">
        <v>16</v>
      </c>
      <c r="N6" s="3">
        <v>0</v>
      </c>
      <c r="O6" s="3"/>
      <c r="P6" s="3">
        <v>5</v>
      </c>
      <c r="Q6" s="3">
        <v>1</v>
      </c>
      <c r="R6" s="3"/>
      <c r="S6" s="3">
        <v>2547</v>
      </c>
      <c r="T6" s="3">
        <v>1895</v>
      </c>
      <c r="U6" s="3"/>
      <c r="V6" s="3">
        <v>1160</v>
      </c>
      <c r="W6" s="3">
        <v>955</v>
      </c>
      <c r="X6" s="3">
        <v>1811</v>
      </c>
      <c r="Y6" s="3">
        <v>0.52700000000000002</v>
      </c>
      <c r="Z6" s="3">
        <v>243</v>
      </c>
      <c r="AA6" s="3">
        <v>642</v>
      </c>
      <c r="AB6" s="3">
        <v>0.379</v>
      </c>
      <c r="AC6" s="3">
        <v>394</v>
      </c>
      <c r="AD6" s="3">
        <v>540</v>
      </c>
      <c r="AE6" s="3">
        <v>0.73</v>
      </c>
      <c r="AF6" s="3">
        <v>272</v>
      </c>
      <c r="AG6" s="3">
        <v>1204</v>
      </c>
      <c r="AH6" s="3">
        <v>528</v>
      </c>
      <c r="AI6" s="3">
        <v>193</v>
      </c>
      <c r="AJ6" s="3">
        <v>170</v>
      </c>
      <c r="AK6" s="3">
        <v>341</v>
      </c>
      <c r="AL6" s="3">
        <v>447</v>
      </c>
      <c r="AM6" s="23">
        <f>D6*$BY$15</f>
        <v>57.771999999999998</v>
      </c>
      <c r="AN6" s="24">
        <f>$BZ$15*E6</f>
        <v>-6.66</v>
      </c>
      <c r="AO6" s="24">
        <f>F6*$CA$15</f>
        <v>199.333134</v>
      </c>
      <c r="AP6" s="24">
        <f>G6*$CB$15</f>
        <v>2356.6400000000003</v>
      </c>
      <c r="AQ6" s="24">
        <f>H6*$CC$15</f>
        <v>580.5</v>
      </c>
      <c r="AR6" s="24">
        <f>J6*$CD$15</f>
        <v>28.6</v>
      </c>
      <c r="AS6" s="24">
        <f>K6*$CE$15</f>
        <v>-2.2000000000000002</v>
      </c>
      <c r="AT6" s="24">
        <f>M6*$CF$15</f>
        <v>16</v>
      </c>
      <c r="AU6" s="24">
        <f>N6*$CG$15</f>
        <v>0</v>
      </c>
      <c r="AV6" s="24">
        <f>P6*$CH$15</f>
        <v>8.3324999999999996</v>
      </c>
      <c r="AW6" s="24">
        <f>$CI$15*Q6</f>
        <v>1.6664999999999999</v>
      </c>
      <c r="AX6" s="24">
        <f>S6*$CJ$15</f>
        <v>4811.0282999999999</v>
      </c>
      <c r="AY6" s="24">
        <f>T6*$CK$15</f>
        <v>-3158.3965000000003</v>
      </c>
      <c r="AZ6" s="24">
        <f>V6*$CL$15</f>
        <v>1160</v>
      </c>
      <c r="BA6" s="24">
        <f>W6*$CM$15</f>
        <v>1146</v>
      </c>
      <c r="BB6" s="24">
        <f>X6*$CN$15</f>
        <v>-2287.5103199999999</v>
      </c>
      <c r="BC6" s="24">
        <f>Y6*$CO$15</f>
        <v>146.38890060000003</v>
      </c>
      <c r="BD6" s="24">
        <f>$CP$15*Z6</f>
        <v>323.96760000000006</v>
      </c>
      <c r="BE6" s="24">
        <f>AA6*$CQ$15</f>
        <v>-642</v>
      </c>
      <c r="BF6" s="24">
        <f>AB6*$CR$15</f>
        <v>111.17343439999999</v>
      </c>
      <c r="BG6" s="24">
        <f>AC6*$CS$15</f>
        <v>207.3622</v>
      </c>
      <c r="BH6" s="24">
        <f>$CT$15*AD6</f>
        <v>284.202</v>
      </c>
      <c r="BI6" s="24">
        <f>AE6*$CU$15</f>
        <v>268.94733000000002</v>
      </c>
      <c r="BJ6" s="24">
        <f>$CV$15*AF6</f>
        <v>453.28799999999995</v>
      </c>
      <c r="BK6" s="24">
        <f>AG6*$CW$15</f>
        <v>2407.9638800000002</v>
      </c>
      <c r="BL6" s="24">
        <f>AH6*$CX$15</f>
        <v>490.27440000000001</v>
      </c>
      <c r="BM6" s="24">
        <f>AI6*$CY$15</f>
        <v>241.25</v>
      </c>
      <c r="BN6" s="24">
        <f>AJ6*$CZ$15</f>
        <v>85</v>
      </c>
      <c r="BO6" s="24">
        <f>AK6*$DA$15</f>
        <v>-947.22980000000007</v>
      </c>
      <c r="BP6" s="24">
        <f>AL6*$DB$15</f>
        <v>496.61700000000002</v>
      </c>
      <c r="BQ6" s="24">
        <f>SUM(Table9[[#This Row],[SCW]:[SCPF]])</f>
        <v>8838.3105589999996</v>
      </c>
      <c r="BY6">
        <v>10</v>
      </c>
      <c r="BZ6">
        <v>10</v>
      </c>
      <c r="CA6">
        <v>10</v>
      </c>
      <c r="CB6">
        <v>8</v>
      </c>
      <c r="CC6">
        <v>9</v>
      </c>
      <c r="CD6">
        <v>5</v>
      </c>
      <c r="CE6">
        <v>5</v>
      </c>
      <c r="CF6">
        <v>1</v>
      </c>
      <c r="CG6">
        <v>1</v>
      </c>
      <c r="CH6">
        <v>5</v>
      </c>
      <c r="CI6">
        <v>5</v>
      </c>
      <c r="CJ6">
        <v>10</v>
      </c>
      <c r="CK6">
        <v>10</v>
      </c>
      <c r="CL6">
        <v>1</v>
      </c>
      <c r="CM6">
        <v>8</v>
      </c>
      <c r="CN6">
        <v>8</v>
      </c>
      <c r="CO6">
        <v>10</v>
      </c>
      <c r="CP6">
        <v>6</v>
      </c>
      <c r="CQ6">
        <v>6</v>
      </c>
      <c r="CR6">
        <v>8</v>
      </c>
      <c r="CS6">
        <v>10</v>
      </c>
      <c r="CT6">
        <v>10</v>
      </c>
      <c r="CU6">
        <v>10</v>
      </c>
      <c r="CV6">
        <v>5</v>
      </c>
      <c r="CW6">
        <v>7</v>
      </c>
      <c r="CX6">
        <v>5</v>
      </c>
      <c r="CY6">
        <v>5</v>
      </c>
      <c r="CZ6">
        <v>2</v>
      </c>
      <c r="DA6">
        <v>10</v>
      </c>
      <c r="DB6">
        <v>10</v>
      </c>
    </row>
    <row r="7" spans="1:106" x14ac:dyDescent="0.45">
      <c r="A7" s="3">
        <v>3</v>
      </c>
      <c r="B7" s="4" t="s">
        <v>265</v>
      </c>
      <c r="C7" s="3">
        <v>33</v>
      </c>
      <c r="D7" s="3">
        <v>28</v>
      </c>
      <c r="E7" s="3">
        <v>5</v>
      </c>
      <c r="F7" s="3">
        <v>0.84799999999999998</v>
      </c>
      <c r="G7" s="3">
        <v>22.01</v>
      </c>
      <c r="H7" s="3">
        <v>5.0999999999999996</v>
      </c>
      <c r="I7" s="3"/>
      <c r="J7" s="3">
        <v>15</v>
      </c>
      <c r="K7" s="3">
        <v>3</v>
      </c>
      <c r="L7" s="3"/>
      <c r="M7" s="3">
        <v>16</v>
      </c>
      <c r="N7" s="3">
        <v>1</v>
      </c>
      <c r="O7" s="3"/>
      <c r="P7" s="3">
        <v>7</v>
      </c>
      <c r="Q7" s="3">
        <v>3</v>
      </c>
      <c r="R7" s="3"/>
      <c r="S7" s="3">
        <v>2507</v>
      </c>
      <c r="T7" s="3">
        <v>1949</v>
      </c>
      <c r="U7" s="3"/>
      <c r="V7" s="3">
        <v>1335</v>
      </c>
      <c r="W7" s="3">
        <v>932</v>
      </c>
      <c r="X7" s="3">
        <v>1983</v>
      </c>
      <c r="Y7" s="3">
        <v>0.47</v>
      </c>
      <c r="Z7" s="3">
        <v>264</v>
      </c>
      <c r="AA7" s="3">
        <v>774</v>
      </c>
      <c r="AB7" s="3">
        <v>0.34100000000000003</v>
      </c>
      <c r="AC7" s="3">
        <v>379</v>
      </c>
      <c r="AD7" s="3">
        <v>567</v>
      </c>
      <c r="AE7" s="3">
        <v>0.66800000000000004</v>
      </c>
      <c r="AF7" s="3">
        <v>441</v>
      </c>
      <c r="AG7" s="3">
        <v>1300</v>
      </c>
      <c r="AH7" s="3">
        <v>549</v>
      </c>
      <c r="AI7" s="3">
        <v>270</v>
      </c>
      <c r="AJ7" s="3">
        <v>174</v>
      </c>
      <c r="AK7" s="3">
        <v>376</v>
      </c>
      <c r="AL7" s="3">
        <v>575</v>
      </c>
      <c r="AM7" s="23">
        <f>D7*$BY$15</f>
        <v>62.216000000000001</v>
      </c>
      <c r="AN7" s="24">
        <f>$BZ$15*E7</f>
        <v>-11.100000000000001</v>
      </c>
      <c r="AO7" s="24">
        <f>F7*$CA$15</f>
        <v>188.444256</v>
      </c>
      <c r="AP7" s="24">
        <f>G7*$CB$15</f>
        <v>1936.88</v>
      </c>
      <c r="AQ7" s="24">
        <f>H7*$CC$15</f>
        <v>688.5</v>
      </c>
      <c r="AR7" s="24">
        <f>J7*$CD$15</f>
        <v>33</v>
      </c>
      <c r="AS7" s="24">
        <f>K7*$CE$15</f>
        <v>-6.6000000000000005</v>
      </c>
      <c r="AT7" s="24">
        <f>M7*$CF$15</f>
        <v>16</v>
      </c>
      <c r="AU7" s="24">
        <f>N7*$CG$15</f>
        <v>1</v>
      </c>
      <c r="AV7" s="24">
        <f>P7*$CH$15</f>
        <v>11.6655</v>
      </c>
      <c r="AW7" s="24">
        <f>$CI$15*Q7</f>
        <v>4.9994999999999994</v>
      </c>
      <c r="AX7" s="24">
        <f>S7*$CJ$15</f>
        <v>4735.4723000000004</v>
      </c>
      <c r="AY7" s="24">
        <f>T7*$CK$15</f>
        <v>-3248.3983000000003</v>
      </c>
      <c r="AZ7" s="24">
        <f>V7*$CL$15</f>
        <v>1335</v>
      </c>
      <c r="BA7" s="24">
        <f>W7*$CM$15</f>
        <v>1118.3999999999999</v>
      </c>
      <c r="BB7" s="24">
        <f>X7*$CN$15</f>
        <v>-2504.7669599999999</v>
      </c>
      <c r="BC7" s="24">
        <f>Y7*$CO$15</f>
        <v>130.555566</v>
      </c>
      <c r="BD7" s="24">
        <f>$CP$15*Z7</f>
        <v>351.96480000000003</v>
      </c>
      <c r="BE7" s="24">
        <f>AA7*$CQ$15</f>
        <v>-774</v>
      </c>
      <c r="BF7" s="24">
        <f>AB7*$CR$15</f>
        <v>100.02675760000001</v>
      </c>
      <c r="BG7" s="24">
        <f>AC7*$CS$15</f>
        <v>199.46770000000001</v>
      </c>
      <c r="BH7" s="24">
        <f>$CT$15*AD7</f>
        <v>298.41210000000001</v>
      </c>
      <c r="BI7" s="24">
        <f>AE7*$CU$15</f>
        <v>246.10522800000004</v>
      </c>
      <c r="BJ7" s="24">
        <f>$CV$15*AF7</f>
        <v>734.92649999999992</v>
      </c>
      <c r="BK7" s="24">
        <f>AG7*$CW$15</f>
        <v>2599.9610000000002</v>
      </c>
      <c r="BL7" s="24">
        <f>AH7*$CX$15</f>
        <v>509.77395000000001</v>
      </c>
      <c r="BM7" s="24">
        <f>AI7*$CY$15</f>
        <v>337.5</v>
      </c>
      <c r="BN7" s="24">
        <f>AJ7*$CZ$15</f>
        <v>87</v>
      </c>
      <c r="BO7" s="24">
        <f>AK7*$DA$15</f>
        <v>-1044.4528</v>
      </c>
      <c r="BP7" s="24">
        <f>AL7*$DB$15</f>
        <v>638.82500000000005</v>
      </c>
      <c r="BQ7" s="24">
        <f>SUM(Table9[[#This Row],[SCW]:[SCPF]])</f>
        <v>8776.7780975999995</v>
      </c>
    </row>
    <row r="8" spans="1:106" x14ac:dyDescent="0.45">
      <c r="A8" s="3">
        <v>12</v>
      </c>
      <c r="B8" s="4" t="s">
        <v>274</v>
      </c>
      <c r="C8" s="3">
        <v>34</v>
      </c>
      <c r="D8" s="3">
        <v>25</v>
      </c>
      <c r="E8" s="3">
        <v>9</v>
      </c>
      <c r="F8" s="3">
        <v>0.73499999999999999</v>
      </c>
      <c r="G8" s="3">
        <v>19.579999999999998</v>
      </c>
      <c r="H8" s="3">
        <v>6.99</v>
      </c>
      <c r="I8" s="3"/>
      <c r="J8" s="3">
        <v>12</v>
      </c>
      <c r="K8" s="3">
        <v>8</v>
      </c>
      <c r="L8" s="3"/>
      <c r="M8" s="3">
        <v>15</v>
      </c>
      <c r="N8" s="3">
        <v>3</v>
      </c>
      <c r="O8" s="3"/>
      <c r="P8" s="3">
        <v>6</v>
      </c>
      <c r="Q8" s="3">
        <v>6</v>
      </c>
      <c r="R8" s="3"/>
      <c r="S8" s="3">
        <v>2857</v>
      </c>
      <c r="T8" s="3">
        <v>2429</v>
      </c>
      <c r="U8" s="3"/>
      <c r="V8" s="3">
        <v>1370</v>
      </c>
      <c r="W8" s="3">
        <v>1021</v>
      </c>
      <c r="X8" s="3">
        <v>2195</v>
      </c>
      <c r="Y8" s="3">
        <v>0.46500000000000002</v>
      </c>
      <c r="Z8" s="3">
        <v>317</v>
      </c>
      <c r="AA8" s="3">
        <v>855</v>
      </c>
      <c r="AB8" s="3">
        <v>0.371</v>
      </c>
      <c r="AC8" s="3">
        <v>498</v>
      </c>
      <c r="AD8" s="3">
        <v>662</v>
      </c>
      <c r="AE8" s="3">
        <v>0.752</v>
      </c>
      <c r="AF8" s="3">
        <v>404</v>
      </c>
      <c r="AG8" s="3">
        <v>1274</v>
      </c>
      <c r="AH8" s="3">
        <v>548</v>
      </c>
      <c r="AI8" s="3">
        <v>246</v>
      </c>
      <c r="AJ8" s="3">
        <v>150</v>
      </c>
      <c r="AK8" s="3">
        <v>315</v>
      </c>
      <c r="AL8" s="3">
        <v>548</v>
      </c>
      <c r="AM8" s="25">
        <f>D8*$BY$15</f>
        <v>55.55</v>
      </c>
      <c r="AN8" s="26">
        <f>$BZ$15*E8</f>
        <v>-19.98</v>
      </c>
      <c r="AO8" s="26">
        <f>F8*$CA$15</f>
        <v>163.33317</v>
      </c>
      <c r="AP8" s="26">
        <f>G8*$CB$15</f>
        <v>1723.04</v>
      </c>
      <c r="AQ8" s="26">
        <f>H8*$CC$15</f>
        <v>943.65</v>
      </c>
      <c r="AR8" s="26">
        <f>J8*$CD$15</f>
        <v>26.400000000000002</v>
      </c>
      <c r="AS8" s="26">
        <f>K8*$CE$15</f>
        <v>-17.600000000000001</v>
      </c>
      <c r="AT8" s="26">
        <f>M8*$CF$15</f>
        <v>15</v>
      </c>
      <c r="AU8" s="26">
        <f>N8*$CG$15</f>
        <v>3</v>
      </c>
      <c r="AV8" s="26">
        <f>P8*$CH$15</f>
        <v>9.9989999999999988</v>
      </c>
      <c r="AW8" s="26">
        <f>$CI$15*Q8</f>
        <v>9.9989999999999988</v>
      </c>
      <c r="AX8" s="26">
        <f>S8*$CJ$15</f>
        <v>5396.5873000000001</v>
      </c>
      <c r="AY8" s="26">
        <f>T8*$CK$15</f>
        <v>-4048.4143000000004</v>
      </c>
      <c r="AZ8" s="26">
        <f>V8*$CL$15</f>
        <v>1370</v>
      </c>
      <c r="BA8" s="26">
        <f>W8*$CM$15</f>
        <v>1225.2</v>
      </c>
      <c r="BB8" s="26">
        <f>X8*$CN$15</f>
        <v>-2772.5484000000001</v>
      </c>
      <c r="BC8" s="26">
        <f>Y8*$CO$15</f>
        <v>129.16667700000002</v>
      </c>
      <c r="BD8" s="26">
        <f>$CP$15*Z8</f>
        <v>422.62440000000004</v>
      </c>
      <c r="BE8" s="26">
        <f>AA8*$CQ$15</f>
        <v>-855</v>
      </c>
      <c r="BF8" s="26">
        <f>AB8*$CR$15</f>
        <v>108.8267656</v>
      </c>
      <c r="BG8" s="26">
        <f>AC8*$CS$15</f>
        <v>262.09739999999999</v>
      </c>
      <c r="BH8" s="26">
        <f>$CT$15*AD8</f>
        <v>348.41059999999999</v>
      </c>
      <c r="BI8" s="26">
        <f>AE8*$CU$15</f>
        <v>277.05259200000006</v>
      </c>
      <c r="BJ8" s="26">
        <f>$CV$15*AF8</f>
        <v>673.26599999999996</v>
      </c>
      <c r="BK8" s="26">
        <f>AG8*$CW$15</f>
        <v>2547.9617800000001</v>
      </c>
      <c r="BL8" s="26">
        <f>AH8*$CX$15</f>
        <v>508.84539999999998</v>
      </c>
      <c r="BM8" s="26">
        <f>AI8*$CY$15</f>
        <v>307.5</v>
      </c>
      <c r="BN8" s="26">
        <f>AJ8*$CZ$15</f>
        <v>75</v>
      </c>
      <c r="BO8" s="26">
        <f>AK8*$DA$15</f>
        <v>-875.00700000000006</v>
      </c>
      <c r="BP8" s="26">
        <f>AL8*$DB$15</f>
        <v>608.82799999999997</v>
      </c>
      <c r="BQ8" s="26">
        <f>SUM(Table9[[#This Row],[SCW]:[SCPF]])</f>
        <v>8622.7883845999986</v>
      </c>
    </row>
    <row r="9" spans="1:106" x14ac:dyDescent="0.45">
      <c r="A9" s="3">
        <v>10</v>
      </c>
      <c r="B9" s="4" t="s">
        <v>272</v>
      </c>
      <c r="C9" s="3">
        <v>33</v>
      </c>
      <c r="D9" s="3">
        <v>27</v>
      </c>
      <c r="E9" s="3">
        <v>6</v>
      </c>
      <c r="F9" s="3">
        <v>0.81799999999999995</v>
      </c>
      <c r="G9" s="3">
        <v>20.04</v>
      </c>
      <c r="H9" s="3">
        <v>8.4</v>
      </c>
      <c r="I9" s="3"/>
      <c r="J9" s="3">
        <v>14</v>
      </c>
      <c r="K9" s="3">
        <v>6</v>
      </c>
      <c r="L9" s="3"/>
      <c r="M9" s="3">
        <v>16</v>
      </c>
      <c r="N9" s="3">
        <v>1</v>
      </c>
      <c r="O9" s="3"/>
      <c r="P9" s="3">
        <v>5</v>
      </c>
      <c r="Q9" s="3">
        <v>5</v>
      </c>
      <c r="R9" s="3"/>
      <c r="S9" s="3">
        <v>2647</v>
      </c>
      <c r="T9" s="3">
        <v>2263</v>
      </c>
      <c r="U9" s="3"/>
      <c r="V9" s="3">
        <v>1335</v>
      </c>
      <c r="W9" s="3">
        <v>935</v>
      </c>
      <c r="X9" s="3">
        <v>1887</v>
      </c>
      <c r="Y9" s="3">
        <v>0.495</v>
      </c>
      <c r="Z9" s="3">
        <v>292</v>
      </c>
      <c r="AA9" s="3">
        <v>740</v>
      </c>
      <c r="AB9" s="3">
        <v>0.39500000000000002</v>
      </c>
      <c r="AC9" s="3">
        <v>485</v>
      </c>
      <c r="AD9" s="3">
        <v>689</v>
      </c>
      <c r="AE9" s="3">
        <v>0.70399999999999996</v>
      </c>
      <c r="AF9" s="3">
        <v>364</v>
      </c>
      <c r="AG9" s="3">
        <v>1263</v>
      </c>
      <c r="AH9" s="3">
        <v>552</v>
      </c>
      <c r="AI9" s="3">
        <v>153</v>
      </c>
      <c r="AJ9" s="3">
        <v>117</v>
      </c>
      <c r="AK9" s="3">
        <v>380</v>
      </c>
      <c r="AL9" s="3">
        <v>466</v>
      </c>
      <c r="AM9" s="25">
        <f>D9*$BY$15</f>
        <v>59.994</v>
      </c>
      <c r="AN9" s="26">
        <f>$BZ$15*E9</f>
        <v>-13.32</v>
      </c>
      <c r="AO9" s="26">
        <f>F9*$CA$15</f>
        <v>181.77759599999999</v>
      </c>
      <c r="AP9" s="26">
        <f>G9*$CB$15</f>
        <v>1763.52</v>
      </c>
      <c r="AQ9" s="26">
        <f>H9*$CC$15</f>
        <v>1134</v>
      </c>
      <c r="AR9" s="26">
        <f>J9*$CD$15</f>
        <v>30.800000000000004</v>
      </c>
      <c r="AS9" s="26">
        <f>K9*$CE$15</f>
        <v>-13.200000000000001</v>
      </c>
      <c r="AT9" s="26">
        <f>M9*$CF$15</f>
        <v>16</v>
      </c>
      <c r="AU9" s="26">
        <f>N9*$CG$15</f>
        <v>1</v>
      </c>
      <c r="AV9" s="26">
        <f>P9*$CH$15</f>
        <v>8.3324999999999996</v>
      </c>
      <c r="AW9" s="26">
        <f>$CI$15*Q9</f>
        <v>8.3324999999999996</v>
      </c>
      <c r="AX9" s="26">
        <f>S9*$CJ$15</f>
        <v>4999.9183000000003</v>
      </c>
      <c r="AY9" s="26">
        <f>T9*$CK$15</f>
        <v>-3771.7420999999999</v>
      </c>
      <c r="AZ9" s="26">
        <f>V9*$CL$15</f>
        <v>1335</v>
      </c>
      <c r="BA9" s="26">
        <f>W9*$CM$15</f>
        <v>1122</v>
      </c>
      <c r="BB9" s="26">
        <f>X9*$CN$15</f>
        <v>-2383.5074399999999</v>
      </c>
      <c r="BC9" s="26">
        <f>Y9*$CO$15</f>
        <v>137.500011</v>
      </c>
      <c r="BD9" s="26">
        <f>$CP$15*Z9</f>
        <v>389.29440000000005</v>
      </c>
      <c r="BE9" s="26">
        <f>AA9*$CQ$15</f>
        <v>-740</v>
      </c>
      <c r="BF9" s="26">
        <f>AB9*$CR$15</f>
        <v>115.866772</v>
      </c>
      <c r="BG9" s="26">
        <f>AC9*$CS$15</f>
        <v>255.25549999999998</v>
      </c>
      <c r="BH9" s="26">
        <f>$CT$15*AD9</f>
        <v>362.6207</v>
      </c>
      <c r="BI9" s="26">
        <f>AE9*$CU$15</f>
        <v>259.36838399999999</v>
      </c>
      <c r="BJ9" s="26">
        <f>$CV$15*AF9</f>
        <v>606.60599999999999</v>
      </c>
      <c r="BK9" s="26">
        <f>AG9*$CW$15</f>
        <v>2525.9621100000004</v>
      </c>
      <c r="BL9" s="26">
        <f>AH9*$CX$15</f>
        <v>512.55960000000005</v>
      </c>
      <c r="BM9" s="26">
        <f>AI9*$CY$15</f>
        <v>191.25</v>
      </c>
      <c r="BN9" s="26">
        <f>AJ9*$CZ$15</f>
        <v>58.5</v>
      </c>
      <c r="BO9" s="26">
        <f>AK9*$DA$15</f>
        <v>-1055.5640000000001</v>
      </c>
      <c r="BP9" s="26">
        <f>AL9*$DB$15</f>
        <v>517.726</v>
      </c>
      <c r="BQ9" s="26">
        <f>SUM(Table9[[#This Row],[SCW]:[SCPF]])</f>
        <v>8615.8508330000041</v>
      </c>
      <c r="BY9" t="s">
        <v>197</v>
      </c>
      <c r="BZ9" t="s">
        <v>198</v>
      </c>
      <c r="CA9" t="s">
        <v>199</v>
      </c>
      <c r="CB9" t="s">
        <v>200</v>
      </c>
      <c r="CC9" t="s">
        <v>201</v>
      </c>
      <c r="CD9" t="s">
        <v>202</v>
      </c>
      <c r="CE9" t="s">
        <v>203</v>
      </c>
      <c r="CF9" t="s">
        <v>204</v>
      </c>
      <c r="CG9" t="s">
        <v>205</v>
      </c>
      <c r="CH9" t="s">
        <v>206</v>
      </c>
      <c r="CI9" t="s">
        <v>207</v>
      </c>
      <c r="CJ9" t="s">
        <v>208</v>
      </c>
      <c r="CK9" t="s">
        <v>209</v>
      </c>
      <c r="CL9" t="s">
        <v>210</v>
      </c>
      <c r="CM9" t="s">
        <v>211</v>
      </c>
      <c r="CN9" t="s">
        <v>212</v>
      </c>
      <c r="CO9" t="s">
        <v>213</v>
      </c>
      <c r="CP9" t="s">
        <v>214</v>
      </c>
      <c r="CQ9" t="s">
        <v>215</v>
      </c>
      <c r="CR9" t="s">
        <v>216</v>
      </c>
      <c r="CS9" t="s">
        <v>217</v>
      </c>
      <c r="CT9" t="s">
        <v>218</v>
      </c>
      <c r="CU9" t="s">
        <v>219</v>
      </c>
      <c r="CV9" t="s">
        <v>220</v>
      </c>
      <c r="CW9" t="s">
        <v>221</v>
      </c>
      <c r="CX9" t="s">
        <v>222</v>
      </c>
      <c r="CY9" t="s">
        <v>223</v>
      </c>
      <c r="CZ9" t="s">
        <v>224</v>
      </c>
      <c r="DA9" t="s">
        <v>225</v>
      </c>
      <c r="DB9" t="s">
        <v>208</v>
      </c>
    </row>
    <row r="10" spans="1:106" x14ac:dyDescent="0.45">
      <c r="A10" s="3">
        <v>8</v>
      </c>
      <c r="B10" s="4" t="s">
        <v>270</v>
      </c>
      <c r="C10" s="3">
        <v>32</v>
      </c>
      <c r="D10" s="3">
        <v>27</v>
      </c>
      <c r="E10" s="3">
        <v>5</v>
      </c>
      <c r="F10" s="3">
        <v>0.84399999999999997</v>
      </c>
      <c r="G10" s="3">
        <v>20.420000000000002</v>
      </c>
      <c r="H10" s="3">
        <v>8.74</v>
      </c>
      <c r="I10" s="3"/>
      <c r="J10" s="3">
        <v>15</v>
      </c>
      <c r="K10" s="3">
        <v>3</v>
      </c>
      <c r="L10" s="3"/>
      <c r="M10" s="3">
        <v>16</v>
      </c>
      <c r="N10" s="3">
        <v>0</v>
      </c>
      <c r="O10" s="3"/>
      <c r="P10" s="3">
        <v>8</v>
      </c>
      <c r="Q10" s="3">
        <v>3</v>
      </c>
      <c r="R10" s="3"/>
      <c r="S10" s="3">
        <v>2519</v>
      </c>
      <c r="T10" s="3">
        <v>2145</v>
      </c>
      <c r="U10" s="3"/>
      <c r="V10" s="3">
        <v>1300</v>
      </c>
      <c r="W10" s="3">
        <v>894</v>
      </c>
      <c r="X10" s="3">
        <v>2034</v>
      </c>
      <c r="Y10" s="3">
        <v>0.44</v>
      </c>
      <c r="Z10" s="3">
        <v>260</v>
      </c>
      <c r="AA10" s="3">
        <v>812</v>
      </c>
      <c r="AB10" s="3">
        <v>0.32</v>
      </c>
      <c r="AC10" s="3">
        <v>471</v>
      </c>
      <c r="AD10" s="3">
        <v>643</v>
      </c>
      <c r="AE10" s="3">
        <v>0.73299999999999998</v>
      </c>
      <c r="AF10" s="3">
        <v>399</v>
      </c>
      <c r="AG10" s="3">
        <v>1278</v>
      </c>
      <c r="AH10" s="3">
        <v>467</v>
      </c>
      <c r="AI10" s="3">
        <v>281</v>
      </c>
      <c r="AJ10" s="3">
        <v>254</v>
      </c>
      <c r="AK10" s="3">
        <v>387</v>
      </c>
      <c r="AL10" s="3">
        <v>593</v>
      </c>
      <c r="AM10" s="25">
        <f>D10*$BY$15</f>
        <v>59.994</v>
      </c>
      <c r="AN10" s="26">
        <f>$BZ$15*E10</f>
        <v>-11.100000000000001</v>
      </c>
      <c r="AO10" s="26">
        <f>F10*$CA$15</f>
        <v>187.55536799999999</v>
      </c>
      <c r="AP10" s="26">
        <f>G10*$CB$15</f>
        <v>1796.96</v>
      </c>
      <c r="AQ10" s="26">
        <f>H10*$CC$15</f>
        <v>1179.9000000000001</v>
      </c>
      <c r="AR10" s="26">
        <f>J10*$CD$15</f>
        <v>33</v>
      </c>
      <c r="AS10" s="26">
        <f>K10*$CE$15</f>
        <v>-6.6000000000000005</v>
      </c>
      <c r="AT10" s="26">
        <f>M10*$CF$15</f>
        <v>16</v>
      </c>
      <c r="AU10" s="26">
        <f>N10*$CG$15</f>
        <v>0</v>
      </c>
      <c r="AV10" s="26">
        <f>P10*$CH$15</f>
        <v>13.331999999999999</v>
      </c>
      <c r="AW10" s="26">
        <f>$CI$15*Q10</f>
        <v>4.9994999999999994</v>
      </c>
      <c r="AX10" s="26">
        <f>S10*$CJ$15</f>
        <v>4758.1391000000003</v>
      </c>
      <c r="AY10" s="26">
        <f>T10*$CK$15</f>
        <v>-3575.0715</v>
      </c>
      <c r="AZ10" s="26">
        <f>V10*$CL$15</f>
        <v>1300</v>
      </c>
      <c r="BA10" s="26">
        <f>W10*$CM$15</f>
        <v>1072.8</v>
      </c>
      <c r="BB10" s="26">
        <f>X10*$CN$15</f>
        <v>-2569.1860799999999</v>
      </c>
      <c r="BC10" s="26">
        <f>Y10*$CO$15</f>
        <v>122.22223200000001</v>
      </c>
      <c r="BD10" s="26">
        <f>$CP$15*Z10</f>
        <v>346.63200000000006</v>
      </c>
      <c r="BE10" s="26">
        <f>AA10*$CQ$15</f>
        <v>-812</v>
      </c>
      <c r="BF10" s="26">
        <f>AB10*$CR$15</f>
        <v>93.866752000000005</v>
      </c>
      <c r="BG10" s="26">
        <f>AC10*$CS$15</f>
        <v>247.88729999999998</v>
      </c>
      <c r="BH10" s="26">
        <f>$CT$15*AD10</f>
        <v>338.41089999999997</v>
      </c>
      <c r="BI10" s="26">
        <f>AE10*$CU$15</f>
        <v>270.05259300000006</v>
      </c>
      <c r="BJ10" s="26">
        <f>$CV$15*AF10</f>
        <v>664.93349999999998</v>
      </c>
      <c r="BK10" s="26">
        <f>AG10*$CW$15</f>
        <v>2555.9616600000004</v>
      </c>
      <c r="BL10" s="26">
        <f>AH10*$CX$15</f>
        <v>433.63285000000002</v>
      </c>
      <c r="BM10" s="26">
        <f>AI10*$CY$15</f>
        <v>351.25</v>
      </c>
      <c r="BN10" s="26">
        <f>AJ10*$CZ$15</f>
        <v>127</v>
      </c>
      <c r="BO10" s="26">
        <f>AK10*$DA$15</f>
        <v>-1075.0086000000001</v>
      </c>
      <c r="BP10" s="26">
        <f>AL10*$DB$15</f>
        <v>658.82299999999998</v>
      </c>
      <c r="BQ10" s="26">
        <f>SUM(Table9[[#This Row],[SCW]:[SCPF]])</f>
        <v>8584.3865750000004</v>
      </c>
    </row>
    <row r="11" spans="1:106" x14ac:dyDescent="0.45">
      <c r="A11" s="3">
        <v>4</v>
      </c>
      <c r="B11" s="4" t="s">
        <v>266</v>
      </c>
      <c r="C11" s="3">
        <v>32</v>
      </c>
      <c r="D11" s="3">
        <v>26</v>
      </c>
      <c r="E11" s="3">
        <v>6</v>
      </c>
      <c r="F11" s="3">
        <v>0.81299999999999994</v>
      </c>
      <c r="G11" s="3">
        <v>21.9</v>
      </c>
      <c r="H11" s="3">
        <v>9.02</v>
      </c>
      <c r="I11" s="3"/>
      <c r="J11" s="3">
        <v>14</v>
      </c>
      <c r="K11" s="3">
        <v>4</v>
      </c>
      <c r="L11" s="3"/>
      <c r="M11" s="3">
        <v>15</v>
      </c>
      <c r="N11" s="3">
        <v>2</v>
      </c>
      <c r="O11" s="3"/>
      <c r="P11" s="3">
        <v>8</v>
      </c>
      <c r="Q11" s="3">
        <v>3</v>
      </c>
      <c r="R11" s="3"/>
      <c r="S11" s="3">
        <v>2448</v>
      </c>
      <c r="T11" s="3">
        <v>2036</v>
      </c>
      <c r="U11" s="3"/>
      <c r="V11" s="3">
        <v>1285</v>
      </c>
      <c r="W11" s="3">
        <v>903</v>
      </c>
      <c r="X11" s="3">
        <v>1948</v>
      </c>
      <c r="Y11" s="3">
        <v>0.46400000000000002</v>
      </c>
      <c r="Z11" s="3">
        <v>254</v>
      </c>
      <c r="AA11" s="3">
        <v>735</v>
      </c>
      <c r="AB11" s="3">
        <v>0.34599999999999997</v>
      </c>
      <c r="AC11" s="3">
        <v>388</v>
      </c>
      <c r="AD11" s="3">
        <v>556</v>
      </c>
      <c r="AE11" s="3">
        <v>0.69799999999999995</v>
      </c>
      <c r="AF11" s="3">
        <v>408</v>
      </c>
      <c r="AG11" s="3">
        <v>1188</v>
      </c>
      <c r="AH11" s="3">
        <v>507</v>
      </c>
      <c r="AI11" s="3">
        <v>282</v>
      </c>
      <c r="AJ11" s="3">
        <v>109</v>
      </c>
      <c r="AK11" s="3">
        <v>400</v>
      </c>
      <c r="AL11" s="3">
        <v>507</v>
      </c>
      <c r="AM11" s="25">
        <f>D11*$BY$15</f>
        <v>57.771999999999998</v>
      </c>
      <c r="AN11" s="26">
        <f>$BZ$15*E11</f>
        <v>-13.32</v>
      </c>
      <c r="AO11" s="26">
        <f>F11*$CA$15</f>
        <v>180.66648599999999</v>
      </c>
      <c r="AP11" s="26">
        <f>G11*$CB$15</f>
        <v>1927.1999999999998</v>
      </c>
      <c r="AQ11" s="26">
        <f>H11*$CC$15</f>
        <v>1217.7</v>
      </c>
      <c r="AR11" s="26">
        <f>J11*$CD$15</f>
        <v>30.800000000000004</v>
      </c>
      <c r="AS11" s="26">
        <f>K11*$CE$15</f>
        <v>-8.8000000000000007</v>
      </c>
      <c r="AT11" s="26">
        <f>M11*$CF$15</f>
        <v>15</v>
      </c>
      <c r="AU11" s="26">
        <f>N11*$CG$15</f>
        <v>2</v>
      </c>
      <c r="AV11" s="26">
        <f>P11*$CH$15</f>
        <v>13.331999999999999</v>
      </c>
      <c r="AW11" s="26">
        <f>$CI$15*Q11</f>
        <v>4.9994999999999994</v>
      </c>
      <c r="AX11" s="26">
        <f>S11*$CJ$15</f>
        <v>4624.0272000000004</v>
      </c>
      <c r="AY11" s="26">
        <f>T11*$CK$15</f>
        <v>-3393.4012000000002</v>
      </c>
      <c r="AZ11" s="26">
        <f>V11*$CL$15</f>
        <v>1285</v>
      </c>
      <c r="BA11" s="26">
        <f>W11*$CM$15</f>
        <v>1083.5999999999999</v>
      </c>
      <c r="BB11" s="26">
        <f>X11*$CN$15</f>
        <v>-2460.5577600000001</v>
      </c>
      <c r="BC11" s="26">
        <f>Y11*$CO$15</f>
        <v>128.88889920000003</v>
      </c>
      <c r="BD11" s="26">
        <f>$CP$15*Z11</f>
        <v>338.63280000000003</v>
      </c>
      <c r="BE11" s="26">
        <f>AA11*$CQ$15</f>
        <v>-735</v>
      </c>
      <c r="BF11" s="26">
        <f>AB11*$CR$15</f>
        <v>101.49342559999999</v>
      </c>
      <c r="BG11" s="26">
        <f>AC11*$CS$15</f>
        <v>204.20439999999999</v>
      </c>
      <c r="BH11" s="26">
        <f>$CT$15*AD11</f>
        <v>292.62279999999998</v>
      </c>
      <c r="BI11" s="26">
        <f>AE11*$CU$15</f>
        <v>257.15785800000003</v>
      </c>
      <c r="BJ11" s="26">
        <f>$CV$15*AF11</f>
        <v>679.9319999999999</v>
      </c>
      <c r="BK11" s="26">
        <f>AG11*$CW$15</f>
        <v>2375.9643600000004</v>
      </c>
      <c r="BL11" s="26">
        <f>AH11*$CX$15</f>
        <v>470.77485000000001</v>
      </c>
      <c r="BM11" s="26">
        <f>AI11*$CY$15</f>
        <v>352.5</v>
      </c>
      <c r="BN11" s="26">
        <f>AJ11*$CZ$15</f>
        <v>54.5</v>
      </c>
      <c r="BO11" s="26">
        <f>AK11*$DA$15</f>
        <v>-1111.1200000000001</v>
      </c>
      <c r="BP11" s="26">
        <f>AL11*$DB$15</f>
        <v>563.27700000000004</v>
      </c>
      <c r="BQ11" s="26">
        <f>SUM(Table9[[#This Row],[SCW]:[SCPF]])</f>
        <v>8539.846618800002</v>
      </c>
      <c r="BY11">
        <v>0.22220000000000001</v>
      </c>
      <c r="BZ11">
        <v>-0.222</v>
      </c>
      <c r="CA11">
        <v>22.222200000000001</v>
      </c>
      <c r="CB11">
        <v>11</v>
      </c>
      <c r="CC11">
        <v>15</v>
      </c>
      <c r="CD11">
        <v>0.44</v>
      </c>
      <c r="CE11">
        <v>-0.44</v>
      </c>
      <c r="CF11">
        <v>1</v>
      </c>
      <c r="CG11">
        <v>1</v>
      </c>
      <c r="CH11">
        <v>0.33329999999999999</v>
      </c>
      <c r="CI11">
        <v>0.33329999999999999</v>
      </c>
      <c r="CJ11">
        <v>0.18889</v>
      </c>
      <c r="CK11">
        <v>-0.16667000000000001</v>
      </c>
      <c r="CL11">
        <v>1</v>
      </c>
      <c r="CM11">
        <v>0.15</v>
      </c>
      <c r="CN11">
        <v>-0.15789</v>
      </c>
      <c r="CO11">
        <v>27.77778</v>
      </c>
      <c r="CP11">
        <v>0.22220000000000001</v>
      </c>
      <c r="CQ11" cm="1">
        <f t="array" ref="CQ11">Table2[CONS.3PA]/Table35[3PASC]</f>
        <v>-0.16666666666666666</v>
      </c>
      <c r="CR11">
        <v>36.666699999999999</v>
      </c>
      <c r="CS11">
        <v>5.2630000000000003E-2</v>
      </c>
      <c r="CT11">
        <v>5.2630000000000003E-2</v>
      </c>
      <c r="CU11">
        <v>36.842100000000002</v>
      </c>
      <c r="CV11">
        <v>0.33329999999999999</v>
      </c>
      <c r="CW11">
        <v>0.28571000000000002</v>
      </c>
      <c r="CX11">
        <v>0.18570999999999999</v>
      </c>
      <c r="CY11">
        <v>0.25</v>
      </c>
      <c r="CZ11">
        <v>0.25</v>
      </c>
      <c r="DA11">
        <v>-0.27778000000000003</v>
      </c>
      <c r="DB11">
        <v>0.1111</v>
      </c>
    </row>
    <row r="12" spans="1:106" x14ac:dyDescent="0.45">
      <c r="A12" s="3">
        <v>9</v>
      </c>
      <c r="B12" s="4" t="s">
        <v>271</v>
      </c>
      <c r="C12" s="3">
        <v>32</v>
      </c>
      <c r="D12" s="3">
        <v>25</v>
      </c>
      <c r="E12" s="3">
        <v>7</v>
      </c>
      <c r="F12" s="3">
        <v>0.78100000000000003</v>
      </c>
      <c r="G12" s="3">
        <v>20.350000000000001</v>
      </c>
      <c r="H12" s="3">
        <v>8.7899999999999991</v>
      </c>
      <c r="I12" s="3"/>
      <c r="J12" s="3">
        <v>15</v>
      </c>
      <c r="K12" s="3">
        <v>5</v>
      </c>
      <c r="L12" s="3"/>
      <c r="M12" s="3">
        <v>14</v>
      </c>
      <c r="N12" s="3">
        <v>1</v>
      </c>
      <c r="O12" s="3"/>
      <c r="P12" s="3">
        <v>8</v>
      </c>
      <c r="Q12" s="3">
        <v>4</v>
      </c>
      <c r="R12" s="3"/>
      <c r="S12" s="3">
        <v>2444</v>
      </c>
      <c r="T12" s="3">
        <v>2074</v>
      </c>
      <c r="U12" s="3"/>
      <c r="V12" s="3">
        <v>1305</v>
      </c>
      <c r="W12" s="3">
        <v>894</v>
      </c>
      <c r="X12" s="3">
        <v>1986</v>
      </c>
      <c r="Y12" s="3">
        <v>0.45</v>
      </c>
      <c r="Z12" s="3">
        <v>220</v>
      </c>
      <c r="AA12" s="3">
        <v>626</v>
      </c>
      <c r="AB12" s="3">
        <v>0.35099999999999998</v>
      </c>
      <c r="AC12" s="3">
        <v>436</v>
      </c>
      <c r="AD12" s="3">
        <v>592</v>
      </c>
      <c r="AE12" s="3">
        <v>0.73599999999999999</v>
      </c>
      <c r="AF12" s="3">
        <v>371</v>
      </c>
      <c r="AG12" s="3">
        <v>1186</v>
      </c>
      <c r="AH12" s="3">
        <v>447</v>
      </c>
      <c r="AI12" s="3">
        <v>225</v>
      </c>
      <c r="AJ12" s="3">
        <v>106</v>
      </c>
      <c r="AK12" s="3">
        <v>293</v>
      </c>
      <c r="AL12" s="3">
        <v>520</v>
      </c>
      <c r="AM12" s="23">
        <f>D12*$BY$15</f>
        <v>55.55</v>
      </c>
      <c r="AN12" s="24">
        <f>$BZ$15*E12</f>
        <v>-15.540000000000001</v>
      </c>
      <c r="AO12" s="24">
        <f>F12*$CA$15</f>
        <v>173.55538200000001</v>
      </c>
      <c r="AP12" s="24">
        <f>G12*$CB$15</f>
        <v>1790.8000000000002</v>
      </c>
      <c r="AQ12" s="24">
        <f>H12*$CC$15</f>
        <v>1186.6499999999999</v>
      </c>
      <c r="AR12" s="24">
        <f>J12*$CD$15</f>
        <v>33</v>
      </c>
      <c r="AS12" s="24">
        <f>K12*$CE$15</f>
        <v>-11</v>
      </c>
      <c r="AT12" s="24">
        <f>M12*$CF$15</f>
        <v>14</v>
      </c>
      <c r="AU12" s="24">
        <f>N12*$CG$15</f>
        <v>1</v>
      </c>
      <c r="AV12" s="24">
        <f>P12*$CH$15</f>
        <v>13.331999999999999</v>
      </c>
      <c r="AW12" s="24">
        <f>$CI$15*Q12</f>
        <v>6.6659999999999995</v>
      </c>
      <c r="AX12" s="24">
        <f>S12*$CJ$15</f>
        <v>4616.4715999999999</v>
      </c>
      <c r="AY12" s="24">
        <f>T12*$CK$15</f>
        <v>-3456.7357999999999</v>
      </c>
      <c r="AZ12" s="24">
        <f>V12*$CL$15</f>
        <v>1305</v>
      </c>
      <c r="BA12" s="24">
        <f>W12*$CM$15</f>
        <v>1072.8</v>
      </c>
      <c r="BB12" s="24">
        <f>X12*$CN$15</f>
        <v>-2508.5563200000001</v>
      </c>
      <c r="BC12" s="24">
        <f>Y12*$CO$15</f>
        <v>125.00001</v>
      </c>
      <c r="BD12" s="24">
        <f>$CP$15*Z12</f>
        <v>293.30400000000003</v>
      </c>
      <c r="BE12" s="24">
        <f>AA12*$CQ$15</f>
        <v>-626</v>
      </c>
      <c r="BF12" s="24">
        <f>AB12*$CR$15</f>
        <v>102.96009359999999</v>
      </c>
      <c r="BG12" s="24">
        <f>AC12*$CS$15</f>
        <v>229.46680000000001</v>
      </c>
      <c r="BH12" s="24">
        <f>$CT$15*AD12</f>
        <v>311.56959999999998</v>
      </c>
      <c r="BI12" s="24">
        <f>AE12*$CU$15</f>
        <v>271.15785600000004</v>
      </c>
      <c r="BJ12" s="24">
        <f>$CV$15*AF12</f>
        <v>618.27149999999995</v>
      </c>
      <c r="BK12" s="24">
        <f>AG12*$CW$15</f>
        <v>2371.9644200000002</v>
      </c>
      <c r="BL12" s="24">
        <f>AH12*$CX$15</f>
        <v>415.06184999999999</v>
      </c>
      <c r="BM12" s="24">
        <f>AI12*$CY$15</f>
        <v>281.25</v>
      </c>
      <c r="BN12" s="24">
        <f>AJ12*$CZ$15</f>
        <v>53</v>
      </c>
      <c r="BO12" s="24">
        <f>AK12*$DA$15</f>
        <v>-813.8954</v>
      </c>
      <c r="BP12" s="24">
        <f>AL12*$DB$15</f>
        <v>577.72</v>
      </c>
      <c r="BQ12" s="24">
        <f>SUM(Table9[[#This Row],[SCW]:[SCPF]])</f>
        <v>8487.8235915999976</v>
      </c>
    </row>
    <row r="13" spans="1:106" x14ac:dyDescent="0.45">
      <c r="A13" s="3">
        <v>14</v>
      </c>
      <c r="B13" s="4" t="s">
        <v>276</v>
      </c>
      <c r="C13" s="3">
        <v>34</v>
      </c>
      <c r="D13" s="3">
        <v>28</v>
      </c>
      <c r="E13" s="3">
        <v>6</v>
      </c>
      <c r="F13" s="3">
        <v>0.82399999999999995</v>
      </c>
      <c r="G13" s="3">
        <v>19.170000000000002</v>
      </c>
      <c r="H13" s="3">
        <v>6.14</v>
      </c>
      <c r="I13" s="3"/>
      <c r="J13" s="3">
        <v>16</v>
      </c>
      <c r="K13" s="3">
        <v>4</v>
      </c>
      <c r="L13" s="3"/>
      <c r="M13" s="3">
        <v>15</v>
      </c>
      <c r="N13" s="3">
        <v>3</v>
      </c>
      <c r="O13" s="3"/>
      <c r="P13" s="3">
        <v>9</v>
      </c>
      <c r="Q13" s="3">
        <v>2</v>
      </c>
      <c r="R13" s="3"/>
      <c r="S13" s="3">
        <v>2726</v>
      </c>
      <c r="T13" s="3">
        <v>2283</v>
      </c>
      <c r="U13" s="3"/>
      <c r="V13" s="3">
        <v>1365</v>
      </c>
      <c r="W13" s="3">
        <v>1009</v>
      </c>
      <c r="X13" s="3">
        <v>2064</v>
      </c>
      <c r="Y13" s="3">
        <v>0.48899999999999999</v>
      </c>
      <c r="Z13" s="3">
        <v>278</v>
      </c>
      <c r="AA13" s="3">
        <v>755</v>
      </c>
      <c r="AB13" s="3">
        <v>0.36799999999999999</v>
      </c>
      <c r="AC13" s="3">
        <v>430</v>
      </c>
      <c r="AD13" s="3">
        <v>590</v>
      </c>
      <c r="AE13" s="3">
        <v>0.72899999999999998</v>
      </c>
      <c r="AF13" s="3">
        <v>363</v>
      </c>
      <c r="AG13" s="3">
        <v>1303</v>
      </c>
      <c r="AH13" s="3">
        <v>575</v>
      </c>
      <c r="AI13" s="3">
        <v>220</v>
      </c>
      <c r="AJ13" s="3">
        <v>188</v>
      </c>
      <c r="AK13" s="3">
        <v>348</v>
      </c>
      <c r="AL13" s="3">
        <v>464</v>
      </c>
      <c r="AM13" s="25">
        <f>D13*$BY$15</f>
        <v>62.216000000000001</v>
      </c>
      <c r="AN13" s="26">
        <f>$BZ$15*E13</f>
        <v>-13.32</v>
      </c>
      <c r="AO13" s="26">
        <f>F13*$CA$15</f>
        <v>183.110928</v>
      </c>
      <c r="AP13" s="26">
        <f>G13*$CB$15</f>
        <v>1686.96</v>
      </c>
      <c r="AQ13" s="26">
        <f>H13*$CC$15</f>
        <v>828.9</v>
      </c>
      <c r="AR13" s="26">
        <f>J13*$CD$15</f>
        <v>35.200000000000003</v>
      </c>
      <c r="AS13" s="26">
        <f>K13*$CE$15</f>
        <v>-8.8000000000000007</v>
      </c>
      <c r="AT13" s="26">
        <f>M13*$CF$15</f>
        <v>15</v>
      </c>
      <c r="AU13" s="26">
        <f>N13*$CG$15</f>
        <v>3</v>
      </c>
      <c r="AV13" s="26">
        <f>P13*$CH$15</f>
        <v>14.998499999999998</v>
      </c>
      <c r="AW13" s="26">
        <f>$CI$15*Q13</f>
        <v>3.3329999999999997</v>
      </c>
      <c r="AX13" s="26">
        <f>S13*$CJ$15</f>
        <v>5149.1414000000004</v>
      </c>
      <c r="AY13" s="26">
        <f>T13*$CK$15</f>
        <v>-3805.0761000000002</v>
      </c>
      <c r="AZ13" s="26">
        <f>V13*$CL$15</f>
        <v>1365</v>
      </c>
      <c r="BA13" s="26">
        <f>W13*$CM$15</f>
        <v>1210.8</v>
      </c>
      <c r="BB13" s="26">
        <f>X13*$CN$15</f>
        <v>-2607.0796799999998</v>
      </c>
      <c r="BC13" s="26">
        <f>Y13*$CO$15</f>
        <v>135.8333442</v>
      </c>
      <c r="BD13" s="26">
        <f>$CP$15*Z13</f>
        <v>370.62960000000004</v>
      </c>
      <c r="BE13" s="26">
        <f>AA13*$CQ$15</f>
        <v>-755</v>
      </c>
      <c r="BF13" s="26">
        <f>AB13*$CR$15</f>
        <v>107.9467648</v>
      </c>
      <c r="BG13" s="26">
        <f>AC13*$CS$15</f>
        <v>226.309</v>
      </c>
      <c r="BH13" s="26">
        <f>$CT$15*AD13</f>
        <v>310.517</v>
      </c>
      <c r="BI13" s="26">
        <f>AE13*$CU$15</f>
        <v>268.57890900000001</v>
      </c>
      <c r="BJ13" s="26">
        <f>$CV$15*AF13</f>
        <v>604.93949999999995</v>
      </c>
      <c r="BK13" s="26">
        <f>AG13*$CW$15</f>
        <v>2605.9609100000002</v>
      </c>
      <c r="BL13" s="26">
        <f>AH13*$CX$15</f>
        <v>533.91624999999999</v>
      </c>
      <c r="BM13" s="26">
        <f>AI13*$CY$15</f>
        <v>275</v>
      </c>
      <c r="BN13" s="26">
        <f>AJ13*$CZ$15</f>
        <v>94</v>
      </c>
      <c r="BO13" s="26">
        <f>AK13*$DA$15</f>
        <v>-966.67439999999999</v>
      </c>
      <c r="BP13" s="26">
        <f>AL13*$DB$15</f>
        <v>515.50400000000002</v>
      </c>
      <c r="BQ13" s="26">
        <f>SUM(Table9[[#This Row],[SCW]:[SCPF]])</f>
        <v>8450.8449260000016</v>
      </c>
    </row>
    <row r="14" spans="1:106" x14ac:dyDescent="0.45">
      <c r="A14" s="3">
        <v>7</v>
      </c>
      <c r="B14" s="4" t="s">
        <v>269</v>
      </c>
      <c r="C14" s="3">
        <v>32</v>
      </c>
      <c r="D14" s="3">
        <v>25</v>
      </c>
      <c r="E14" s="3">
        <v>7</v>
      </c>
      <c r="F14" s="3">
        <v>0.78100000000000003</v>
      </c>
      <c r="G14" s="3">
        <v>20.66</v>
      </c>
      <c r="H14" s="3">
        <v>10.38</v>
      </c>
      <c r="I14" s="3"/>
      <c r="J14" s="3">
        <v>14</v>
      </c>
      <c r="K14" s="3">
        <v>4</v>
      </c>
      <c r="L14" s="3"/>
      <c r="M14" s="3">
        <v>16</v>
      </c>
      <c r="N14" s="3">
        <v>0</v>
      </c>
      <c r="O14" s="3"/>
      <c r="P14" s="3">
        <v>6</v>
      </c>
      <c r="Q14" s="3">
        <v>5</v>
      </c>
      <c r="R14" s="3"/>
      <c r="S14" s="3">
        <v>2350</v>
      </c>
      <c r="T14" s="3">
        <v>2021</v>
      </c>
      <c r="U14" s="3"/>
      <c r="V14" s="3">
        <v>1290</v>
      </c>
      <c r="W14" s="3">
        <v>832</v>
      </c>
      <c r="X14" s="3">
        <v>1929</v>
      </c>
      <c r="Y14" s="3">
        <v>0.43099999999999999</v>
      </c>
      <c r="Z14" s="3">
        <v>277</v>
      </c>
      <c r="AA14" s="3">
        <v>778</v>
      </c>
      <c r="AB14" s="3">
        <v>0.35599999999999998</v>
      </c>
      <c r="AC14" s="3">
        <v>409</v>
      </c>
      <c r="AD14" s="3">
        <v>573</v>
      </c>
      <c r="AE14" s="3">
        <v>0.71399999999999997</v>
      </c>
      <c r="AF14" s="3">
        <v>381</v>
      </c>
      <c r="AG14" s="3">
        <v>1184</v>
      </c>
      <c r="AH14" s="3">
        <v>513</v>
      </c>
      <c r="AI14" s="3">
        <v>298</v>
      </c>
      <c r="AJ14" s="3">
        <v>141</v>
      </c>
      <c r="AK14" s="3">
        <v>397</v>
      </c>
      <c r="AL14" s="3">
        <v>546</v>
      </c>
      <c r="AM14" s="23">
        <f>D14*$BY$15</f>
        <v>55.55</v>
      </c>
      <c r="AN14" s="24">
        <f>$BZ$15*E14</f>
        <v>-15.540000000000001</v>
      </c>
      <c r="AO14" s="24">
        <f>F14*$CA$15</f>
        <v>173.55538200000001</v>
      </c>
      <c r="AP14" s="24">
        <f>G14*$CB$15</f>
        <v>1818.08</v>
      </c>
      <c r="AQ14" s="24">
        <f>H14*$CC$15</f>
        <v>1401.3000000000002</v>
      </c>
      <c r="AR14" s="24">
        <f>J14*$CD$15</f>
        <v>30.800000000000004</v>
      </c>
      <c r="AS14" s="24">
        <f>K14*$CE$15</f>
        <v>-8.8000000000000007</v>
      </c>
      <c r="AT14" s="24">
        <f>M14*$CF$15</f>
        <v>16</v>
      </c>
      <c r="AU14" s="24">
        <f>N14*$CG$15</f>
        <v>0</v>
      </c>
      <c r="AV14" s="24">
        <f>P14*$CH$15</f>
        <v>9.9989999999999988</v>
      </c>
      <c r="AW14" s="24">
        <f>$CI$15*Q14</f>
        <v>8.3324999999999996</v>
      </c>
      <c r="AX14" s="24">
        <f>S14*$CJ$15</f>
        <v>4438.915</v>
      </c>
      <c r="AY14" s="24">
        <f>T14*$CK$15</f>
        <v>-3368.4007000000001</v>
      </c>
      <c r="AZ14" s="24">
        <f>V14*$CL$15</f>
        <v>1290</v>
      </c>
      <c r="BA14" s="24">
        <f>W14*$CM$15</f>
        <v>998.4</v>
      </c>
      <c r="BB14" s="24">
        <f>X14*$CN$15</f>
        <v>-2436.5584800000001</v>
      </c>
      <c r="BC14" s="24">
        <f>Y14*$CO$15</f>
        <v>119.7222318</v>
      </c>
      <c r="BD14" s="24">
        <f>$CP$15*Z14</f>
        <v>369.29640000000006</v>
      </c>
      <c r="BE14" s="24">
        <f>AA14*$CQ$15</f>
        <v>-778</v>
      </c>
      <c r="BF14" s="24">
        <f>AB14*$CR$15</f>
        <v>104.42676159999999</v>
      </c>
      <c r="BG14" s="24">
        <f>AC14*$CS$15</f>
        <v>215.2567</v>
      </c>
      <c r="BH14" s="24">
        <f>$CT$15*AD14</f>
        <v>301.56990000000002</v>
      </c>
      <c r="BI14" s="24">
        <f>AE14*$CU$15</f>
        <v>263.052594</v>
      </c>
      <c r="BJ14" s="24">
        <f>$CV$15*AF14</f>
        <v>634.93649999999991</v>
      </c>
      <c r="BK14" s="24">
        <f>AG14*$CW$15</f>
        <v>2367.9644800000001</v>
      </c>
      <c r="BL14" s="24">
        <f>AH14*$CX$15</f>
        <v>476.34614999999997</v>
      </c>
      <c r="BM14" s="24">
        <f>AI14*$CY$15</f>
        <v>372.5</v>
      </c>
      <c r="BN14" s="24">
        <f>AJ14*$CZ$15</f>
        <v>70.5</v>
      </c>
      <c r="BO14" s="24">
        <f>AK14*$DA$15</f>
        <v>-1102.7865999999999</v>
      </c>
      <c r="BP14" s="24">
        <f>AL14*$DB$15</f>
        <v>606.60599999999999</v>
      </c>
      <c r="BQ14" s="24">
        <f>SUM(Table9[[#This Row],[SCW]:[SCPF]])</f>
        <v>8433.0238193999994</v>
      </c>
      <c r="BY14" t="s">
        <v>226</v>
      </c>
    </row>
    <row r="15" spans="1:106" x14ac:dyDescent="0.45">
      <c r="A15" s="3">
        <v>11</v>
      </c>
      <c r="B15" s="4" t="s">
        <v>273</v>
      </c>
      <c r="C15" s="3">
        <v>34</v>
      </c>
      <c r="D15" s="3">
        <v>25</v>
      </c>
      <c r="E15" s="3">
        <v>9</v>
      </c>
      <c r="F15" s="3">
        <v>0.73499999999999999</v>
      </c>
      <c r="G15" s="3">
        <v>19.93</v>
      </c>
      <c r="H15" s="3">
        <v>8.5500000000000007</v>
      </c>
      <c r="I15" s="3"/>
      <c r="J15" s="3">
        <v>12</v>
      </c>
      <c r="K15" s="3">
        <v>6</v>
      </c>
      <c r="L15" s="3"/>
      <c r="M15" s="3">
        <v>18</v>
      </c>
      <c r="N15" s="3">
        <v>0</v>
      </c>
      <c r="O15" s="3"/>
      <c r="P15" s="3">
        <v>3</v>
      </c>
      <c r="Q15" s="3">
        <v>7</v>
      </c>
      <c r="R15" s="3"/>
      <c r="S15" s="3">
        <v>2438</v>
      </c>
      <c r="T15" s="3">
        <v>2051</v>
      </c>
      <c r="U15" s="3"/>
      <c r="V15" s="3">
        <v>1375</v>
      </c>
      <c r="W15" s="3">
        <v>881</v>
      </c>
      <c r="X15" s="3">
        <v>1876</v>
      </c>
      <c r="Y15" s="3">
        <v>0.47</v>
      </c>
      <c r="Z15" s="3">
        <v>203</v>
      </c>
      <c r="AA15" s="3">
        <v>646</v>
      </c>
      <c r="AB15" s="3">
        <v>0.314</v>
      </c>
      <c r="AC15" s="3">
        <v>473</v>
      </c>
      <c r="AD15" s="3">
        <v>677</v>
      </c>
      <c r="AE15" s="3">
        <v>0.69899999999999995</v>
      </c>
      <c r="AF15" s="3">
        <v>360</v>
      </c>
      <c r="AG15" s="3">
        <v>1240</v>
      </c>
      <c r="AH15" s="3">
        <v>461</v>
      </c>
      <c r="AI15" s="3">
        <v>278</v>
      </c>
      <c r="AJ15" s="3">
        <v>118</v>
      </c>
      <c r="AK15" s="3">
        <v>471</v>
      </c>
      <c r="AL15" s="3">
        <v>550</v>
      </c>
      <c r="AM15" s="23">
        <f>D15*$BY$15</f>
        <v>55.55</v>
      </c>
      <c r="AN15" s="24">
        <f>$BZ$15*E15</f>
        <v>-19.98</v>
      </c>
      <c r="AO15" s="24">
        <f>F15*$CA$15</f>
        <v>163.33317</v>
      </c>
      <c r="AP15" s="24">
        <f>G15*$CB$15</f>
        <v>1753.84</v>
      </c>
      <c r="AQ15" s="24">
        <f>H15*$CC$15</f>
        <v>1154.25</v>
      </c>
      <c r="AR15" s="24">
        <f>J15*$CD$15</f>
        <v>26.400000000000002</v>
      </c>
      <c r="AS15" s="24">
        <f>K15*$CE$15</f>
        <v>-13.200000000000001</v>
      </c>
      <c r="AT15" s="24">
        <f>M15*$CF$15</f>
        <v>18</v>
      </c>
      <c r="AU15" s="24">
        <f>N15*$CG$15</f>
        <v>0</v>
      </c>
      <c r="AV15" s="24">
        <f>P15*$CH$15</f>
        <v>4.9994999999999994</v>
      </c>
      <c r="AW15" s="24">
        <f>$CI$15*Q15</f>
        <v>11.6655</v>
      </c>
      <c r="AX15" s="24">
        <f>S15*$CJ$15</f>
        <v>4605.1382000000003</v>
      </c>
      <c r="AY15" s="24">
        <f>T15*$CK$15</f>
        <v>-3418.4017000000003</v>
      </c>
      <c r="AZ15" s="24">
        <f>V15*$CL$15</f>
        <v>1375</v>
      </c>
      <c r="BA15" s="24">
        <f>W15*$CM$15</f>
        <v>1057.2</v>
      </c>
      <c r="BB15" s="24">
        <f>X15*$CN$15</f>
        <v>-2369.61312</v>
      </c>
      <c r="BC15" s="24">
        <f>Y15*$CO$15</f>
        <v>130.555566</v>
      </c>
      <c r="BD15" s="24">
        <f>$CP$15*Z15</f>
        <v>270.63960000000003</v>
      </c>
      <c r="BE15" s="24">
        <f>AA15*$CQ$15</f>
        <v>-646</v>
      </c>
      <c r="BF15" s="24">
        <f>AB15*$CR$15</f>
        <v>92.106750399999996</v>
      </c>
      <c r="BG15" s="24">
        <f>AC15*$CS$15</f>
        <v>248.93989999999999</v>
      </c>
      <c r="BH15" s="24">
        <f>$CT$15*AD15</f>
        <v>356.30509999999998</v>
      </c>
      <c r="BI15" s="24">
        <f>AE15*$CU$15</f>
        <v>257.52627900000005</v>
      </c>
      <c r="BJ15" s="24">
        <f>$CV$15*AF15</f>
        <v>599.93999999999994</v>
      </c>
      <c r="BK15" s="24">
        <f>AG15*$CW$15</f>
        <v>2479.9628000000002</v>
      </c>
      <c r="BL15" s="24">
        <f>AH15*$CX$15</f>
        <v>428.06155000000001</v>
      </c>
      <c r="BM15" s="24">
        <f>AI15*$CY$15</f>
        <v>347.5</v>
      </c>
      <c r="BN15" s="24">
        <f>AJ15*$CZ$15</f>
        <v>59</v>
      </c>
      <c r="BO15" s="24">
        <f>AK15*$DA$15</f>
        <v>-1308.3438000000001</v>
      </c>
      <c r="BP15" s="24">
        <f>AL15*$DB$15</f>
        <v>611.04999999999995</v>
      </c>
      <c r="BQ15" s="24">
        <f>SUM(Table9[[#This Row],[SCW]:[SCPF]])</f>
        <v>8331.4252954000003</v>
      </c>
      <c r="BY15" cm="1">
        <f t="array" ref="BY15">Table35[WSC]*BY11</f>
        <v>2.222</v>
      </c>
      <c r="BZ15" cm="1">
        <f t="array" ref="BZ15">Table35[LSC]*BZ11</f>
        <v>-2.2200000000000002</v>
      </c>
      <c r="CA15" cm="1">
        <f t="array" ref="CA15">Table35[W-LSC]*CA11</f>
        <v>222.22200000000001</v>
      </c>
      <c r="CB15" cm="1">
        <f t="array" ref="CB15">Table35[SRSSC]*CB11</f>
        <v>88</v>
      </c>
      <c r="CC15" cm="1">
        <f t="array" ref="CC15">Table35[SOSSC]*CC11</f>
        <v>135</v>
      </c>
      <c r="CD15" cm="1">
        <f t="array" ref="CD15">Table35[CONFWSC]*CD11</f>
        <v>2.2000000000000002</v>
      </c>
      <c r="CE15" cm="1">
        <f t="array" ref="CE15">Table35[CONFLSC]*CE11</f>
        <v>-2.2000000000000002</v>
      </c>
      <c r="CF15" cm="1">
        <f t="array" ref="CF15">Table35[HWSC]*CF11</f>
        <v>1</v>
      </c>
      <c r="CG15" cm="1">
        <f t="array" ref="CG15">Table35[HLSC]*CG11</f>
        <v>1</v>
      </c>
      <c r="CH15" cm="1">
        <f t="array" ref="CH15">Table35[AWSC]*CH11</f>
        <v>1.6664999999999999</v>
      </c>
      <c r="CI15" cm="1">
        <f t="array" ref="CI15">Table35[ALSC]*CI11</f>
        <v>1.6664999999999999</v>
      </c>
      <c r="CJ15" cm="1">
        <f t="array" ref="CJ15">Table35[PFSC]*CJ11</f>
        <v>1.8889</v>
      </c>
      <c r="CK15" cm="1">
        <f t="array" ref="CK15">Table35[PASC]*CK11</f>
        <v>-1.6667000000000001</v>
      </c>
      <c r="CL15" cm="1">
        <f t="array" ref="CL15">Table35[MPSC]*CL11</f>
        <v>1</v>
      </c>
      <c r="CM15" cm="1">
        <f t="array" ref="CM15">Table35[FGSC]*CM11</f>
        <v>1.2</v>
      </c>
      <c r="CN15" cm="1">
        <f t="array" ref="CN15">Table35[FGASC]*CN11</f>
        <v>-1.26312</v>
      </c>
      <c r="CO15" cm="1">
        <f t="array" ref="CO15">Table35[FG%SC]*CO11</f>
        <v>277.77780000000001</v>
      </c>
      <c r="CP15" cm="1">
        <f t="array" ref="CP15">Table35[3PSC]*CP11</f>
        <v>1.3332000000000002</v>
      </c>
      <c r="CQ15" cm="1">
        <f t="array" ref="CQ15">Table35[3PASC]*CQ11</f>
        <v>-1</v>
      </c>
      <c r="CR15" cm="1">
        <f t="array" ref="CR15">Table35[3p%SC]*CR11</f>
        <v>293.33359999999999</v>
      </c>
      <c r="CS15" cm="1">
        <f t="array" ref="CS15">Table35[FTSC]*CS11</f>
        <v>0.52629999999999999</v>
      </c>
      <c r="CT15" cm="1">
        <f t="array" ref="CT15">Table35[FTASC]*CT11</f>
        <v>0.52629999999999999</v>
      </c>
      <c r="CU15" cm="1">
        <f t="array" ref="CU15">Table35[FT%SC]*CU11</f>
        <v>368.42100000000005</v>
      </c>
      <c r="CV15" cm="1">
        <f t="array" ref="CV15">Table35[ORBSC]*CV11</f>
        <v>1.6664999999999999</v>
      </c>
      <c r="CW15" cm="1">
        <f t="array" ref="CW15">Table35[TRBSC]*CW11</f>
        <v>1.9999700000000002</v>
      </c>
      <c r="CX15" cm="1">
        <f t="array" ref="CX15">Table35[ASTSC]*CX11</f>
        <v>0.92854999999999999</v>
      </c>
      <c r="CY15" cm="1">
        <f t="array" ref="CY15">Table35[STLSC]*CY11</f>
        <v>1.25</v>
      </c>
      <c r="CZ15" cm="1">
        <f t="array" ref="CZ15">Table35[BLKSC]*CZ11</f>
        <v>0.5</v>
      </c>
      <c r="DA15" cm="1">
        <f t="array" ref="DA15">Table35[TOVSC]*DA11</f>
        <v>-2.7778</v>
      </c>
      <c r="DB15" cm="1">
        <f t="array" ref="DB15">Table35[PFSC2]*DB11</f>
        <v>1.111</v>
      </c>
    </row>
    <row r="16" spans="1:106" x14ac:dyDescent="0.45">
      <c r="A16" s="3">
        <v>13</v>
      </c>
      <c r="B16" s="4" t="s">
        <v>275</v>
      </c>
      <c r="C16" s="3">
        <v>33</v>
      </c>
      <c r="D16" s="3">
        <v>26</v>
      </c>
      <c r="E16" s="3">
        <v>7</v>
      </c>
      <c r="F16" s="3">
        <v>0.78800000000000003</v>
      </c>
      <c r="G16" s="3">
        <v>19.53</v>
      </c>
      <c r="H16" s="3">
        <v>9.99</v>
      </c>
      <c r="I16" s="3"/>
      <c r="J16" s="3">
        <v>16</v>
      </c>
      <c r="K16" s="3">
        <v>4</v>
      </c>
      <c r="L16" s="3"/>
      <c r="M16" s="3">
        <v>12</v>
      </c>
      <c r="N16" s="3">
        <v>1</v>
      </c>
      <c r="O16" s="3"/>
      <c r="P16" s="3">
        <v>8</v>
      </c>
      <c r="Q16" s="3">
        <v>5</v>
      </c>
      <c r="R16" s="3"/>
      <c r="S16" s="3">
        <v>2397</v>
      </c>
      <c r="T16" s="3">
        <v>2082</v>
      </c>
      <c r="U16" s="3"/>
      <c r="V16" s="3">
        <v>1325</v>
      </c>
      <c r="W16" s="3">
        <v>812</v>
      </c>
      <c r="X16" s="3">
        <v>1858</v>
      </c>
      <c r="Y16" s="3">
        <v>0.437</v>
      </c>
      <c r="Z16" s="3">
        <v>307</v>
      </c>
      <c r="AA16" s="3">
        <v>855</v>
      </c>
      <c r="AB16" s="3">
        <v>0.35899999999999999</v>
      </c>
      <c r="AC16" s="3">
        <v>466</v>
      </c>
      <c r="AD16" s="3">
        <v>566</v>
      </c>
      <c r="AE16" s="3">
        <v>0.82299999999999995</v>
      </c>
      <c r="AF16" s="3">
        <v>337</v>
      </c>
      <c r="AG16" s="3">
        <v>1153</v>
      </c>
      <c r="AH16" s="3">
        <v>398</v>
      </c>
      <c r="AI16" s="3">
        <v>206</v>
      </c>
      <c r="AJ16" s="3">
        <v>74</v>
      </c>
      <c r="AK16" s="3">
        <v>330</v>
      </c>
      <c r="AL16" s="3">
        <v>503</v>
      </c>
      <c r="AM16" s="23">
        <f>D16*$BY$15</f>
        <v>57.771999999999998</v>
      </c>
      <c r="AN16" s="24">
        <f>$BZ$15*E16</f>
        <v>-15.540000000000001</v>
      </c>
      <c r="AO16" s="24">
        <f>F16*$CA$15</f>
        <v>175.11093600000001</v>
      </c>
      <c r="AP16" s="24">
        <f>G16*$CB$15</f>
        <v>1718.64</v>
      </c>
      <c r="AQ16" s="24">
        <f>H16*$CC$15</f>
        <v>1348.65</v>
      </c>
      <c r="AR16" s="24">
        <f>J16*$CD$15</f>
        <v>35.200000000000003</v>
      </c>
      <c r="AS16" s="24">
        <f>K16*$CE$15</f>
        <v>-8.8000000000000007</v>
      </c>
      <c r="AT16" s="24">
        <f>M16*$CF$15</f>
        <v>12</v>
      </c>
      <c r="AU16" s="24">
        <f>N16*$CG$15</f>
        <v>1</v>
      </c>
      <c r="AV16" s="24">
        <f>P16*$CH$15</f>
        <v>13.331999999999999</v>
      </c>
      <c r="AW16" s="24">
        <f>$CI$15*Q16</f>
        <v>8.3324999999999996</v>
      </c>
      <c r="AX16" s="24">
        <f>S16*$CJ$15</f>
        <v>4527.6932999999999</v>
      </c>
      <c r="AY16" s="24">
        <f>T16*$CK$15</f>
        <v>-3470.0694000000003</v>
      </c>
      <c r="AZ16" s="24">
        <f>V16*$CL$15</f>
        <v>1325</v>
      </c>
      <c r="BA16" s="24">
        <f>W16*$CM$15</f>
        <v>974.4</v>
      </c>
      <c r="BB16" s="24">
        <f>X16*$CN$15</f>
        <v>-2346.8769600000001</v>
      </c>
      <c r="BC16" s="24">
        <f>Y16*$CO$15</f>
        <v>121.3888986</v>
      </c>
      <c r="BD16" s="24">
        <f>$CP$15*Z16</f>
        <v>409.29240000000004</v>
      </c>
      <c r="BE16" s="24">
        <f>AA16*$CQ$15</f>
        <v>-855</v>
      </c>
      <c r="BF16" s="24">
        <f>AB16*$CR$15</f>
        <v>105.3067624</v>
      </c>
      <c r="BG16" s="24">
        <f>AC16*$CS$15</f>
        <v>245.25579999999999</v>
      </c>
      <c r="BH16" s="24">
        <f>$CT$15*AD16</f>
        <v>297.88580000000002</v>
      </c>
      <c r="BI16" s="24">
        <f>AE16*$CU$15</f>
        <v>303.21048300000001</v>
      </c>
      <c r="BJ16" s="24">
        <f>$CV$15*AF16</f>
        <v>561.6105</v>
      </c>
      <c r="BK16" s="24">
        <f>AG16*$CW$15</f>
        <v>2305.9654100000002</v>
      </c>
      <c r="BL16" s="24">
        <f>AH16*$CX$15</f>
        <v>369.56290000000001</v>
      </c>
      <c r="BM16" s="24">
        <f>AI16*$CY$15</f>
        <v>257.5</v>
      </c>
      <c r="BN16" s="24">
        <f>AJ16*$CZ$15</f>
        <v>37</v>
      </c>
      <c r="BO16" s="24">
        <f>AK16*$DA$15</f>
        <v>-916.67399999999998</v>
      </c>
      <c r="BP16" s="24">
        <f>AL16*$DB$15</f>
        <v>558.83299999999997</v>
      </c>
      <c r="BQ16" s="24">
        <f>SUM(Table9[[#This Row],[SCW]:[SCPF]])</f>
        <v>8156.9823299999989</v>
      </c>
    </row>
    <row r="17" spans="1:69" x14ac:dyDescent="0.45">
      <c r="A17" s="3">
        <v>17</v>
      </c>
      <c r="B17" s="4" t="s">
        <v>279</v>
      </c>
      <c r="C17" s="3">
        <v>32</v>
      </c>
      <c r="D17" s="3">
        <v>23</v>
      </c>
      <c r="E17" s="3">
        <v>9</v>
      </c>
      <c r="F17" s="3">
        <v>0.71899999999999997</v>
      </c>
      <c r="G17" s="3">
        <v>17.28</v>
      </c>
      <c r="H17" s="3">
        <v>7.25</v>
      </c>
      <c r="I17" s="3"/>
      <c r="J17" s="3">
        <v>13</v>
      </c>
      <c r="K17" s="3">
        <v>6</v>
      </c>
      <c r="L17" s="3"/>
      <c r="M17" s="3">
        <v>14</v>
      </c>
      <c r="N17" s="3">
        <v>2</v>
      </c>
      <c r="O17" s="3"/>
      <c r="P17" s="3">
        <v>5</v>
      </c>
      <c r="Q17" s="3">
        <v>5</v>
      </c>
      <c r="R17" s="3"/>
      <c r="S17" s="3">
        <v>2406</v>
      </c>
      <c r="T17" s="3">
        <v>2085</v>
      </c>
      <c r="U17" s="3"/>
      <c r="V17" s="3">
        <v>1305</v>
      </c>
      <c r="W17" s="3">
        <v>858</v>
      </c>
      <c r="X17" s="3">
        <v>1970</v>
      </c>
      <c r="Y17" s="3">
        <v>0.436</v>
      </c>
      <c r="Z17" s="3">
        <v>238</v>
      </c>
      <c r="AA17" s="3">
        <v>674</v>
      </c>
      <c r="AB17" s="3">
        <v>0.35299999999999998</v>
      </c>
      <c r="AC17" s="3">
        <v>452</v>
      </c>
      <c r="AD17" s="3">
        <v>603</v>
      </c>
      <c r="AE17" s="3">
        <v>0.75</v>
      </c>
      <c r="AF17" s="3">
        <v>447</v>
      </c>
      <c r="AG17" s="3">
        <v>1308</v>
      </c>
      <c r="AH17" s="3">
        <v>448</v>
      </c>
      <c r="AI17" s="3">
        <v>191</v>
      </c>
      <c r="AJ17" s="3">
        <v>208</v>
      </c>
      <c r="AK17" s="3">
        <v>380</v>
      </c>
      <c r="AL17" s="3">
        <v>537</v>
      </c>
      <c r="AM17" s="23">
        <f>D17*$BY$15</f>
        <v>51.106000000000002</v>
      </c>
      <c r="AN17" s="24">
        <f>$BZ$15*E17</f>
        <v>-19.98</v>
      </c>
      <c r="AO17" s="24">
        <f>F17*$CA$15</f>
        <v>159.77761799999999</v>
      </c>
      <c r="AP17" s="24">
        <f>G17*$CB$15</f>
        <v>1520.64</v>
      </c>
      <c r="AQ17" s="24">
        <f>H17*$CC$15</f>
        <v>978.75</v>
      </c>
      <c r="AR17" s="24">
        <f>J17*$CD$15</f>
        <v>28.6</v>
      </c>
      <c r="AS17" s="24">
        <f>K17*$CE$15</f>
        <v>-13.200000000000001</v>
      </c>
      <c r="AT17" s="24">
        <f>M17*$CF$15</f>
        <v>14</v>
      </c>
      <c r="AU17" s="24">
        <f>N17*$CG$15</f>
        <v>2</v>
      </c>
      <c r="AV17" s="24">
        <f>P17*$CH$15</f>
        <v>8.3324999999999996</v>
      </c>
      <c r="AW17" s="24">
        <f>$CI$15*Q17</f>
        <v>8.3324999999999996</v>
      </c>
      <c r="AX17" s="24">
        <f>S17*$CJ$15</f>
        <v>4544.6934000000001</v>
      </c>
      <c r="AY17" s="24">
        <f>T17*$CK$15</f>
        <v>-3475.0695000000001</v>
      </c>
      <c r="AZ17" s="24">
        <f>V17*$CL$15</f>
        <v>1305</v>
      </c>
      <c r="BA17" s="24">
        <f>W17*$CM$15</f>
        <v>1029.5999999999999</v>
      </c>
      <c r="BB17" s="24">
        <f>X17*$CN$15</f>
        <v>-2488.3463999999999</v>
      </c>
      <c r="BC17" s="24">
        <f>Y17*$CO$15</f>
        <v>121.11112080000001</v>
      </c>
      <c r="BD17" s="24">
        <f>$CP$15*Z17</f>
        <v>317.30160000000006</v>
      </c>
      <c r="BE17" s="24">
        <f>AA17*$CQ$15</f>
        <v>-674</v>
      </c>
      <c r="BF17" s="24">
        <f>AB17*$CR$15</f>
        <v>103.54676079999999</v>
      </c>
      <c r="BG17" s="24">
        <f>AC17*$CS$15</f>
        <v>237.88759999999999</v>
      </c>
      <c r="BH17" s="24">
        <f>$CT$15*AD17</f>
        <v>317.35890000000001</v>
      </c>
      <c r="BI17" s="24">
        <f>AE17*$CU$15</f>
        <v>276.31575000000004</v>
      </c>
      <c r="BJ17" s="24">
        <f>$CV$15*AF17</f>
        <v>744.92549999999994</v>
      </c>
      <c r="BK17" s="24">
        <f>AG17*$CW$15</f>
        <v>2615.9607600000004</v>
      </c>
      <c r="BL17" s="24">
        <f>AH17*$CX$15</f>
        <v>415.99040000000002</v>
      </c>
      <c r="BM17" s="24">
        <f>AI17*$CY$15</f>
        <v>238.75</v>
      </c>
      <c r="BN17" s="24">
        <f>AJ17*$CZ$15</f>
        <v>104</v>
      </c>
      <c r="BO17" s="24">
        <f>AK17*$DA$15</f>
        <v>-1055.5640000000001</v>
      </c>
      <c r="BP17" s="24">
        <f>AL17*$DB$15</f>
        <v>596.60699999999997</v>
      </c>
      <c r="BQ17" s="24">
        <f>SUM(Table9[[#This Row],[SCW]:[SCPF]])</f>
        <v>8014.4275096000001</v>
      </c>
    </row>
    <row r="18" spans="1:69" x14ac:dyDescent="0.45">
      <c r="A18" s="3">
        <v>15</v>
      </c>
      <c r="B18" s="4" t="s">
        <v>277</v>
      </c>
      <c r="C18" s="3">
        <v>33</v>
      </c>
      <c r="D18" s="3">
        <v>22</v>
      </c>
      <c r="E18" s="3">
        <v>11</v>
      </c>
      <c r="F18" s="3">
        <v>0.66700000000000004</v>
      </c>
      <c r="G18" s="3">
        <v>18.09</v>
      </c>
      <c r="H18" s="3">
        <v>8.52</v>
      </c>
      <c r="I18" s="3"/>
      <c r="J18" s="3">
        <v>9</v>
      </c>
      <c r="K18" s="3">
        <v>9</v>
      </c>
      <c r="L18" s="3"/>
      <c r="M18" s="3">
        <v>15</v>
      </c>
      <c r="N18" s="3">
        <v>2</v>
      </c>
      <c r="O18" s="3"/>
      <c r="P18" s="3">
        <v>3</v>
      </c>
      <c r="Q18" s="3">
        <v>8</v>
      </c>
      <c r="R18" s="3"/>
      <c r="S18" s="3">
        <v>2413</v>
      </c>
      <c r="T18" s="3">
        <v>2097</v>
      </c>
      <c r="U18" s="3"/>
      <c r="V18" s="3">
        <v>1330</v>
      </c>
      <c r="W18" s="3">
        <v>862</v>
      </c>
      <c r="X18" s="3">
        <v>1959</v>
      </c>
      <c r="Y18" s="3">
        <v>0.44</v>
      </c>
      <c r="Z18" s="3">
        <v>216</v>
      </c>
      <c r="AA18" s="3">
        <v>678</v>
      </c>
      <c r="AB18" s="3">
        <v>0.31900000000000001</v>
      </c>
      <c r="AC18" s="3">
        <v>473</v>
      </c>
      <c r="AD18" s="3">
        <v>646</v>
      </c>
      <c r="AE18" s="3">
        <v>0.73199999999999998</v>
      </c>
      <c r="AF18" s="3">
        <v>399</v>
      </c>
      <c r="AG18" s="3">
        <v>1219</v>
      </c>
      <c r="AH18" s="3">
        <v>420</v>
      </c>
      <c r="AI18" s="3">
        <v>366</v>
      </c>
      <c r="AJ18" s="3">
        <v>144</v>
      </c>
      <c r="AK18" s="3">
        <v>480</v>
      </c>
      <c r="AL18" s="3">
        <v>638</v>
      </c>
      <c r="AM18" s="23">
        <f>D18*$BY$15</f>
        <v>48.884</v>
      </c>
      <c r="AN18" s="24">
        <f>$BZ$15*E18</f>
        <v>-24.42</v>
      </c>
      <c r="AO18" s="24">
        <f>F18*$CA$15</f>
        <v>148.22207400000002</v>
      </c>
      <c r="AP18" s="24">
        <f>G18*$CB$15</f>
        <v>1591.92</v>
      </c>
      <c r="AQ18" s="24">
        <f>H18*$CC$15</f>
        <v>1150.2</v>
      </c>
      <c r="AR18" s="24">
        <f>J18*$CD$15</f>
        <v>19.8</v>
      </c>
      <c r="AS18" s="24">
        <f>K18*$CE$15</f>
        <v>-19.8</v>
      </c>
      <c r="AT18" s="24">
        <f>M18*$CF$15</f>
        <v>15</v>
      </c>
      <c r="AU18" s="24">
        <f>N18*$CG$15</f>
        <v>2</v>
      </c>
      <c r="AV18" s="24">
        <f>P18*$CH$15</f>
        <v>4.9994999999999994</v>
      </c>
      <c r="AW18" s="24">
        <f>$CI$15*Q18</f>
        <v>13.331999999999999</v>
      </c>
      <c r="AX18" s="24">
        <f>S18*$CJ$15</f>
        <v>4557.9157000000005</v>
      </c>
      <c r="AY18" s="24">
        <f>T18*$CK$15</f>
        <v>-3495.0699</v>
      </c>
      <c r="AZ18" s="24">
        <f>V18*$CL$15</f>
        <v>1330</v>
      </c>
      <c r="BA18" s="24">
        <f>W18*$CM$15</f>
        <v>1034.3999999999999</v>
      </c>
      <c r="BB18" s="24">
        <f>X18*$CN$15</f>
        <v>-2474.45208</v>
      </c>
      <c r="BC18" s="24">
        <f>Y18*$CO$15</f>
        <v>122.22223200000001</v>
      </c>
      <c r="BD18" s="24">
        <f>$CP$15*Z18</f>
        <v>287.97120000000001</v>
      </c>
      <c r="BE18" s="24">
        <f>AA18*$CQ$15</f>
        <v>-678</v>
      </c>
      <c r="BF18" s="24">
        <f>AB18*$CR$15</f>
        <v>93.573418399999994</v>
      </c>
      <c r="BG18" s="24">
        <f>AC18*$CS$15</f>
        <v>248.93989999999999</v>
      </c>
      <c r="BH18" s="24">
        <f>$CT$15*AD18</f>
        <v>339.9898</v>
      </c>
      <c r="BI18" s="24">
        <f>AE18*$CU$15</f>
        <v>269.68417200000005</v>
      </c>
      <c r="BJ18" s="24">
        <f>$CV$15*AF18</f>
        <v>664.93349999999998</v>
      </c>
      <c r="BK18" s="24">
        <f>AG18*$CW$15</f>
        <v>2437.9634300000002</v>
      </c>
      <c r="BL18" s="24">
        <f>AH18*$CX$15</f>
        <v>389.99099999999999</v>
      </c>
      <c r="BM18" s="24">
        <f>AI18*$CY$15</f>
        <v>457.5</v>
      </c>
      <c r="BN18" s="24">
        <f>AJ18*$CZ$15</f>
        <v>72</v>
      </c>
      <c r="BO18" s="24">
        <f>AK18*$DA$15</f>
        <v>-1333.3440000000001</v>
      </c>
      <c r="BP18" s="24">
        <f>AL18*$DB$15</f>
        <v>708.81799999999998</v>
      </c>
      <c r="BQ18" s="24">
        <f>SUM(Table9[[#This Row],[SCW]:[SCPF]])</f>
        <v>7985.1739464000002</v>
      </c>
    </row>
    <row r="19" spans="1:69" x14ac:dyDescent="0.45">
      <c r="A19" s="3">
        <v>19</v>
      </c>
      <c r="B19" s="4" t="s">
        <v>281</v>
      </c>
      <c r="C19" s="3">
        <v>33</v>
      </c>
      <c r="D19" s="3">
        <v>25</v>
      </c>
      <c r="E19" s="3">
        <v>8</v>
      </c>
      <c r="F19" s="3">
        <v>0.75800000000000001</v>
      </c>
      <c r="G19" s="3">
        <v>16.54</v>
      </c>
      <c r="H19" s="3">
        <v>8.14</v>
      </c>
      <c r="I19" s="3"/>
      <c r="J19" s="3">
        <v>13</v>
      </c>
      <c r="K19" s="3">
        <v>5</v>
      </c>
      <c r="L19" s="3"/>
      <c r="M19" s="3">
        <v>17</v>
      </c>
      <c r="N19" s="3">
        <v>1</v>
      </c>
      <c r="O19" s="3"/>
      <c r="P19" s="3">
        <v>5</v>
      </c>
      <c r="Q19" s="3">
        <v>4</v>
      </c>
      <c r="R19" s="3"/>
      <c r="S19" s="3">
        <v>2539</v>
      </c>
      <c r="T19" s="3">
        <v>2262</v>
      </c>
      <c r="U19" s="3"/>
      <c r="V19" s="3">
        <v>1330</v>
      </c>
      <c r="W19" s="3">
        <v>879</v>
      </c>
      <c r="X19" s="3">
        <v>2000</v>
      </c>
      <c r="Y19" s="3">
        <v>0.44</v>
      </c>
      <c r="Z19" s="3">
        <v>210</v>
      </c>
      <c r="AA19" s="3">
        <v>685</v>
      </c>
      <c r="AB19" s="3">
        <v>0.307</v>
      </c>
      <c r="AC19" s="3">
        <v>571</v>
      </c>
      <c r="AD19" s="3">
        <v>758</v>
      </c>
      <c r="AE19" s="3">
        <v>0.753</v>
      </c>
      <c r="AF19" s="3">
        <v>370</v>
      </c>
      <c r="AG19" s="3">
        <v>1259</v>
      </c>
      <c r="AH19" s="3">
        <v>465</v>
      </c>
      <c r="AI19" s="3">
        <v>255</v>
      </c>
      <c r="AJ19" s="3">
        <v>138</v>
      </c>
      <c r="AK19" s="3">
        <v>416</v>
      </c>
      <c r="AL19" s="3">
        <v>556</v>
      </c>
      <c r="AM19" s="23">
        <f>D19*$BY$15</f>
        <v>55.55</v>
      </c>
      <c r="AN19" s="24">
        <f>$BZ$15*E19</f>
        <v>-17.760000000000002</v>
      </c>
      <c r="AO19" s="24">
        <f>F19*$CA$15</f>
        <v>168.444276</v>
      </c>
      <c r="AP19" s="24">
        <f>G19*$CB$15</f>
        <v>1455.52</v>
      </c>
      <c r="AQ19" s="24">
        <f>H19*$CC$15</f>
        <v>1098.9000000000001</v>
      </c>
      <c r="AR19" s="24">
        <f>J19*$CD$15</f>
        <v>28.6</v>
      </c>
      <c r="AS19" s="24">
        <f>K19*$CE$15</f>
        <v>-11</v>
      </c>
      <c r="AT19" s="24">
        <f>M19*$CF$15</f>
        <v>17</v>
      </c>
      <c r="AU19" s="24">
        <f>N19*$CG$15</f>
        <v>1</v>
      </c>
      <c r="AV19" s="24">
        <f>P19*$CH$15</f>
        <v>8.3324999999999996</v>
      </c>
      <c r="AW19" s="24">
        <f>$CI$15*Q19</f>
        <v>6.6659999999999995</v>
      </c>
      <c r="AX19" s="24">
        <f>S19*$CJ$15</f>
        <v>4795.9170999999997</v>
      </c>
      <c r="AY19" s="24">
        <f>T19*$CK$15</f>
        <v>-3770.0754000000002</v>
      </c>
      <c r="AZ19" s="24">
        <f>V19*$CL$15</f>
        <v>1330</v>
      </c>
      <c r="BA19" s="24">
        <f>W19*$CM$15</f>
        <v>1054.8</v>
      </c>
      <c r="BB19" s="24">
        <f>X19*$CN$15</f>
        <v>-2526.2400000000002</v>
      </c>
      <c r="BC19" s="24">
        <f>Y19*$CO$15</f>
        <v>122.22223200000001</v>
      </c>
      <c r="BD19" s="24">
        <f>$CP$15*Z19</f>
        <v>279.97200000000004</v>
      </c>
      <c r="BE19" s="24">
        <f>AA19*$CQ$15</f>
        <v>-685</v>
      </c>
      <c r="BF19" s="24">
        <f>AB19*$CR$15</f>
        <v>90.053415199999989</v>
      </c>
      <c r="BG19" s="24">
        <f>AC19*$CS$15</f>
        <v>300.51729999999998</v>
      </c>
      <c r="BH19" s="24">
        <f>$CT$15*AD19</f>
        <v>398.93540000000002</v>
      </c>
      <c r="BI19" s="24">
        <f>AE19*$CU$15</f>
        <v>277.42101300000002</v>
      </c>
      <c r="BJ19" s="24">
        <f>$CV$15*AF19</f>
        <v>616.6049999999999</v>
      </c>
      <c r="BK19" s="24">
        <f>AG19*$CW$15</f>
        <v>2517.9622300000001</v>
      </c>
      <c r="BL19" s="24">
        <f>AH19*$CX$15</f>
        <v>431.77575000000002</v>
      </c>
      <c r="BM19" s="24">
        <f>AI19*$CY$15</f>
        <v>318.75</v>
      </c>
      <c r="BN19" s="24">
        <f>AJ19*$CZ$15</f>
        <v>69</v>
      </c>
      <c r="BO19" s="24">
        <f>AK19*$DA$15</f>
        <v>-1155.5648000000001</v>
      </c>
      <c r="BP19" s="24">
        <f>AL19*$DB$15</f>
        <v>617.71600000000001</v>
      </c>
      <c r="BQ19" s="24">
        <f>SUM(Table9[[#This Row],[SCW]:[SCPF]])</f>
        <v>7896.0200162000001</v>
      </c>
    </row>
    <row r="20" spans="1:69" x14ac:dyDescent="0.45">
      <c r="A20" s="3">
        <v>16</v>
      </c>
      <c r="B20" s="4" t="s">
        <v>278</v>
      </c>
      <c r="C20" s="3">
        <v>31</v>
      </c>
      <c r="D20" s="3">
        <v>22</v>
      </c>
      <c r="E20" s="3">
        <v>9</v>
      </c>
      <c r="F20" s="3">
        <v>0.71</v>
      </c>
      <c r="G20" s="3">
        <v>17.78</v>
      </c>
      <c r="H20" s="3">
        <v>9.65</v>
      </c>
      <c r="I20" s="3"/>
      <c r="J20" s="3">
        <v>15</v>
      </c>
      <c r="K20" s="3">
        <v>5</v>
      </c>
      <c r="L20" s="3"/>
      <c r="M20" s="3">
        <v>13</v>
      </c>
      <c r="N20" s="3">
        <v>3</v>
      </c>
      <c r="O20" s="3"/>
      <c r="P20" s="3">
        <v>7</v>
      </c>
      <c r="Q20" s="3">
        <v>4</v>
      </c>
      <c r="R20" s="3"/>
      <c r="S20" s="3">
        <v>2349</v>
      </c>
      <c r="T20" s="3">
        <v>2097</v>
      </c>
      <c r="U20" s="3"/>
      <c r="V20" s="3">
        <v>1250</v>
      </c>
      <c r="W20" s="3">
        <v>827</v>
      </c>
      <c r="X20" s="3">
        <v>1826</v>
      </c>
      <c r="Y20" s="3">
        <v>0.45300000000000001</v>
      </c>
      <c r="Z20" s="3">
        <v>286</v>
      </c>
      <c r="AA20" s="3">
        <v>779</v>
      </c>
      <c r="AB20" s="3">
        <v>0.36699999999999999</v>
      </c>
      <c r="AC20" s="3">
        <v>409</v>
      </c>
      <c r="AD20" s="3">
        <v>578</v>
      </c>
      <c r="AE20" s="3">
        <v>0.70799999999999996</v>
      </c>
      <c r="AF20" s="3">
        <v>359</v>
      </c>
      <c r="AG20" s="3">
        <v>1197</v>
      </c>
      <c r="AH20" s="3">
        <v>477</v>
      </c>
      <c r="AI20" s="3">
        <v>160</v>
      </c>
      <c r="AJ20" s="3">
        <v>93</v>
      </c>
      <c r="AK20" s="3">
        <v>377</v>
      </c>
      <c r="AL20" s="3">
        <v>507</v>
      </c>
      <c r="AM20" s="25">
        <f>D20*$BY$15</f>
        <v>48.884</v>
      </c>
      <c r="AN20" s="26">
        <f>$BZ$15*E20</f>
        <v>-19.98</v>
      </c>
      <c r="AO20" s="26">
        <f>F20*$CA$15</f>
        <v>157.77761999999998</v>
      </c>
      <c r="AP20" s="26">
        <f>G20*$CB$15</f>
        <v>1564.64</v>
      </c>
      <c r="AQ20" s="26">
        <f>H20*$CC$15</f>
        <v>1302.75</v>
      </c>
      <c r="AR20" s="26">
        <f>J20*$CD$15</f>
        <v>33</v>
      </c>
      <c r="AS20" s="26">
        <f>K20*$CE$15</f>
        <v>-11</v>
      </c>
      <c r="AT20" s="26">
        <f>M20*$CF$15</f>
        <v>13</v>
      </c>
      <c r="AU20" s="26">
        <f>N20*$CG$15</f>
        <v>3</v>
      </c>
      <c r="AV20" s="26">
        <f>P20*$CH$15</f>
        <v>11.6655</v>
      </c>
      <c r="AW20" s="26">
        <f>$CI$15*Q20</f>
        <v>6.6659999999999995</v>
      </c>
      <c r="AX20" s="26">
        <f>S20*$CJ$15</f>
        <v>4437.0261</v>
      </c>
      <c r="AY20" s="26">
        <f>T20*$CK$15</f>
        <v>-3495.0699</v>
      </c>
      <c r="AZ20" s="26">
        <f>V20*$CL$15</f>
        <v>1250</v>
      </c>
      <c r="BA20" s="26">
        <f>W20*$CM$15</f>
        <v>992.4</v>
      </c>
      <c r="BB20" s="26">
        <f>X20*$CN$15</f>
        <v>-2306.45712</v>
      </c>
      <c r="BC20" s="26">
        <f>Y20*$CO$15</f>
        <v>125.8333434</v>
      </c>
      <c r="BD20" s="26">
        <f>$CP$15*Z20</f>
        <v>381.29520000000002</v>
      </c>
      <c r="BE20" s="26">
        <f>AA20*$CQ$15</f>
        <v>-779</v>
      </c>
      <c r="BF20" s="26">
        <f>AB20*$CR$15</f>
        <v>107.6534312</v>
      </c>
      <c r="BG20" s="26">
        <f>AC20*$CS$15</f>
        <v>215.2567</v>
      </c>
      <c r="BH20" s="26">
        <f>$CT$15*AD20</f>
        <v>304.20139999999998</v>
      </c>
      <c r="BI20" s="26">
        <f>AE20*$CU$15</f>
        <v>260.84206800000004</v>
      </c>
      <c r="BJ20" s="26">
        <f>$CV$15*AF20</f>
        <v>598.2734999999999</v>
      </c>
      <c r="BK20" s="26">
        <f>AG20*$CW$15</f>
        <v>2393.9640900000004</v>
      </c>
      <c r="BL20" s="26">
        <f>AH20*$CX$15</f>
        <v>442.91834999999998</v>
      </c>
      <c r="BM20" s="26">
        <f>AI20*$CY$15</f>
        <v>200</v>
      </c>
      <c r="BN20" s="26">
        <f>AJ20*$CZ$15</f>
        <v>46.5</v>
      </c>
      <c r="BO20" s="26">
        <f>AK20*$DA$15</f>
        <v>-1047.2306000000001</v>
      </c>
      <c r="BP20" s="26">
        <f>AL20*$DB$15</f>
        <v>563.27700000000004</v>
      </c>
      <c r="BQ20" s="26">
        <f>SUM(Table9[[#This Row],[SCW]:[SCPF]])</f>
        <v>7802.0866825999992</v>
      </c>
    </row>
    <row r="21" spans="1:69" x14ac:dyDescent="0.45">
      <c r="A21" s="3">
        <v>20</v>
      </c>
      <c r="B21" s="4" t="s">
        <v>282</v>
      </c>
      <c r="C21" s="3">
        <v>32</v>
      </c>
      <c r="D21" s="3">
        <v>19</v>
      </c>
      <c r="E21" s="3">
        <v>13</v>
      </c>
      <c r="F21" s="3">
        <v>0.59399999999999997</v>
      </c>
      <c r="G21" s="3">
        <v>15.53</v>
      </c>
      <c r="H21" s="3">
        <v>11.97</v>
      </c>
      <c r="I21" s="3"/>
      <c r="J21" s="3">
        <v>9</v>
      </c>
      <c r="K21" s="3">
        <v>9</v>
      </c>
      <c r="L21" s="3"/>
      <c r="M21" s="3">
        <v>13</v>
      </c>
      <c r="N21" s="3">
        <v>3</v>
      </c>
      <c r="O21" s="3"/>
      <c r="P21" s="3">
        <v>3</v>
      </c>
      <c r="Q21" s="3">
        <v>7</v>
      </c>
      <c r="R21" s="3"/>
      <c r="S21" s="3">
        <v>2559</v>
      </c>
      <c r="T21" s="3">
        <v>2445</v>
      </c>
      <c r="U21" s="3"/>
      <c r="V21" s="3">
        <v>1285</v>
      </c>
      <c r="W21" s="3">
        <v>885</v>
      </c>
      <c r="X21" s="3">
        <v>2008</v>
      </c>
      <c r="Y21" s="3">
        <v>0.441</v>
      </c>
      <c r="Z21" s="3">
        <v>297</v>
      </c>
      <c r="AA21" s="3">
        <v>963</v>
      </c>
      <c r="AB21" s="3">
        <v>0.308</v>
      </c>
      <c r="AC21" s="3">
        <v>492</v>
      </c>
      <c r="AD21" s="3">
        <v>674</v>
      </c>
      <c r="AE21" s="3">
        <v>0.73</v>
      </c>
      <c r="AF21" s="3">
        <v>433</v>
      </c>
      <c r="AG21" s="3">
        <v>1278</v>
      </c>
      <c r="AH21" s="3">
        <v>468</v>
      </c>
      <c r="AI21" s="3">
        <v>224</v>
      </c>
      <c r="AJ21" s="3">
        <v>151</v>
      </c>
      <c r="AK21" s="3">
        <v>466</v>
      </c>
      <c r="AL21" s="3">
        <v>595</v>
      </c>
      <c r="AM21" s="25">
        <f>D21*$BY$15</f>
        <v>42.217999999999996</v>
      </c>
      <c r="AN21" s="26">
        <f>$BZ$15*E21</f>
        <v>-28.860000000000003</v>
      </c>
      <c r="AO21" s="26">
        <f>F21*$CA$15</f>
        <v>131.99986799999999</v>
      </c>
      <c r="AP21" s="26">
        <f>G21*$CB$15</f>
        <v>1366.6399999999999</v>
      </c>
      <c r="AQ21" s="26">
        <f>H21*$CC$15</f>
        <v>1615.95</v>
      </c>
      <c r="AR21" s="26">
        <f>J21*$CD$15</f>
        <v>19.8</v>
      </c>
      <c r="AS21" s="26">
        <f>K21*$CE$15</f>
        <v>-19.8</v>
      </c>
      <c r="AT21" s="26">
        <f>M21*$CF$15</f>
        <v>13</v>
      </c>
      <c r="AU21" s="26">
        <f>N21*$CG$15</f>
        <v>3</v>
      </c>
      <c r="AV21" s="26">
        <f>P21*$CH$15</f>
        <v>4.9994999999999994</v>
      </c>
      <c r="AW21" s="26">
        <f>$CI$15*Q21</f>
        <v>11.6655</v>
      </c>
      <c r="AX21" s="26">
        <f>S21*$CJ$15</f>
        <v>4833.6950999999999</v>
      </c>
      <c r="AY21" s="26">
        <f>T21*$CK$15</f>
        <v>-4075.0815000000002</v>
      </c>
      <c r="AZ21" s="26">
        <f>V21*$CL$15</f>
        <v>1285</v>
      </c>
      <c r="BA21" s="26">
        <f>W21*$CM$15</f>
        <v>1062</v>
      </c>
      <c r="BB21" s="26">
        <f>X21*$CN$15</f>
        <v>-2536.3449599999999</v>
      </c>
      <c r="BC21" s="26">
        <f>Y21*$CO$15</f>
        <v>122.5000098</v>
      </c>
      <c r="BD21" s="26">
        <f>$CP$15*Z21</f>
        <v>395.96040000000005</v>
      </c>
      <c r="BE21" s="26">
        <f>AA21*$CQ$15</f>
        <v>-963</v>
      </c>
      <c r="BF21" s="26">
        <f>AB21*$CR$15</f>
        <v>90.3467488</v>
      </c>
      <c r="BG21" s="26">
        <f>AC21*$CS$15</f>
        <v>258.93959999999998</v>
      </c>
      <c r="BH21" s="26">
        <f>$CT$15*AD21</f>
        <v>354.72620000000001</v>
      </c>
      <c r="BI21" s="26">
        <f>AE21*$CU$15</f>
        <v>268.94733000000002</v>
      </c>
      <c r="BJ21" s="26">
        <f>$CV$15*AF21</f>
        <v>721.59449999999993</v>
      </c>
      <c r="BK21" s="26">
        <f>AG21*$CW$15</f>
        <v>2555.9616600000004</v>
      </c>
      <c r="BL21" s="26">
        <f>AH21*$CX$15</f>
        <v>434.56139999999999</v>
      </c>
      <c r="BM21" s="26">
        <f>AI21*$CY$15</f>
        <v>280</v>
      </c>
      <c r="BN21" s="26">
        <f>AJ21*$CZ$15</f>
        <v>75.5</v>
      </c>
      <c r="BO21" s="26">
        <f>AK21*$DA$15</f>
        <v>-1294.4548</v>
      </c>
      <c r="BP21" s="26">
        <f>AL21*$DB$15</f>
        <v>661.04499999999996</v>
      </c>
      <c r="BQ21" s="26">
        <f>SUM(Table9[[#This Row],[SCW]:[SCPF]])</f>
        <v>7692.5095566</v>
      </c>
    </row>
    <row r="22" spans="1:69" x14ac:dyDescent="0.45">
      <c r="A22" s="3">
        <v>33</v>
      </c>
      <c r="B22" s="4" t="s">
        <v>294</v>
      </c>
      <c r="C22" s="3">
        <v>34</v>
      </c>
      <c r="D22" s="3">
        <v>22</v>
      </c>
      <c r="E22" s="3">
        <v>12</v>
      </c>
      <c r="F22" s="3">
        <v>0.64700000000000002</v>
      </c>
      <c r="G22" s="3">
        <v>13.78</v>
      </c>
      <c r="H22" s="3">
        <v>10.14</v>
      </c>
      <c r="I22" s="3"/>
      <c r="J22" s="3">
        <v>11</v>
      </c>
      <c r="K22" s="3">
        <v>9</v>
      </c>
      <c r="L22" s="3"/>
      <c r="M22" s="3">
        <v>12</v>
      </c>
      <c r="N22" s="3">
        <v>3</v>
      </c>
      <c r="O22" s="3"/>
      <c r="P22" s="3">
        <v>5</v>
      </c>
      <c r="Q22" s="3">
        <v>6</v>
      </c>
      <c r="R22" s="3"/>
      <c r="S22" s="3">
        <v>2451</v>
      </c>
      <c r="T22" s="3">
        <v>2327</v>
      </c>
      <c r="U22" s="3"/>
      <c r="V22" s="3">
        <v>1360</v>
      </c>
      <c r="W22" s="3">
        <v>884</v>
      </c>
      <c r="X22" s="3">
        <v>1935</v>
      </c>
      <c r="Y22" s="3">
        <v>0.45700000000000002</v>
      </c>
      <c r="Z22" s="3">
        <v>244</v>
      </c>
      <c r="AA22" s="3">
        <v>646</v>
      </c>
      <c r="AB22" s="3">
        <v>0.378</v>
      </c>
      <c r="AC22" s="3">
        <v>439</v>
      </c>
      <c r="AD22" s="3">
        <v>588</v>
      </c>
      <c r="AE22" s="3">
        <v>0.747</v>
      </c>
      <c r="AF22" s="3">
        <v>341</v>
      </c>
      <c r="AG22" s="3">
        <v>1263</v>
      </c>
      <c r="AH22" s="3">
        <v>537</v>
      </c>
      <c r="AI22" s="3">
        <v>198</v>
      </c>
      <c r="AJ22" s="3">
        <v>172</v>
      </c>
      <c r="AK22" s="3">
        <v>445</v>
      </c>
      <c r="AL22" s="3">
        <v>576</v>
      </c>
      <c r="AM22" s="23">
        <f>D22*$BY$15</f>
        <v>48.884</v>
      </c>
      <c r="AN22" s="24">
        <f>$BZ$15*E22</f>
        <v>-26.64</v>
      </c>
      <c r="AO22" s="24">
        <f>F22*$CA$15</f>
        <v>143.77763400000001</v>
      </c>
      <c r="AP22" s="24">
        <f>G22*$CB$15</f>
        <v>1212.6399999999999</v>
      </c>
      <c r="AQ22" s="24">
        <f>H22*$CC$15</f>
        <v>1368.9</v>
      </c>
      <c r="AR22" s="24">
        <f>J22*$CD$15</f>
        <v>24.200000000000003</v>
      </c>
      <c r="AS22" s="24">
        <f>K22*$CE$15</f>
        <v>-19.8</v>
      </c>
      <c r="AT22" s="24">
        <f>M22*$CF$15</f>
        <v>12</v>
      </c>
      <c r="AU22" s="24">
        <f>N22*$CG$15</f>
        <v>3</v>
      </c>
      <c r="AV22" s="24">
        <f>P22*$CH$15</f>
        <v>8.3324999999999996</v>
      </c>
      <c r="AW22" s="24">
        <f>$CI$15*Q22</f>
        <v>9.9989999999999988</v>
      </c>
      <c r="AX22" s="24">
        <f>S22*$CJ$15</f>
        <v>4629.6939000000002</v>
      </c>
      <c r="AY22" s="24">
        <f>T22*$CK$15</f>
        <v>-3878.4109000000003</v>
      </c>
      <c r="AZ22" s="24">
        <f>V22*$CL$15</f>
        <v>1360</v>
      </c>
      <c r="BA22" s="24">
        <f>W22*$CM$15</f>
        <v>1060.8</v>
      </c>
      <c r="BB22" s="24">
        <f>X22*$CN$15</f>
        <v>-2444.1372000000001</v>
      </c>
      <c r="BC22" s="24">
        <f>Y22*$CO$15</f>
        <v>126.94445460000001</v>
      </c>
      <c r="BD22" s="24">
        <f>$CP$15*Z22</f>
        <v>325.30080000000004</v>
      </c>
      <c r="BE22" s="24">
        <f>AA22*$CQ$15</f>
        <v>-646</v>
      </c>
      <c r="BF22" s="24">
        <f>AB22*$CR$15</f>
        <v>110.88010079999999</v>
      </c>
      <c r="BG22" s="24">
        <f>AC22*$CS$15</f>
        <v>231.04569999999998</v>
      </c>
      <c r="BH22" s="24">
        <f>$CT$15*AD22</f>
        <v>309.46440000000001</v>
      </c>
      <c r="BI22" s="24">
        <f>AE22*$CU$15</f>
        <v>275.21048700000006</v>
      </c>
      <c r="BJ22" s="24">
        <f>$CV$15*AF22</f>
        <v>568.27649999999994</v>
      </c>
      <c r="BK22" s="24">
        <f>AG22*$CW$15</f>
        <v>2525.9621100000004</v>
      </c>
      <c r="BL22" s="24">
        <f>AH22*$CX$15</f>
        <v>498.63135</v>
      </c>
      <c r="BM22" s="24">
        <f>AI22*$CY$15</f>
        <v>247.5</v>
      </c>
      <c r="BN22" s="24">
        <f>AJ22*$CZ$15</f>
        <v>86</v>
      </c>
      <c r="BO22" s="24">
        <f>AK22*$DA$15</f>
        <v>-1236.1210000000001</v>
      </c>
      <c r="BP22" s="24">
        <f>AL22*$DB$15</f>
        <v>639.93600000000004</v>
      </c>
      <c r="BQ22" s="24">
        <f>SUM(Table9[[#This Row],[SCW]:[SCPF]])</f>
        <v>7576.2698363999989</v>
      </c>
    </row>
    <row r="23" spans="1:69" x14ac:dyDescent="0.45">
      <c r="A23" s="3">
        <v>18</v>
      </c>
      <c r="B23" s="4" t="s">
        <v>280</v>
      </c>
      <c r="C23" s="3">
        <v>32</v>
      </c>
      <c r="D23" s="3">
        <v>21</v>
      </c>
      <c r="E23" s="3">
        <v>11</v>
      </c>
      <c r="F23" s="3">
        <v>0.65600000000000003</v>
      </c>
      <c r="G23" s="3">
        <v>17.2</v>
      </c>
      <c r="H23" s="3">
        <v>8.48</v>
      </c>
      <c r="I23" s="3"/>
      <c r="J23" s="3">
        <v>10</v>
      </c>
      <c r="K23" s="3">
        <v>8</v>
      </c>
      <c r="L23" s="3"/>
      <c r="M23" s="3">
        <v>16</v>
      </c>
      <c r="N23" s="3">
        <v>3</v>
      </c>
      <c r="O23" s="3"/>
      <c r="P23" s="3">
        <v>4</v>
      </c>
      <c r="Q23" s="3">
        <v>7</v>
      </c>
      <c r="R23" s="3"/>
      <c r="S23" s="3">
        <v>2187</v>
      </c>
      <c r="T23" s="3">
        <v>1908</v>
      </c>
      <c r="U23" s="3"/>
      <c r="V23" s="3">
        <v>1290</v>
      </c>
      <c r="W23" s="3">
        <v>778</v>
      </c>
      <c r="X23" s="3">
        <v>1761</v>
      </c>
      <c r="Y23" s="3">
        <v>0.442</v>
      </c>
      <c r="Z23" s="3">
        <v>205</v>
      </c>
      <c r="AA23" s="3">
        <v>634</v>
      </c>
      <c r="AB23" s="3">
        <v>0.32300000000000001</v>
      </c>
      <c r="AC23" s="3">
        <v>426</v>
      </c>
      <c r="AD23" s="3">
        <v>569</v>
      </c>
      <c r="AE23" s="3">
        <v>0.749</v>
      </c>
      <c r="AF23" s="3">
        <v>333</v>
      </c>
      <c r="AG23" s="3">
        <v>1074</v>
      </c>
      <c r="AH23" s="3">
        <v>417</v>
      </c>
      <c r="AI23" s="3">
        <v>247</v>
      </c>
      <c r="AJ23" s="3">
        <v>109</v>
      </c>
      <c r="AK23" s="3">
        <v>377</v>
      </c>
      <c r="AL23" s="3">
        <v>557</v>
      </c>
      <c r="AM23" s="25">
        <f>D23*$BY$15</f>
        <v>46.661999999999999</v>
      </c>
      <c r="AN23" s="26">
        <f>$BZ$15*E23</f>
        <v>-24.42</v>
      </c>
      <c r="AO23" s="26">
        <f>F23*$CA$15</f>
        <v>145.77763200000001</v>
      </c>
      <c r="AP23" s="26">
        <f>G23*$CB$15</f>
        <v>1513.6</v>
      </c>
      <c r="AQ23" s="26">
        <f>H23*$CC$15</f>
        <v>1144.8</v>
      </c>
      <c r="AR23" s="26">
        <f>J23*$CD$15</f>
        <v>22</v>
      </c>
      <c r="AS23" s="26">
        <f>K23*$CE$15</f>
        <v>-17.600000000000001</v>
      </c>
      <c r="AT23" s="26">
        <f>M23*$CF$15</f>
        <v>16</v>
      </c>
      <c r="AU23" s="26">
        <f>N23*$CG$15</f>
        <v>3</v>
      </c>
      <c r="AV23" s="26">
        <f>P23*$CH$15</f>
        <v>6.6659999999999995</v>
      </c>
      <c r="AW23" s="26">
        <f>$CI$15*Q23</f>
        <v>11.6655</v>
      </c>
      <c r="AX23" s="26">
        <f>S23*$CJ$15</f>
        <v>4131.0243</v>
      </c>
      <c r="AY23" s="26">
        <f>T23*$CK$15</f>
        <v>-3180.0636</v>
      </c>
      <c r="AZ23" s="26">
        <f>V23*$CL$15</f>
        <v>1290</v>
      </c>
      <c r="BA23" s="26">
        <f>W23*$CM$15</f>
        <v>933.59999999999991</v>
      </c>
      <c r="BB23" s="26">
        <f>X23*$CN$15</f>
        <v>-2224.3543199999999</v>
      </c>
      <c r="BC23" s="26">
        <f>Y23*$CO$15</f>
        <v>122.77778760000001</v>
      </c>
      <c r="BD23" s="26">
        <f>$CP$15*Z23</f>
        <v>273.30600000000004</v>
      </c>
      <c r="BE23" s="26">
        <f>AA23*$CQ$15</f>
        <v>-634</v>
      </c>
      <c r="BF23" s="26">
        <f>AB23*$CR$15</f>
        <v>94.746752799999996</v>
      </c>
      <c r="BG23" s="26">
        <f>AC23*$CS$15</f>
        <v>224.2038</v>
      </c>
      <c r="BH23" s="26">
        <f>$CT$15*AD23</f>
        <v>299.46469999999999</v>
      </c>
      <c r="BI23" s="26">
        <f>AE23*$CU$15</f>
        <v>275.94732900000002</v>
      </c>
      <c r="BJ23" s="26">
        <f>$CV$15*AF23</f>
        <v>554.94449999999995</v>
      </c>
      <c r="BK23" s="26">
        <f>AG23*$CW$15</f>
        <v>2147.9677800000004</v>
      </c>
      <c r="BL23" s="26">
        <f>AH23*$CX$15</f>
        <v>387.20535000000001</v>
      </c>
      <c r="BM23" s="26">
        <f>AI23*$CY$15</f>
        <v>308.75</v>
      </c>
      <c r="BN23" s="26">
        <f>AJ23*$CZ$15</f>
        <v>54.5</v>
      </c>
      <c r="BO23" s="26">
        <f>AK23*$DA$15</f>
        <v>-1047.2306000000001</v>
      </c>
      <c r="BP23" s="26">
        <f>AL23*$DB$15</f>
        <v>618.827</v>
      </c>
      <c r="BQ23" s="26">
        <f>SUM(Table9[[#This Row],[SCW]:[SCPF]])</f>
        <v>7499.7679114000002</v>
      </c>
    </row>
    <row r="24" spans="1:69" x14ac:dyDescent="0.45">
      <c r="A24" s="3">
        <v>42</v>
      </c>
      <c r="B24" s="4" t="s">
        <v>302</v>
      </c>
      <c r="C24" s="3">
        <v>34</v>
      </c>
      <c r="D24" s="3">
        <v>23</v>
      </c>
      <c r="E24" s="3">
        <v>11</v>
      </c>
      <c r="F24" s="3">
        <v>0.67600000000000005</v>
      </c>
      <c r="G24" s="3">
        <v>12.61</v>
      </c>
      <c r="H24" s="3">
        <v>7.36</v>
      </c>
      <c r="I24" s="3"/>
      <c r="J24" s="3">
        <v>9</v>
      </c>
      <c r="K24" s="3">
        <v>9</v>
      </c>
      <c r="L24" s="3"/>
      <c r="M24" s="3">
        <v>13</v>
      </c>
      <c r="N24" s="3">
        <v>4</v>
      </c>
      <c r="O24" s="3"/>
      <c r="P24" s="3">
        <v>5</v>
      </c>
      <c r="Q24" s="3">
        <v>5</v>
      </c>
      <c r="R24" s="3"/>
      <c r="S24" s="3">
        <v>2498</v>
      </c>
      <c r="T24" s="3">
        <v>2275</v>
      </c>
      <c r="U24" s="3"/>
      <c r="V24" s="3">
        <v>1380</v>
      </c>
      <c r="W24" s="3">
        <v>889</v>
      </c>
      <c r="X24" s="3">
        <v>1993</v>
      </c>
      <c r="Y24" s="3">
        <v>0.44600000000000001</v>
      </c>
      <c r="Z24" s="3">
        <v>236</v>
      </c>
      <c r="AA24" s="3">
        <v>695</v>
      </c>
      <c r="AB24" s="3">
        <v>0.34</v>
      </c>
      <c r="AC24" s="3">
        <v>484</v>
      </c>
      <c r="AD24" s="3">
        <v>697</v>
      </c>
      <c r="AE24" s="3">
        <v>0.69399999999999995</v>
      </c>
      <c r="AF24" s="3">
        <v>413</v>
      </c>
      <c r="AG24" s="3">
        <v>1200</v>
      </c>
      <c r="AH24" s="3">
        <v>478</v>
      </c>
      <c r="AI24" s="3">
        <v>350</v>
      </c>
      <c r="AJ24" s="3">
        <v>121</v>
      </c>
      <c r="AK24" s="3">
        <v>456</v>
      </c>
      <c r="AL24" s="3">
        <v>610</v>
      </c>
      <c r="AM24" s="25">
        <f>D24*$BY$15</f>
        <v>51.106000000000002</v>
      </c>
      <c r="AN24" s="26">
        <f>$BZ$15*E24</f>
        <v>-24.42</v>
      </c>
      <c r="AO24" s="26">
        <f>F24*$CA$15</f>
        <v>150.22207200000003</v>
      </c>
      <c r="AP24" s="26">
        <f>G24*$CB$15</f>
        <v>1109.6799999999998</v>
      </c>
      <c r="AQ24" s="26">
        <f>H24*$CC$15</f>
        <v>993.6</v>
      </c>
      <c r="AR24" s="26">
        <f>J24*$CD$15</f>
        <v>19.8</v>
      </c>
      <c r="AS24" s="26">
        <f>K24*$CE$15</f>
        <v>-19.8</v>
      </c>
      <c r="AT24" s="26">
        <f>M24*$CF$15</f>
        <v>13</v>
      </c>
      <c r="AU24" s="26">
        <f>N24*$CG$15</f>
        <v>4</v>
      </c>
      <c r="AV24" s="26">
        <f>P24*$CH$15</f>
        <v>8.3324999999999996</v>
      </c>
      <c r="AW24" s="26">
        <f>$CI$15*Q24</f>
        <v>8.3324999999999996</v>
      </c>
      <c r="AX24" s="26">
        <f>S24*$CJ$15</f>
        <v>4718.4722000000002</v>
      </c>
      <c r="AY24" s="26">
        <f>T24*$CK$15</f>
        <v>-3791.7425000000003</v>
      </c>
      <c r="AZ24" s="26">
        <f>V24*$CL$15</f>
        <v>1380</v>
      </c>
      <c r="BA24" s="26">
        <f>W24*$CM$15</f>
        <v>1066.8</v>
      </c>
      <c r="BB24" s="26">
        <f>X24*$CN$15</f>
        <v>-2517.3981600000002</v>
      </c>
      <c r="BC24" s="26">
        <f>Y24*$CO$15</f>
        <v>123.88889880000001</v>
      </c>
      <c r="BD24" s="26">
        <f>$CP$15*Z24</f>
        <v>314.63520000000005</v>
      </c>
      <c r="BE24" s="26">
        <f>AA24*$CQ$15</f>
        <v>-695</v>
      </c>
      <c r="BF24" s="26">
        <f>AB24*$CR$15</f>
        <v>99.733423999999999</v>
      </c>
      <c r="BG24" s="26">
        <f>AC24*$CS$15</f>
        <v>254.72919999999999</v>
      </c>
      <c r="BH24" s="26">
        <f>$CT$15*AD24</f>
        <v>366.83109999999999</v>
      </c>
      <c r="BI24" s="26">
        <f>AE24*$CU$15</f>
        <v>255.68417400000001</v>
      </c>
      <c r="BJ24" s="26">
        <f>$CV$15*AF24</f>
        <v>688.2645</v>
      </c>
      <c r="BK24" s="26">
        <f>AG24*$CW$15</f>
        <v>2399.9640000000004</v>
      </c>
      <c r="BL24" s="26">
        <f>AH24*$CX$15</f>
        <v>443.84690000000001</v>
      </c>
      <c r="BM24" s="26">
        <f>AI24*$CY$15</f>
        <v>437.5</v>
      </c>
      <c r="BN24" s="26">
        <f>AJ24*$CZ$15</f>
        <v>60.5</v>
      </c>
      <c r="BO24" s="26">
        <f>AK24*$DA$15</f>
        <v>-1266.6768</v>
      </c>
      <c r="BP24" s="26">
        <f>AL24*$DB$15</f>
        <v>677.71</v>
      </c>
      <c r="BQ24" s="26">
        <f>SUM(Table9[[#This Row],[SCW]:[SCPF]])</f>
        <v>7331.5952087999995</v>
      </c>
    </row>
    <row r="25" spans="1:69" x14ac:dyDescent="0.45">
      <c r="A25" s="3">
        <v>38</v>
      </c>
      <c r="B25" s="4" t="s">
        <v>299</v>
      </c>
      <c r="C25" s="3">
        <v>33</v>
      </c>
      <c r="D25" s="3">
        <v>26</v>
      </c>
      <c r="E25" s="3">
        <v>7</v>
      </c>
      <c r="F25" s="3">
        <v>0.78800000000000003</v>
      </c>
      <c r="G25" s="3">
        <v>13.12</v>
      </c>
      <c r="H25" s="3">
        <v>6.45</v>
      </c>
      <c r="I25" s="3"/>
      <c r="J25" s="3">
        <v>14</v>
      </c>
      <c r="K25" s="3">
        <v>6</v>
      </c>
      <c r="L25" s="3"/>
      <c r="M25" s="3">
        <v>13</v>
      </c>
      <c r="N25" s="3">
        <v>3</v>
      </c>
      <c r="O25" s="3"/>
      <c r="P25" s="3">
        <v>9</v>
      </c>
      <c r="Q25" s="3">
        <v>3</v>
      </c>
      <c r="R25" s="3"/>
      <c r="S25" s="3">
        <v>2395</v>
      </c>
      <c r="T25" s="3">
        <v>2175</v>
      </c>
      <c r="U25" s="3"/>
      <c r="V25" s="3">
        <v>1330</v>
      </c>
      <c r="W25" s="3">
        <v>886</v>
      </c>
      <c r="X25" s="3">
        <v>1952</v>
      </c>
      <c r="Y25" s="3">
        <v>0.45400000000000001</v>
      </c>
      <c r="Z25" s="3">
        <v>221</v>
      </c>
      <c r="AA25" s="3">
        <v>624</v>
      </c>
      <c r="AB25" s="3">
        <v>0.35399999999999998</v>
      </c>
      <c r="AC25" s="3">
        <v>402</v>
      </c>
      <c r="AD25" s="3">
        <v>604</v>
      </c>
      <c r="AE25" s="3">
        <v>0.66600000000000004</v>
      </c>
      <c r="AF25" s="3">
        <v>393</v>
      </c>
      <c r="AG25" s="3">
        <v>1325</v>
      </c>
      <c r="AH25" s="3">
        <v>468</v>
      </c>
      <c r="AI25" s="3">
        <v>169</v>
      </c>
      <c r="AJ25" s="3">
        <v>148</v>
      </c>
      <c r="AK25" s="3">
        <v>397</v>
      </c>
      <c r="AL25" s="3">
        <v>515</v>
      </c>
      <c r="AM25" s="25">
        <f>D25*$BY$15</f>
        <v>57.771999999999998</v>
      </c>
      <c r="AN25" s="26">
        <f>$BZ$15*E25</f>
        <v>-15.540000000000001</v>
      </c>
      <c r="AO25" s="26">
        <f>F25*$CA$15</f>
        <v>175.11093600000001</v>
      </c>
      <c r="AP25" s="26">
        <f>G25*$CB$15</f>
        <v>1154.56</v>
      </c>
      <c r="AQ25" s="26">
        <f>H25*$CC$15</f>
        <v>870.75</v>
      </c>
      <c r="AR25" s="26">
        <f>J25*$CD$15</f>
        <v>30.800000000000004</v>
      </c>
      <c r="AS25" s="26">
        <f>K25*$CE$15</f>
        <v>-13.200000000000001</v>
      </c>
      <c r="AT25" s="26">
        <f>M25*$CF$15</f>
        <v>13</v>
      </c>
      <c r="AU25" s="26">
        <f>N25*$CG$15</f>
        <v>3</v>
      </c>
      <c r="AV25" s="26">
        <f>P25*$CH$15</f>
        <v>14.998499999999998</v>
      </c>
      <c r="AW25" s="26">
        <f>$CI$15*Q25</f>
        <v>4.9994999999999994</v>
      </c>
      <c r="AX25" s="26">
        <f>S25*$CJ$15</f>
        <v>4523.9155000000001</v>
      </c>
      <c r="AY25" s="26">
        <f>T25*$CK$15</f>
        <v>-3625.0725000000002</v>
      </c>
      <c r="AZ25" s="26">
        <f>V25*$CL$15</f>
        <v>1330</v>
      </c>
      <c r="BA25" s="26">
        <f>W25*$CM$15</f>
        <v>1063.2</v>
      </c>
      <c r="BB25" s="26">
        <f>X25*$CN$15</f>
        <v>-2465.61024</v>
      </c>
      <c r="BC25" s="26">
        <f>Y25*$CO$15</f>
        <v>126.11112120000001</v>
      </c>
      <c r="BD25" s="26">
        <f>$CP$15*Z25</f>
        <v>294.63720000000006</v>
      </c>
      <c r="BE25" s="26">
        <f>AA25*$CQ$15</f>
        <v>-624</v>
      </c>
      <c r="BF25" s="26">
        <f>AB25*$CR$15</f>
        <v>103.84009439999998</v>
      </c>
      <c r="BG25" s="26">
        <f>AC25*$CS$15</f>
        <v>211.57259999999999</v>
      </c>
      <c r="BH25" s="26">
        <f>$CT$15*AD25</f>
        <v>317.8852</v>
      </c>
      <c r="BI25" s="26">
        <f>AE25*$CU$15</f>
        <v>245.36838600000004</v>
      </c>
      <c r="BJ25" s="26">
        <f>$CV$15*AF25</f>
        <v>654.93449999999996</v>
      </c>
      <c r="BK25" s="26">
        <f>AG25*$CW$15</f>
        <v>2649.9602500000005</v>
      </c>
      <c r="BL25" s="26">
        <f>AH25*$CX$15</f>
        <v>434.56139999999999</v>
      </c>
      <c r="BM25" s="26">
        <f>AI25*$CY$15</f>
        <v>211.25</v>
      </c>
      <c r="BN25" s="26">
        <f>AJ25*$CZ$15</f>
        <v>74</v>
      </c>
      <c r="BO25" s="26">
        <f>AK25*$DA$15</f>
        <v>-1102.7865999999999</v>
      </c>
      <c r="BP25" s="26">
        <f>AL25*$DB$15</f>
        <v>572.16499999999996</v>
      </c>
      <c r="BQ25" s="26">
        <f>SUM(Table9[[#This Row],[SCW]:[SCPF]])</f>
        <v>7292.1828476000001</v>
      </c>
    </row>
    <row r="26" spans="1:69" x14ac:dyDescent="0.45">
      <c r="A26" s="3">
        <v>32</v>
      </c>
      <c r="B26" s="4" t="s">
        <v>293</v>
      </c>
      <c r="C26" s="3">
        <v>33</v>
      </c>
      <c r="D26" s="3">
        <v>20</v>
      </c>
      <c r="E26" s="3">
        <v>13</v>
      </c>
      <c r="F26" s="3">
        <v>0.60599999999999998</v>
      </c>
      <c r="G26" s="3">
        <v>13.79</v>
      </c>
      <c r="H26" s="3">
        <v>8.24</v>
      </c>
      <c r="I26" s="3"/>
      <c r="J26" s="3">
        <v>9</v>
      </c>
      <c r="K26" s="3">
        <v>11</v>
      </c>
      <c r="L26" s="3"/>
      <c r="M26" s="3">
        <v>14</v>
      </c>
      <c r="N26" s="3">
        <v>4</v>
      </c>
      <c r="O26" s="3"/>
      <c r="P26" s="3">
        <v>3</v>
      </c>
      <c r="Q26" s="3">
        <v>8</v>
      </c>
      <c r="R26" s="3"/>
      <c r="S26" s="3">
        <v>2359</v>
      </c>
      <c r="T26" s="3">
        <v>2176</v>
      </c>
      <c r="U26" s="3"/>
      <c r="V26" s="3">
        <v>1335</v>
      </c>
      <c r="W26" s="3">
        <v>859</v>
      </c>
      <c r="X26" s="3">
        <v>1873</v>
      </c>
      <c r="Y26" s="3">
        <v>0.45900000000000002</v>
      </c>
      <c r="Z26" s="3">
        <v>202</v>
      </c>
      <c r="AA26" s="3">
        <v>596</v>
      </c>
      <c r="AB26" s="3">
        <v>0.33900000000000002</v>
      </c>
      <c r="AC26" s="3">
        <v>439</v>
      </c>
      <c r="AD26" s="3">
        <v>628</v>
      </c>
      <c r="AE26" s="3">
        <v>0.69899999999999995</v>
      </c>
      <c r="AF26" s="3">
        <v>297</v>
      </c>
      <c r="AG26" s="3">
        <v>1197</v>
      </c>
      <c r="AH26" s="3">
        <v>493</v>
      </c>
      <c r="AI26" s="3">
        <v>189</v>
      </c>
      <c r="AJ26" s="3">
        <v>164</v>
      </c>
      <c r="AK26" s="3">
        <v>393</v>
      </c>
      <c r="AL26" s="3">
        <v>569</v>
      </c>
      <c r="AM26" s="25">
        <f>D26*$BY$15</f>
        <v>44.44</v>
      </c>
      <c r="AN26" s="26">
        <f>$BZ$15*E26</f>
        <v>-28.860000000000003</v>
      </c>
      <c r="AO26" s="26">
        <f>F26*$CA$15</f>
        <v>134.66653199999999</v>
      </c>
      <c r="AP26" s="26">
        <f>G26*$CB$15</f>
        <v>1213.52</v>
      </c>
      <c r="AQ26" s="26">
        <f>H26*$CC$15</f>
        <v>1112.4000000000001</v>
      </c>
      <c r="AR26" s="26">
        <f>J26*$CD$15</f>
        <v>19.8</v>
      </c>
      <c r="AS26" s="26">
        <f>K26*$CE$15</f>
        <v>-24.200000000000003</v>
      </c>
      <c r="AT26" s="26">
        <f>M26*$CF$15</f>
        <v>14</v>
      </c>
      <c r="AU26" s="26">
        <f>N26*$CG$15</f>
        <v>4</v>
      </c>
      <c r="AV26" s="26">
        <f>P26*$CH$15</f>
        <v>4.9994999999999994</v>
      </c>
      <c r="AW26" s="26">
        <f>$CI$15*Q26</f>
        <v>13.331999999999999</v>
      </c>
      <c r="AX26" s="26">
        <f>S26*$CJ$15</f>
        <v>4455.9151000000002</v>
      </c>
      <c r="AY26" s="26">
        <f>T26*$CK$15</f>
        <v>-3626.7392</v>
      </c>
      <c r="AZ26" s="26">
        <f>V26*$CL$15</f>
        <v>1335</v>
      </c>
      <c r="BA26" s="26">
        <f>W26*$CM$15</f>
        <v>1030.8</v>
      </c>
      <c r="BB26" s="26">
        <f>X26*$CN$15</f>
        <v>-2365.8237600000002</v>
      </c>
      <c r="BC26" s="26">
        <f>Y26*$CO$15</f>
        <v>127.50001020000001</v>
      </c>
      <c r="BD26" s="26">
        <f>$CP$15*Z26</f>
        <v>269.30640000000005</v>
      </c>
      <c r="BE26" s="26">
        <f>AA26*$CQ$15</f>
        <v>-596</v>
      </c>
      <c r="BF26" s="26">
        <f>AB26*$CR$15</f>
        <v>99.440090400000003</v>
      </c>
      <c r="BG26" s="26">
        <f>AC26*$CS$15</f>
        <v>231.04569999999998</v>
      </c>
      <c r="BH26" s="26">
        <f>$CT$15*AD26</f>
        <v>330.51639999999998</v>
      </c>
      <c r="BI26" s="26">
        <f>AE26*$CU$15</f>
        <v>257.52627900000005</v>
      </c>
      <c r="BJ26" s="26">
        <f>$CV$15*AF26</f>
        <v>494.95049999999998</v>
      </c>
      <c r="BK26" s="26">
        <f>AG26*$CW$15</f>
        <v>2393.9640900000004</v>
      </c>
      <c r="BL26" s="26">
        <f>AH26*$CX$15</f>
        <v>457.77515</v>
      </c>
      <c r="BM26" s="26">
        <f>AI26*$CY$15</f>
        <v>236.25</v>
      </c>
      <c r="BN26" s="26">
        <f>AJ26*$CZ$15</f>
        <v>82</v>
      </c>
      <c r="BO26" s="26">
        <f>AK26*$DA$15</f>
        <v>-1091.6754000000001</v>
      </c>
      <c r="BP26" s="26">
        <f>AL26*$DB$15</f>
        <v>632.15899999999999</v>
      </c>
      <c r="BQ26" s="26">
        <f>SUM(Table9[[#This Row],[SCW]:[SCPF]])</f>
        <v>7262.0083916000003</v>
      </c>
    </row>
    <row r="27" spans="1:69" x14ac:dyDescent="0.45">
      <c r="A27" s="3">
        <v>37</v>
      </c>
      <c r="B27" s="4" t="s">
        <v>298</v>
      </c>
      <c r="C27" s="3">
        <v>33</v>
      </c>
      <c r="D27" s="3">
        <v>24</v>
      </c>
      <c r="E27" s="3">
        <v>9</v>
      </c>
      <c r="F27" s="3">
        <v>0.72699999999999998</v>
      </c>
      <c r="G27" s="3">
        <v>13.14</v>
      </c>
      <c r="H27" s="3">
        <v>7.35</v>
      </c>
      <c r="I27" s="3"/>
      <c r="J27" s="3">
        <v>15</v>
      </c>
      <c r="K27" s="3">
        <v>5</v>
      </c>
      <c r="L27" s="3"/>
      <c r="M27" s="3">
        <v>15</v>
      </c>
      <c r="N27" s="3">
        <v>2</v>
      </c>
      <c r="O27" s="3"/>
      <c r="P27" s="3">
        <v>8</v>
      </c>
      <c r="Q27" s="3">
        <v>3</v>
      </c>
      <c r="R27" s="3"/>
      <c r="S27" s="3">
        <v>2558</v>
      </c>
      <c r="T27" s="3">
        <v>2367</v>
      </c>
      <c r="U27" s="3"/>
      <c r="V27" s="3">
        <v>1330</v>
      </c>
      <c r="W27" s="3">
        <v>912</v>
      </c>
      <c r="X27" s="3">
        <v>2014</v>
      </c>
      <c r="Y27" s="3">
        <v>0.45300000000000001</v>
      </c>
      <c r="Z27" s="3">
        <v>273</v>
      </c>
      <c r="AA27" s="3">
        <v>755</v>
      </c>
      <c r="AB27" s="3">
        <v>0.36199999999999999</v>
      </c>
      <c r="AC27" s="3">
        <v>461</v>
      </c>
      <c r="AD27" s="3">
        <v>597</v>
      </c>
      <c r="AE27" s="3">
        <v>0.77200000000000002</v>
      </c>
      <c r="AF27" s="3">
        <v>352</v>
      </c>
      <c r="AG27" s="3">
        <v>1313</v>
      </c>
      <c r="AH27" s="3">
        <v>489</v>
      </c>
      <c r="AI27" s="3">
        <v>179</v>
      </c>
      <c r="AJ27" s="3">
        <v>127</v>
      </c>
      <c r="AK27" s="3">
        <v>385</v>
      </c>
      <c r="AL27" s="3">
        <v>474</v>
      </c>
      <c r="AM27" s="23">
        <f>D27*$BY$15</f>
        <v>53.328000000000003</v>
      </c>
      <c r="AN27" s="24">
        <f>$BZ$15*E27</f>
        <v>-19.98</v>
      </c>
      <c r="AO27" s="24">
        <f>F27*$CA$15</f>
        <v>161.55539400000001</v>
      </c>
      <c r="AP27" s="24">
        <f>G27*$CB$15</f>
        <v>1156.3200000000002</v>
      </c>
      <c r="AQ27" s="24">
        <f>H27*$CC$15</f>
        <v>992.25</v>
      </c>
      <c r="AR27" s="24">
        <f>J27*$CD$15</f>
        <v>33</v>
      </c>
      <c r="AS27" s="24">
        <f>K27*$CE$15</f>
        <v>-11</v>
      </c>
      <c r="AT27" s="24">
        <f>M27*$CF$15</f>
        <v>15</v>
      </c>
      <c r="AU27" s="24">
        <f>N27*$CG$15</f>
        <v>2</v>
      </c>
      <c r="AV27" s="24">
        <f>P27*$CH$15</f>
        <v>13.331999999999999</v>
      </c>
      <c r="AW27" s="24">
        <f>$CI$15*Q27</f>
        <v>4.9994999999999994</v>
      </c>
      <c r="AX27" s="24">
        <f>S27*$CJ$15</f>
        <v>4831.8062</v>
      </c>
      <c r="AY27" s="24">
        <f>T27*$CK$15</f>
        <v>-3945.0789</v>
      </c>
      <c r="AZ27" s="24">
        <f>V27*$CL$15</f>
        <v>1330</v>
      </c>
      <c r="BA27" s="24">
        <f>W27*$CM$15</f>
        <v>1094.3999999999999</v>
      </c>
      <c r="BB27" s="24">
        <f>X27*$CN$15</f>
        <v>-2543.9236799999999</v>
      </c>
      <c r="BC27" s="24">
        <f>Y27*$CO$15</f>
        <v>125.8333434</v>
      </c>
      <c r="BD27" s="24">
        <f>$CP$15*Z27</f>
        <v>363.96360000000004</v>
      </c>
      <c r="BE27" s="24">
        <f>AA27*$CQ$15</f>
        <v>-755</v>
      </c>
      <c r="BF27" s="24">
        <f>AB27*$CR$15</f>
        <v>106.18676319999999</v>
      </c>
      <c r="BG27" s="24">
        <f>AC27*$CS$15</f>
        <v>242.62430000000001</v>
      </c>
      <c r="BH27" s="24">
        <f>$CT$15*AD27</f>
        <v>314.2011</v>
      </c>
      <c r="BI27" s="24">
        <f>AE27*$CU$15</f>
        <v>284.42101200000002</v>
      </c>
      <c r="BJ27" s="24">
        <f>$CV$15*AF27</f>
        <v>586.60799999999995</v>
      </c>
      <c r="BK27" s="24">
        <f>AG27*$CW$15</f>
        <v>2625.9606100000005</v>
      </c>
      <c r="BL27" s="24">
        <f>AH27*$CX$15</f>
        <v>454.06094999999999</v>
      </c>
      <c r="BM27" s="24">
        <f>AI27*$CY$15</f>
        <v>223.75</v>
      </c>
      <c r="BN27" s="24">
        <f>AJ27*$CZ$15</f>
        <v>63.5</v>
      </c>
      <c r="BO27" s="24">
        <f>AK27*$DA$15</f>
        <v>-1069.453</v>
      </c>
      <c r="BP27" s="24">
        <f>AL27*$DB$15</f>
        <v>526.61400000000003</v>
      </c>
      <c r="BQ27" s="24">
        <f>SUM(Table9[[#This Row],[SCW]:[SCPF]])</f>
        <v>7261.2791925999991</v>
      </c>
    </row>
    <row r="28" spans="1:69" x14ac:dyDescent="0.45">
      <c r="A28" s="3">
        <v>23</v>
      </c>
      <c r="B28" s="4" t="s">
        <v>68</v>
      </c>
      <c r="C28" s="3">
        <v>30</v>
      </c>
      <c r="D28" s="3">
        <v>21</v>
      </c>
      <c r="E28" s="3">
        <v>9</v>
      </c>
      <c r="F28" s="3">
        <v>0.7</v>
      </c>
      <c r="G28" s="3">
        <v>14.73</v>
      </c>
      <c r="H28" s="3">
        <v>6.87</v>
      </c>
      <c r="I28" s="3"/>
      <c r="J28" s="3">
        <v>13</v>
      </c>
      <c r="K28" s="3">
        <v>5</v>
      </c>
      <c r="L28" s="3"/>
      <c r="M28" s="3">
        <v>13</v>
      </c>
      <c r="N28" s="3">
        <v>2</v>
      </c>
      <c r="O28" s="3"/>
      <c r="P28" s="3">
        <v>5</v>
      </c>
      <c r="Q28" s="3">
        <v>6</v>
      </c>
      <c r="R28" s="3"/>
      <c r="S28" s="3">
        <v>2285</v>
      </c>
      <c r="T28" s="3">
        <v>2049</v>
      </c>
      <c r="U28" s="3"/>
      <c r="V28" s="3">
        <v>1200</v>
      </c>
      <c r="W28" s="3">
        <v>813</v>
      </c>
      <c r="X28" s="3">
        <v>1723</v>
      </c>
      <c r="Y28" s="3">
        <v>0.47199999999999998</v>
      </c>
      <c r="Z28" s="3">
        <v>195</v>
      </c>
      <c r="AA28" s="3">
        <v>536</v>
      </c>
      <c r="AB28" s="3">
        <v>0.36399999999999999</v>
      </c>
      <c r="AC28" s="3">
        <v>464</v>
      </c>
      <c r="AD28" s="3">
        <v>668</v>
      </c>
      <c r="AE28" s="3">
        <v>0.69499999999999995</v>
      </c>
      <c r="AF28" s="3">
        <v>378</v>
      </c>
      <c r="AG28" s="3">
        <v>1167</v>
      </c>
      <c r="AH28" s="3">
        <v>483</v>
      </c>
      <c r="AI28" s="3">
        <v>265</v>
      </c>
      <c r="AJ28" s="3">
        <v>172</v>
      </c>
      <c r="AK28" s="3">
        <v>492</v>
      </c>
      <c r="AL28" s="3">
        <v>561</v>
      </c>
      <c r="AM28" s="23">
        <f>D28*$BY$15</f>
        <v>46.661999999999999</v>
      </c>
      <c r="AN28" s="24">
        <f>$BZ$15*E28</f>
        <v>-19.98</v>
      </c>
      <c r="AO28" s="24">
        <f>F28*$CA$15</f>
        <v>155.55539999999999</v>
      </c>
      <c r="AP28" s="24">
        <f>G28*$CB$15</f>
        <v>1296.24</v>
      </c>
      <c r="AQ28" s="24">
        <f>H28*$CC$15</f>
        <v>927.45</v>
      </c>
      <c r="AR28" s="24">
        <f>J28*$CD$15</f>
        <v>28.6</v>
      </c>
      <c r="AS28" s="24">
        <f>K28*$CE$15</f>
        <v>-11</v>
      </c>
      <c r="AT28" s="24">
        <f>M28*$CF$15</f>
        <v>13</v>
      </c>
      <c r="AU28" s="24">
        <f>N28*$CG$15</f>
        <v>2</v>
      </c>
      <c r="AV28" s="24">
        <f>P28*$CH$15</f>
        <v>8.3324999999999996</v>
      </c>
      <c r="AW28" s="24">
        <f>$CI$15*Q28</f>
        <v>9.9989999999999988</v>
      </c>
      <c r="AX28" s="24">
        <f>S28*$CJ$15</f>
        <v>4316.1364999999996</v>
      </c>
      <c r="AY28" s="24">
        <f>T28*$CK$15</f>
        <v>-3415.0683000000004</v>
      </c>
      <c r="AZ28" s="24">
        <f>V28*$CL$15</f>
        <v>1200</v>
      </c>
      <c r="BA28" s="24">
        <f>W28*$CM$15</f>
        <v>975.59999999999991</v>
      </c>
      <c r="BB28" s="24">
        <f>X28*$CN$15</f>
        <v>-2176.3557599999999</v>
      </c>
      <c r="BC28" s="24">
        <f>Y28*$CO$15</f>
        <v>131.11112159999999</v>
      </c>
      <c r="BD28" s="24">
        <f>$CP$15*Z28</f>
        <v>259.97400000000005</v>
      </c>
      <c r="BE28" s="24">
        <f>AA28*$CQ$15</f>
        <v>-536</v>
      </c>
      <c r="BF28" s="24">
        <f>AB28*$CR$15</f>
        <v>106.7734304</v>
      </c>
      <c r="BG28" s="24">
        <f>AC28*$CS$15</f>
        <v>244.20319999999998</v>
      </c>
      <c r="BH28" s="24">
        <f>$CT$15*AD28</f>
        <v>351.5684</v>
      </c>
      <c r="BI28" s="24">
        <f>AE28*$CU$15</f>
        <v>256.052595</v>
      </c>
      <c r="BJ28" s="24">
        <f>$CV$15*AF28</f>
        <v>629.9369999999999</v>
      </c>
      <c r="BK28" s="24">
        <f>AG28*$CW$15</f>
        <v>2333.9649900000004</v>
      </c>
      <c r="BL28" s="24">
        <f>AH28*$CX$15</f>
        <v>448.48964999999998</v>
      </c>
      <c r="BM28" s="24">
        <f>AI28*$CY$15</f>
        <v>331.25</v>
      </c>
      <c r="BN28" s="24">
        <f>AJ28*$CZ$15</f>
        <v>86</v>
      </c>
      <c r="BO28" s="24">
        <f>AK28*$DA$15</f>
        <v>-1366.6776</v>
      </c>
      <c r="BP28" s="24">
        <f>AL28*$DB$15</f>
        <v>623.27099999999996</v>
      </c>
      <c r="BQ28" s="24">
        <f>SUM(Table9[[#This Row],[SCW]:[SCPF]])</f>
        <v>7257.0891269999993</v>
      </c>
    </row>
    <row r="29" spans="1:69" x14ac:dyDescent="0.45">
      <c r="A29" s="3">
        <v>21</v>
      </c>
      <c r="B29" s="4" t="s">
        <v>283</v>
      </c>
      <c r="C29" s="3">
        <v>33</v>
      </c>
      <c r="D29" s="3">
        <v>24</v>
      </c>
      <c r="E29" s="3">
        <v>9</v>
      </c>
      <c r="F29" s="3">
        <v>0.72699999999999998</v>
      </c>
      <c r="G29" s="3">
        <v>14.86</v>
      </c>
      <c r="H29" s="3">
        <v>5.55</v>
      </c>
      <c r="I29" s="3"/>
      <c r="J29" s="3">
        <v>10</v>
      </c>
      <c r="K29" s="3">
        <v>6</v>
      </c>
      <c r="L29" s="3"/>
      <c r="M29" s="3">
        <v>14</v>
      </c>
      <c r="N29" s="3">
        <v>4</v>
      </c>
      <c r="O29" s="3"/>
      <c r="P29" s="3">
        <v>7</v>
      </c>
      <c r="Q29" s="3">
        <v>2</v>
      </c>
      <c r="R29" s="3"/>
      <c r="S29" s="3">
        <v>2543</v>
      </c>
      <c r="T29" s="3">
        <v>2212</v>
      </c>
      <c r="U29" s="3"/>
      <c r="V29" s="3">
        <v>1320</v>
      </c>
      <c r="W29" s="3">
        <v>912</v>
      </c>
      <c r="X29" s="3">
        <v>1996</v>
      </c>
      <c r="Y29" s="3">
        <v>0.45700000000000002</v>
      </c>
      <c r="Z29" s="3">
        <v>318</v>
      </c>
      <c r="AA29" s="3">
        <v>899</v>
      </c>
      <c r="AB29" s="3">
        <v>0.35399999999999998</v>
      </c>
      <c r="AC29" s="3">
        <v>401</v>
      </c>
      <c r="AD29" s="3">
        <v>576</v>
      </c>
      <c r="AE29" s="3">
        <v>0.69599999999999995</v>
      </c>
      <c r="AF29" s="3">
        <v>352</v>
      </c>
      <c r="AG29" s="3">
        <v>1252</v>
      </c>
      <c r="AH29" s="3">
        <v>433</v>
      </c>
      <c r="AI29" s="3">
        <v>254</v>
      </c>
      <c r="AJ29" s="3">
        <v>152</v>
      </c>
      <c r="AK29" s="3">
        <v>425</v>
      </c>
      <c r="AL29" s="3">
        <v>591</v>
      </c>
      <c r="AM29" s="23">
        <f>D29*$BY$15</f>
        <v>53.328000000000003</v>
      </c>
      <c r="AN29" s="24">
        <f>$BZ$15*E29</f>
        <v>-19.98</v>
      </c>
      <c r="AO29" s="24">
        <f>F29*$CA$15</f>
        <v>161.55539400000001</v>
      </c>
      <c r="AP29" s="24">
        <f>G29*$CB$15</f>
        <v>1307.6799999999998</v>
      </c>
      <c r="AQ29" s="24">
        <f>H29*$CC$15</f>
        <v>749.25</v>
      </c>
      <c r="AR29" s="24">
        <f>J29*$CD$15</f>
        <v>22</v>
      </c>
      <c r="AS29" s="24">
        <f>K29*$CE$15</f>
        <v>-13.200000000000001</v>
      </c>
      <c r="AT29" s="24">
        <f>M29*$CF$15</f>
        <v>14</v>
      </c>
      <c r="AU29" s="24">
        <f>N29*$CG$15</f>
        <v>4</v>
      </c>
      <c r="AV29" s="24">
        <f>P29*$CH$15</f>
        <v>11.6655</v>
      </c>
      <c r="AW29" s="24">
        <f>$CI$15*Q29</f>
        <v>3.3329999999999997</v>
      </c>
      <c r="AX29" s="24">
        <f>S29*$CJ$15</f>
        <v>4803.4727000000003</v>
      </c>
      <c r="AY29" s="24">
        <f>T29*$CK$15</f>
        <v>-3686.7404000000001</v>
      </c>
      <c r="AZ29" s="24">
        <f>V29*$CL$15</f>
        <v>1320</v>
      </c>
      <c r="BA29" s="24">
        <f>W29*$CM$15</f>
        <v>1094.3999999999999</v>
      </c>
      <c r="BB29" s="24">
        <f>X29*$CN$15</f>
        <v>-2521.1875199999999</v>
      </c>
      <c r="BC29" s="24">
        <f>Y29*$CO$15</f>
        <v>126.94445460000001</v>
      </c>
      <c r="BD29" s="24">
        <f>$CP$15*Z29</f>
        <v>423.95760000000007</v>
      </c>
      <c r="BE29" s="24">
        <f>AA29*$CQ$15</f>
        <v>-899</v>
      </c>
      <c r="BF29" s="24">
        <f>AB29*$CR$15</f>
        <v>103.84009439999998</v>
      </c>
      <c r="BG29" s="24">
        <f>AC29*$CS$15</f>
        <v>211.0463</v>
      </c>
      <c r="BH29" s="24">
        <f>$CT$15*AD29</f>
        <v>303.14879999999999</v>
      </c>
      <c r="BI29" s="24">
        <f>AE29*$CU$15</f>
        <v>256.42101600000001</v>
      </c>
      <c r="BJ29" s="24">
        <f>$CV$15*AF29</f>
        <v>586.60799999999995</v>
      </c>
      <c r="BK29" s="24">
        <f>AG29*$CW$15</f>
        <v>2503.9624400000002</v>
      </c>
      <c r="BL29" s="24">
        <f>AH29*$CX$15</f>
        <v>402.06214999999997</v>
      </c>
      <c r="BM29" s="24">
        <f>AI29*$CY$15</f>
        <v>317.5</v>
      </c>
      <c r="BN29" s="24">
        <f>AJ29*$CZ$15</f>
        <v>76</v>
      </c>
      <c r="BO29" s="24">
        <f>AK29*$DA$15</f>
        <v>-1180.5650000000001</v>
      </c>
      <c r="BP29" s="24">
        <f>AL29*$DB$15</f>
        <v>656.601</v>
      </c>
      <c r="BQ29" s="24">
        <f>SUM(Table9[[#This Row],[SCW]:[SCPF]])</f>
        <v>7192.1035289999991</v>
      </c>
    </row>
    <row r="30" spans="1:69" x14ac:dyDescent="0.45">
      <c r="A30" s="3">
        <v>29</v>
      </c>
      <c r="B30" s="4" t="s">
        <v>290</v>
      </c>
      <c r="C30" s="3">
        <v>31</v>
      </c>
      <c r="D30" s="3">
        <v>21</v>
      </c>
      <c r="E30" s="3">
        <v>10</v>
      </c>
      <c r="F30" s="3">
        <v>0.67700000000000005</v>
      </c>
      <c r="G30" s="3">
        <v>13.95</v>
      </c>
      <c r="H30" s="3">
        <v>8.68</v>
      </c>
      <c r="I30" s="3"/>
      <c r="J30" s="3">
        <v>11</v>
      </c>
      <c r="K30" s="3">
        <v>8</v>
      </c>
      <c r="L30" s="3"/>
      <c r="M30" s="3">
        <v>13</v>
      </c>
      <c r="N30" s="3">
        <v>3</v>
      </c>
      <c r="O30" s="3"/>
      <c r="P30" s="3">
        <v>6</v>
      </c>
      <c r="Q30" s="3">
        <v>5</v>
      </c>
      <c r="R30" s="3"/>
      <c r="S30" s="3">
        <v>2260</v>
      </c>
      <c r="T30" s="3">
        <v>2056</v>
      </c>
      <c r="U30" s="3"/>
      <c r="V30" s="3">
        <v>1245</v>
      </c>
      <c r="W30" s="3">
        <v>793</v>
      </c>
      <c r="X30" s="3">
        <v>1873</v>
      </c>
      <c r="Y30" s="3">
        <v>0.42299999999999999</v>
      </c>
      <c r="Z30" s="3">
        <v>228</v>
      </c>
      <c r="AA30" s="3">
        <v>671</v>
      </c>
      <c r="AB30" s="3">
        <v>0.34</v>
      </c>
      <c r="AC30" s="3">
        <v>446</v>
      </c>
      <c r="AD30" s="3">
        <v>589</v>
      </c>
      <c r="AE30" s="3">
        <v>0.75700000000000001</v>
      </c>
      <c r="AF30" s="3">
        <v>379</v>
      </c>
      <c r="AG30" s="3">
        <v>1207</v>
      </c>
      <c r="AH30" s="3">
        <v>321</v>
      </c>
      <c r="AI30" s="3">
        <v>218</v>
      </c>
      <c r="AJ30" s="3">
        <v>169</v>
      </c>
      <c r="AK30" s="3">
        <v>372</v>
      </c>
      <c r="AL30" s="3">
        <v>483</v>
      </c>
      <c r="AM30" s="23">
        <f>D30*$BY$15</f>
        <v>46.661999999999999</v>
      </c>
      <c r="AN30" s="24">
        <f>$BZ$15*E30</f>
        <v>-22.200000000000003</v>
      </c>
      <c r="AO30" s="24">
        <f>F30*$CA$15</f>
        <v>150.44429400000001</v>
      </c>
      <c r="AP30" s="24">
        <f>G30*$CB$15</f>
        <v>1227.5999999999999</v>
      </c>
      <c r="AQ30" s="24">
        <f>H30*$CC$15</f>
        <v>1171.8</v>
      </c>
      <c r="AR30" s="24">
        <f>J30*$CD$15</f>
        <v>24.200000000000003</v>
      </c>
      <c r="AS30" s="24">
        <f>K30*$CE$15</f>
        <v>-17.600000000000001</v>
      </c>
      <c r="AT30" s="24">
        <f>M30*$CF$15</f>
        <v>13</v>
      </c>
      <c r="AU30" s="24">
        <f>N30*$CG$15</f>
        <v>3</v>
      </c>
      <c r="AV30" s="24">
        <f>P30*$CH$15</f>
        <v>9.9989999999999988</v>
      </c>
      <c r="AW30" s="24">
        <f>$CI$15*Q30</f>
        <v>8.3324999999999996</v>
      </c>
      <c r="AX30" s="24">
        <f>S30*$CJ$15</f>
        <v>4268.9139999999998</v>
      </c>
      <c r="AY30" s="24">
        <f>T30*$CK$15</f>
        <v>-3426.7352000000001</v>
      </c>
      <c r="AZ30" s="24">
        <f>V30*$CL$15</f>
        <v>1245</v>
      </c>
      <c r="BA30" s="24">
        <f>W30*$CM$15</f>
        <v>951.59999999999991</v>
      </c>
      <c r="BB30" s="24">
        <f>X30*$CN$15</f>
        <v>-2365.8237600000002</v>
      </c>
      <c r="BC30" s="24">
        <f>Y30*$CO$15</f>
        <v>117.5000094</v>
      </c>
      <c r="BD30" s="24">
        <f>$CP$15*Z30</f>
        <v>303.96960000000001</v>
      </c>
      <c r="BE30" s="24">
        <f>AA30*$CQ$15</f>
        <v>-671</v>
      </c>
      <c r="BF30" s="24">
        <f>AB30*$CR$15</f>
        <v>99.733423999999999</v>
      </c>
      <c r="BG30" s="24">
        <f>AC30*$CS$15</f>
        <v>234.72979999999998</v>
      </c>
      <c r="BH30" s="24">
        <f>$CT$15*AD30</f>
        <v>309.9907</v>
      </c>
      <c r="BI30" s="24">
        <f>AE30*$CU$15</f>
        <v>278.89469700000006</v>
      </c>
      <c r="BJ30" s="24">
        <f>$CV$15*AF30</f>
        <v>631.60349999999994</v>
      </c>
      <c r="BK30" s="24">
        <f>AG30*$CW$15</f>
        <v>2413.9637900000002</v>
      </c>
      <c r="BL30" s="24">
        <f>AH30*$CX$15</f>
        <v>298.06455</v>
      </c>
      <c r="BM30" s="24">
        <f>AI30*$CY$15</f>
        <v>272.5</v>
      </c>
      <c r="BN30" s="24">
        <f>AJ30*$CZ$15</f>
        <v>84.5</v>
      </c>
      <c r="BO30" s="24">
        <f>AK30*$DA$15</f>
        <v>-1033.3416</v>
      </c>
      <c r="BP30" s="24">
        <f>AL30*$DB$15</f>
        <v>536.61299999999994</v>
      </c>
      <c r="BQ30" s="24">
        <f>SUM(Table9[[#This Row],[SCW]:[SCPF]])</f>
        <v>7165.9143043999993</v>
      </c>
    </row>
    <row r="31" spans="1:69" x14ac:dyDescent="0.45">
      <c r="A31" s="3">
        <v>46</v>
      </c>
      <c r="B31" s="4" t="s">
        <v>80</v>
      </c>
      <c r="C31" s="3">
        <v>33</v>
      </c>
      <c r="D31" s="3">
        <v>18</v>
      </c>
      <c r="E31" s="3">
        <v>15</v>
      </c>
      <c r="F31" s="3">
        <v>0.54500000000000004</v>
      </c>
      <c r="G31" s="3">
        <v>12.38</v>
      </c>
      <c r="H31" s="3">
        <v>7.92</v>
      </c>
      <c r="I31" s="3"/>
      <c r="J31" s="3">
        <v>8</v>
      </c>
      <c r="K31" s="3">
        <v>10</v>
      </c>
      <c r="L31" s="3"/>
      <c r="M31" s="3">
        <v>14</v>
      </c>
      <c r="N31" s="3">
        <v>3</v>
      </c>
      <c r="O31" s="3"/>
      <c r="P31" s="3">
        <v>1</v>
      </c>
      <c r="Q31" s="3">
        <v>9</v>
      </c>
      <c r="R31" s="3"/>
      <c r="S31" s="3">
        <v>2339</v>
      </c>
      <c r="T31" s="3">
        <v>2192</v>
      </c>
      <c r="U31" s="3"/>
      <c r="V31" s="3">
        <v>1335</v>
      </c>
      <c r="W31" s="3">
        <v>837</v>
      </c>
      <c r="X31" s="3">
        <v>1845</v>
      </c>
      <c r="Y31" s="3">
        <v>0.45400000000000001</v>
      </c>
      <c r="Z31" s="3">
        <v>153</v>
      </c>
      <c r="AA31" s="3">
        <v>519</v>
      </c>
      <c r="AB31" s="3">
        <v>0.29499999999999998</v>
      </c>
      <c r="AC31" s="3">
        <v>512</v>
      </c>
      <c r="AD31" s="3">
        <v>709</v>
      </c>
      <c r="AE31" s="3">
        <v>0.72199999999999998</v>
      </c>
      <c r="AF31" s="3">
        <v>379</v>
      </c>
      <c r="AG31" s="3">
        <v>1207</v>
      </c>
      <c r="AH31" s="3">
        <v>443</v>
      </c>
      <c r="AI31" s="3">
        <v>266</v>
      </c>
      <c r="AJ31" s="3">
        <v>113</v>
      </c>
      <c r="AK31" s="3">
        <v>433</v>
      </c>
      <c r="AL31" s="3">
        <v>517</v>
      </c>
      <c r="AM31" s="25">
        <f>D31*$BY$15</f>
        <v>39.996000000000002</v>
      </c>
      <c r="AN31" s="26">
        <f>$BZ$15*E31</f>
        <v>-33.300000000000004</v>
      </c>
      <c r="AO31" s="26">
        <f>F31*$CA$15</f>
        <v>121.11099000000002</v>
      </c>
      <c r="AP31" s="26">
        <f>G31*$CB$15</f>
        <v>1089.44</v>
      </c>
      <c r="AQ31" s="26">
        <f>H31*$CC$15</f>
        <v>1069.2</v>
      </c>
      <c r="AR31" s="26">
        <f>J31*$CD$15</f>
        <v>17.600000000000001</v>
      </c>
      <c r="AS31" s="26">
        <f>K31*$CE$15</f>
        <v>-22</v>
      </c>
      <c r="AT31" s="26">
        <f>M31*$CF$15</f>
        <v>14</v>
      </c>
      <c r="AU31" s="26">
        <f>N31*$CG$15</f>
        <v>3</v>
      </c>
      <c r="AV31" s="26">
        <f>P31*$CH$15</f>
        <v>1.6664999999999999</v>
      </c>
      <c r="AW31" s="26">
        <f>$CI$15*Q31</f>
        <v>14.998499999999998</v>
      </c>
      <c r="AX31" s="26">
        <f>S31*$CJ$15</f>
        <v>4418.1370999999999</v>
      </c>
      <c r="AY31" s="26">
        <f>T31*$CK$15</f>
        <v>-3653.4064000000003</v>
      </c>
      <c r="AZ31" s="26">
        <f>V31*$CL$15</f>
        <v>1335</v>
      </c>
      <c r="BA31" s="26">
        <f>W31*$CM$15</f>
        <v>1004.4</v>
      </c>
      <c r="BB31" s="26">
        <f>X31*$CN$15</f>
        <v>-2330.4564</v>
      </c>
      <c r="BC31" s="26">
        <f>Y31*$CO$15</f>
        <v>126.11112120000001</v>
      </c>
      <c r="BD31" s="26">
        <f>$CP$15*Z31</f>
        <v>203.97960000000003</v>
      </c>
      <c r="BE31" s="26">
        <f>AA31*$CQ$15</f>
        <v>-519</v>
      </c>
      <c r="BF31" s="26">
        <f>AB31*$CR$15</f>
        <v>86.533411999999998</v>
      </c>
      <c r="BG31" s="26">
        <f>AC31*$CS$15</f>
        <v>269.46559999999999</v>
      </c>
      <c r="BH31" s="26">
        <f>$CT$15*AD31</f>
        <v>373.14670000000001</v>
      </c>
      <c r="BI31" s="26">
        <f>AE31*$CU$15</f>
        <v>265.99996200000004</v>
      </c>
      <c r="BJ31" s="26">
        <f>$CV$15*AF31</f>
        <v>631.60349999999994</v>
      </c>
      <c r="BK31" s="26">
        <f>AG31*$CW$15</f>
        <v>2413.9637900000002</v>
      </c>
      <c r="BL31" s="26">
        <f>AH31*$CX$15</f>
        <v>411.34764999999999</v>
      </c>
      <c r="BM31" s="26">
        <f>AI31*$CY$15</f>
        <v>332.5</v>
      </c>
      <c r="BN31" s="26">
        <f>AJ31*$CZ$15</f>
        <v>56.5</v>
      </c>
      <c r="BO31" s="26">
        <f>AK31*$DA$15</f>
        <v>-1202.7873999999999</v>
      </c>
      <c r="BP31" s="26">
        <f>AL31*$DB$15</f>
        <v>574.38699999999994</v>
      </c>
      <c r="BQ31" s="26">
        <f>SUM(Table9[[#This Row],[SCW]:[SCPF]])</f>
        <v>7113.1372251999983</v>
      </c>
    </row>
    <row r="32" spans="1:69" x14ac:dyDescent="0.45">
      <c r="A32" s="3">
        <v>28</v>
      </c>
      <c r="B32" s="4" t="s">
        <v>289</v>
      </c>
      <c r="C32" s="3">
        <v>31</v>
      </c>
      <c r="D32" s="3">
        <v>17</v>
      </c>
      <c r="E32" s="3">
        <v>14</v>
      </c>
      <c r="F32" s="3">
        <v>0.54800000000000004</v>
      </c>
      <c r="G32" s="3">
        <v>14.1</v>
      </c>
      <c r="H32" s="3">
        <v>10.93</v>
      </c>
      <c r="I32" s="3"/>
      <c r="J32" s="3">
        <v>11</v>
      </c>
      <c r="K32" s="3">
        <v>9</v>
      </c>
      <c r="L32" s="3"/>
      <c r="M32" s="3">
        <v>10</v>
      </c>
      <c r="N32" s="3">
        <v>5</v>
      </c>
      <c r="O32" s="3"/>
      <c r="P32" s="3">
        <v>5</v>
      </c>
      <c r="Q32" s="3">
        <v>7</v>
      </c>
      <c r="R32" s="3"/>
      <c r="S32" s="3">
        <v>2264</v>
      </c>
      <c r="T32" s="3">
        <v>2166</v>
      </c>
      <c r="U32" s="3"/>
      <c r="V32" s="3">
        <v>1240</v>
      </c>
      <c r="W32" s="3">
        <v>840</v>
      </c>
      <c r="X32" s="3">
        <v>1794</v>
      </c>
      <c r="Y32" s="3">
        <v>0.46800000000000003</v>
      </c>
      <c r="Z32" s="3">
        <v>197</v>
      </c>
      <c r="AA32" s="3">
        <v>580</v>
      </c>
      <c r="AB32" s="3">
        <v>0.34</v>
      </c>
      <c r="AC32" s="3">
        <v>387</v>
      </c>
      <c r="AD32" s="3">
        <v>519</v>
      </c>
      <c r="AE32" s="3">
        <v>0.746</v>
      </c>
      <c r="AF32" s="3">
        <v>310</v>
      </c>
      <c r="AG32" s="3">
        <v>1102</v>
      </c>
      <c r="AH32" s="3">
        <v>440</v>
      </c>
      <c r="AI32" s="3">
        <v>148</v>
      </c>
      <c r="AJ32" s="3">
        <v>96</v>
      </c>
      <c r="AK32" s="3">
        <v>358</v>
      </c>
      <c r="AL32" s="3">
        <v>482</v>
      </c>
      <c r="AM32" s="25">
        <f>D32*$BY$15</f>
        <v>37.774000000000001</v>
      </c>
      <c r="AN32" s="26">
        <f>$BZ$15*E32</f>
        <v>-31.080000000000002</v>
      </c>
      <c r="AO32" s="26">
        <f>F32*$CA$15</f>
        <v>121.77765600000001</v>
      </c>
      <c r="AP32" s="26">
        <f>G32*$CB$15</f>
        <v>1240.8</v>
      </c>
      <c r="AQ32" s="26">
        <f>H32*$CC$15</f>
        <v>1475.55</v>
      </c>
      <c r="AR32" s="26">
        <f>J32*$CD$15</f>
        <v>24.200000000000003</v>
      </c>
      <c r="AS32" s="26">
        <f>K32*$CE$15</f>
        <v>-19.8</v>
      </c>
      <c r="AT32" s="26">
        <f>M32*$CF$15</f>
        <v>10</v>
      </c>
      <c r="AU32" s="26">
        <f>N32*$CG$15</f>
        <v>5</v>
      </c>
      <c r="AV32" s="26">
        <f>P32*$CH$15</f>
        <v>8.3324999999999996</v>
      </c>
      <c r="AW32" s="26">
        <f>$CI$15*Q32</f>
        <v>11.6655</v>
      </c>
      <c r="AX32" s="26">
        <f>S32*$CJ$15</f>
        <v>4276.4696000000004</v>
      </c>
      <c r="AY32" s="26">
        <f>T32*$CK$15</f>
        <v>-3610.0722000000001</v>
      </c>
      <c r="AZ32" s="26">
        <f>V32*$CL$15</f>
        <v>1240</v>
      </c>
      <c r="BA32" s="26">
        <f>W32*$CM$15</f>
        <v>1008</v>
      </c>
      <c r="BB32" s="26">
        <f>X32*$CN$15</f>
        <v>-2266.03728</v>
      </c>
      <c r="BC32" s="26">
        <f>Y32*$CO$15</f>
        <v>130.00001040000001</v>
      </c>
      <c r="BD32" s="26">
        <f>$CP$15*Z32</f>
        <v>262.64040000000006</v>
      </c>
      <c r="BE32" s="26">
        <f>AA32*$CQ$15</f>
        <v>-580</v>
      </c>
      <c r="BF32" s="26">
        <f>AB32*$CR$15</f>
        <v>99.733423999999999</v>
      </c>
      <c r="BG32" s="26">
        <f>AC32*$CS$15</f>
        <v>203.6781</v>
      </c>
      <c r="BH32" s="26">
        <f>$CT$15*AD32</f>
        <v>273.1497</v>
      </c>
      <c r="BI32" s="26">
        <f>AE32*$CU$15</f>
        <v>274.84206600000005</v>
      </c>
      <c r="BJ32" s="26">
        <f>$CV$15*AF32</f>
        <v>516.61500000000001</v>
      </c>
      <c r="BK32" s="26">
        <f>AG32*$CW$15</f>
        <v>2203.9669400000002</v>
      </c>
      <c r="BL32" s="26">
        <f>AH32*$CX$15</f>
        <v>408.56200000000001</v>
      </c>
      <c r="BM32" s="26">
        <f>AI32*$CY$15</f>
        <v>185</v>
      </c>
      <c r="BN32" s="26">
        <f>AJ32*$CZ$15</f>
        <v>48</v>
      </c>
      <c r="BO32" s="26">
        <f>AK32*$DA$15</f>
        <v>-994.45240000000001</v>
      </c>
      <c r="BP32" s="26">
        <f>AL32*$DB$15</f>
        <v>535.50199999999995</v>
      </c>
      <c r="BQ32" s="26">
        <f>SUM(Table9[[#This Row],[SCW]:[SCPF]])</f>
        <v>7099.8170163999985</v>
      </c>
    </row>
    <row r="33" spans="1:69" x14ac:dyDescent="0.45">
      <c r="A33" s="3">
        <v>30</v>
      </c>
      <c r="B33" s="4" t="s">
        <v>291</v>
      </c>
      <c r="C33" s="3">
        <v>31</v>
      </c>
      <c r="D33" s="3">
        <v>24</v>
      </c>
      <c r="E33" s="3">
        <v>7</v>
      </c>
      <c r="F33" s="3">
        <v>0.77400000000000002</v>
      </c>
      <c r="G33" s="3">
        <v>13.88</v>
      </c>
      <c r="H33" s="3">
        <v>9.7200000000000006</v>
      </c>
      <c r="I33" s="3"/>
      <c r="J33" s="3">
        <v>15</v>
      </c>
      <c r="K33" s="3">
        <v>5</v>
      </c>
      <c r="L33" s="3"/>
      <c r="M33" s="3">
        <v>12</v>
      </c>
      <c r="N33" s="3">
        <v>4</v>
      </c>
      <c r="O33" s="3"/>
      <c r="P33" s="3">
        <v>9</v>
      </c>
      <c r="Q33" s="3">
        <v>2</v>
      </c>
      <c r="R33" s="3"/>
      <c r="S33" s="3">
        <v>2192</v>
      </c>
      <c r="T33" s="3">
        <v>2063</v>
      </c>
      <c r="U33" s="3"/>
      <c r="V33" s="3">
        <v>1240</v>
      </c>
      <c r="W33" s="3">
        <v>775</v>
      </c>
      <c r="X33" s="3">
        <v>1822</v>
      </c>
      <c r="Y33" s="3">
        <v>0.42499999999999999</v>
      </c>
      <c r="Z33" s="3">
        <v>205</v>
      </c>
      <c r="AA33" s="3">
        <v>657</v>
      </c>
      <c r="AB33" s="3">
        <v>0.312</v>
      </c>
      <c r="AC33" s="3">
        <v>437</v>
      </c>
      <c r="AD33" s="3">
        <v>589</v>
      </c>
      <c r="AE33" s="3">
        <v>0.74199999999999999</v>
      </c>
      <c r="AF33" s="3">
        <v>288</v>
      </c>
      <c r="AG33" s="3">
        <v>1083</v>
      </c>
      <c r="AH33" s="3">
        <v>343</v>
      </c>
      <c r="AI33" s="3">
        <v>164</v>
      </c>
      <c r="AJ33" s="3">
        <v>87</v>
      </c>
      <c r="AK33" s="3">
        <v>265</v>
      </c>
      <c r="AL33" s="3">
        <v>526</v>
      </c>
      <c r="AM33" s="25">
        <f>D33*$BY$15</f>
        <v>53.328000000000003</v>
      </c>
      <c r="AN33" s="26">
        <f>$BZ$15*E33</f>
        <v>-15.540000000000001</v>
      </c>
      <c r="AO33" s="26">
        <f>F33*$CA$15</f>
        <v>171.99982800000001</v>
      </c>
      <c r="AP33" s="26">
        <f>G33*$CB$15</f>
        <v>1221.44</v>
      </c>
      <c r="AQ33" s="26">
        <f>H33*$CC$15</f>
        <v>1312.2</v>
      </c>
      <c r="AR33" s="26">
        <f>J33*$CD$15</f>
        <v>33</v>
      </c>
      <c r="AS33" s="26">
        <f>K33*$CE$15</f>
        <v>-11</v>
      </c>
      <c r="AT33" s="26">
        <f>M33*$CF$15</f>
        <v>12</v>
      </c>
      <c r="AU33" s="26">
        <f>N33*$CG$15</f>
        <v>4</v>
      </c>
      <c r="AV33" s="26">
        <f>P33*$CH$15</f>
        <v>14.998499999999998</v>
      </c>
      <c r="AW33" s="26">
        <f>$CI$15*Q33</f>
        <v>3.3329999999999997</v>
      </c>
      <c r="AX33" s="26">
        <f>S33*$CJ$15</f>
        <v>4140.4687999999996</v>
      </c>
      <c r="AY33" s="26">
        <f>T33*$CK$15</f>
        <v>-3438.4021000000002</v>
      </c>
      <c r="AZ33" s="26">
        <f>V33*$CL$15</f>
        <v>1240</v>
      </c>
      <c r="BA33" s="26">
        <f>W33*$CM$15</f>
        <v>930</v>
      </c>
      <c r="BB33" s="26">
        <f>X33*$CN$15</f>
        <v>-2301.4046400000002</v>
      </c>
      <c r="BC33" s="26">
        <f>Y33*$CO$15</f>
        <v>118.055565</v>
      </c>
      <c r="BD33" s="26">
        <f>$CP$15*Z33</f>
        <v>273.30600000000004</v>
      </c>
      <c r="BE33" s="26">
        <f>AA33*$CQ$15</f>
        <v>-657</v>
      </c>
      <c r="BF33" s="26">
        <f>AB33*$CR$15</f>
        <v>91.520083200000002</v>
      </c>
      <c r="BG33" s="26">
        <f>AC33*$CS$15</f>
        <v>229.9931</v>
      </c>
      <c r="BH33" s="26">
        <f>$CT$15*AD33</f>
        <v>309.9907</v>
      </c>
      <c r="BI33" s="26">
        <f>AE33*$CU$15</f>
        <v>273.36838200000005</v>
      </c>
      <c r="BJ33" s="26">
        <f>$CV$15*AF33</f>
        <v>479.95199999999994</v>
      </c>
      <c r="BK33" s="26">
        <f>AG33*$CW$15</f>
        <v>2165.9675100000004</v>
      </c>
      <c r="BL33" s="26">
        <f>AH33*$CX$15</f>
        <v>318.49264999999997</v>
      </c>
      <c r="BM33" s="26">
        <f>AI33*$CY$15</f>
        <v>205</v>
      </c>
      <c r="BN33" s="26">
        <f>AJ33*$CZ$15</f>
        <v>43.5</v>
      </c>
      <c r="BO33" s="26">
        <f>AK33*$DA$15</f>
        <v>-736.11699999999996</v>
      </c>
      <c r="BP33" s="26">
        <f>AL33*$DB$15</f>
        <v>584.38599999999997</v>
      </c>
      <c r="BQ33" s="26">
        <f>SUM(Table9[[#This Row],[SCW]:[SCPF]])</f>
        <v>7070.8363781999997</v>
      </c>
    </row>
    <row r="34" spans="1:69" x14ac:dyDescent="0.45">
      <c r="A34" s="3">
        <v>34</v>
      </c>
      <c r="B34" s="4" t="s">
        <v>295</v>
      </c>
      <c r="C34" s="3">
        <v>31</v>
      </c>
      <c r="D34" s="3">
        <v>18</v>
      </c>
      <c r="E34" s="3">
        <v>13</v>
      </c>
      <c r="F34" s="3">
        <v>0.58099999999999996</v>
      </c>
      <c r="G34" s="3">
        <v>13.37</v>
      </c>
      <c r="H34" s="3">
        <v>8.66</v>
      </c>
      <c r="I34" s="3"/>
      <c r="J34" s="3">
        <v>8</v>
      </c>
      <c r="K34" s="3">
        <v>11</v>
      </c>
      <c r="L34" s="3"/>
      <c r="M34" s="3">
        <v>13</v>
      </c>
      <c r="N34" s="3">
        <v>5</v>
      </c>
      <c r="O34" s="3"/>
      <c r="P34" s="3">
        <v>4</v>
      </c>
      <c r="Q34" s="3">
        <v>6</v>
      </c>
      <c r="R34" s="3"/>
      <c r="S34" s="3">
        <v>2292</v>
      </c>
      <c r="T34" s="3">
        <v>2146</v>
      </c>
      <c r="U34" s="3"/>
      <c r="V34" s="3">
        <v>1260</v>
      </c>
      <c r="W34" s="3">
        <v>813</v>
      </c>
      <c r="X34" s="3">
        <v>1822</v>
      </c>
      <c r="Y34" s="3">
        <v>0.44600000000000001</v>
      </c>
      <c r="Z34" s="3">
        <v>211</v>
      </c>
      <c r="AA34" s="3">
        <v>650</v>
      </c>
      <c r="AB34" s="3">
        <v>0.32500000000000001</v>
      </c>
      <c r="AC34" s="3">
        <v>455</v>
      </c>
      <c r="AD34" s="3">
        <v>649</v>
      </c>
      <c r="AE34" s="3">
        <v>0.70099999999999996</v>
      </c>
      <c r="AF34" s="3">
        <v>322</v>
      </c>
      <c r="AG34" s="3">
        <v>1155</v>
      </c>
      <c r="AH34" s="3">
        <v>450</v>
      </c>
      <c r="AI34" s="3">
        <v>226</v>
      </c>
      <c r="AJ34" s="3">
        <v>135</v>
      </c>
      <c r="AK34" s="3">
        <v>359</v>
      </c>
      <c r="AL34" s="3">
        <v>479</v>
      </c>
      <c r="AM34" s="25">
        <f>D34*$BY$15</f>
        <v>39.996000000000002</v>
      </c>
      <c r="AN34" s="26">
        <f>$BZ$15*E34</f>
        <v>-28.860000000000003</v>
      </c>
      <c r="AO34" s="26">
        <f>F34*$CA$15</f>
        <v>129.11098200000001</v>
      </c>
      <c r="AP34" s="26">
        <f>G34*$CB$15</f>
        <v>1176.56</v>
      </c>
      <c r="AQ34" s="26">
        <f>H34*$CC$15</f>
        <v>1169.0999999999999</v>
      </c>
      <c r="AR34" s="26">
        <f>J34*$CD$15</f>
        <v>17.600000000000001</v>
      </c>
      <c r="AS34" s="26">
        <f>K34*$CE$15</f>
        <v>-24.200000000000003</v>
      </c>
      <c r="AT34" s="26">
        <f>M34*$CF$15</f>
        <v>13</v>
      </c>
      <c r="AU34" s="26">
        <f>N34*$CG$15</f>
        <v>5</v>
      </c>
      <c r="AV34" s="26">
        <f>P34*$CH$15</f>
        <v>6.6659999999999995</v>
      </c>
      <c r="AW34" s="26">
        <f>$CI$15*Q34</f>
        <v>9.9989999999999988</v>
      </c>
      <c r="AX34" s="26">
        <f>S34*$CJ$15</f>
        <v>4329.3588</v>
      </c>
      <c r="AY34" s="26">
        <f>T34*$CK$15</f>
        <v>-3576.7382000000002</v>
      </c>
      <c r="AZ34" s="26">
        <f>V34*$CL$15</f>
        <v>1260</v>
      </c>
      <c r="BA34" s="26">
        <f>W34*$CM$15</f>
        <v>975.59999999999991</v>
      </c>
      <c r="BB34" s="26">
        <f>X34*$CN$15</f>
        <v>-2301.4046400000002</v>
      </c>
      <c r="BC34" s="26">
        <f>Y34*$CO$15</f>
        <v>123.88889880000001</v>
      </c>
      <c r="BD34" s="26">
        <f>$CP$15*Z34</f>
        <v>281.30520000000001</v>
      </c>
      <c r="BE34" s="26">
        <f>AA34*$CQ$15</f>
        <v>-650</v>
      </c>
      <c r="BF34" s="26">
        <f>AB34*$CR$15</f>
        <v>95.333420000000004</v>
      </c>
      <c r="BG34" s="26">
        <f>AC34*$CS$15</f>
        <v>239.4665</v>
      </c>
      <c r="BH34" s="26">
        <f>$CT$15*AD34</f>
        <v>341.56869999999998</v>
      </c>
      <c r="BI34" s="26">
        <f>AE34*$CU$15</f>
        <v>258.26312100000001</v>
      </c>
      <c r="BJ34" s="26">
        <f>$CV$15*AF34</f>
        <v>536.61299999999994</v>
      </c>
      <c r="BK34" s="26">
        <f>AG34*$CW$15</f>
        <v>2309.9653500000004</v>
      </c>
      <c r="BL34" s="26">
        <f>AH34*$CX$15</f>
        <v>417.84749999999997</v>
      </c>
      <c r="BM34" s="26">
        <f>AI34*$CY$15</f>
        <v>282.5</v>
      </c>
      <c r="BN34" s="26">
        <f>AJ34*$CZ$15</f>
        <v>67.5</v>
      </c>
      <c r="BO34" s="26">
        <f>AK34*$DA$15</f>
        <v>-997.23019999999997</v>
      </c>
      <c r="BP34" s="26">
        <f>AL34*$DB$15</f>
        <v>532.16899999999998</v>
      </c>
      <c r="BQ34" s="26">
        <f>SUM(Table9[[#This Row],[SCW]:[SCPF]])</f>
        <v>7039.9784317999993</v>
      </c>
    </row>
    <row r="35" spans="1:69" x14ac:dyDescent="0.45">
      <c r="A35" s="3">
        <v>61</v>
      </c>
      <c r="B35" s="4" t="s">
        <v>318</v>
      </c>
      <c r="C35" s="3">
        <v>34</v>
      </c>
      <c r="D35" s="3">
        <v>23</v>
      </c>
      <c r="E35" s="3">
        <v>11</v>
      </c>
      <c r="F35" s="3">
        <v>0.67600000000000005</v>
      </c>
      <c r="G35" s="3">
        <v>10.47</v>
      </c>
      <c r="H35" s="3">
        <v>3.53</v>
      </c>
      <c r="I35" s="3"/>
      <c r="J35" s="3">
        <v>12</v>
      </c>
      <c r="K35" s="3">
        <v>6</v>
      </c>
      <c r="L35" s="3"/>
      <c r="M35" s="3">
        <v>14</v>
      </c>
      <c r="N35" s="3">
        <v>4</v>
      </c>
      <c r="O35" s="3"/>
      <c r="P35" s="3">
        <v>5</v>
      </c>
      <c r="Q35" s="3">
        <v>6</v>
      </c>
      <c r="R35" s="3"/>
      <c r="S35" s="3">
        <v>2598</v>
      </c>
      <c r="T35" s="3">
        <v>2296</v>
      </c>
      <c r="U35" s="3"/>
      <c r="V35" s="3">
        <v>1375</v>
      </c>
      <c r="W35" s="3">
        <v>933</v>
      </c>
      <c r="X35" s="3">
        <v>2030</v>
      </c>
      <c r="Y35" s="3">
        <v>0.46</v>
      </c>
      <c r="Z35" s="3">
        <v>231</v>
      </c>
      <c r="AA35" s="3">
        <v>622</v>
      </c>
      <c r="AB35" s="3">
        <v>0.371</v>
      </c>
      <c r="AC35" s="3">
        <v>501</v>
      </c>
      <c r="AD35" s="3">
        <v>657</v>
      </c>
      <c r="AE35" s="3">
        <v>0.76300000000000001</v>
      </c>
      <c r="AF35" s="3">
        <v>403</v>
      </c>
      <c r="AG35" s="3">
        <v>1312</v>
      </c>
      <c r="AH35" s="3">
        <v>504</v>
      </c>
      <c r="AI35" s="3">
        <v>222</v>
      </c>
      <c r="AJ35" s="3">
        <v>108</v>
      </c>
      <c r="AK35" s="3">
        <v>437</v>
      </c>
      <c r="AL35" s="3">
        <v>617</v>
      </c>
      <c r="AM35" s="23">
        <f>D35*$BY$15</f>
        <v>51.106000000000002</v>
      </c>
      <c r="AN35" s="24">
        <f>$BZ$15*E35</f>
        <v>-24.42</v>
      </c>
      <c r="AO35" s="24">
        <f>F35*$CA$15</f>
        <v>150.22207200000003</v>
      </c>
      <c r="AP35" s="24">
        <f>G35*$CB$15</f>
        <v>921.36</v>
      </c>
      <c r="AQ35" s="24">
        <f>H35*$CC$15</f>
        <v>476.54999999999995</v>
      </c>
      <c r="AR35" s="24">
        <f>J35*$CD$15</f>
        <v>26.400000000000002</v>
      </c>
      <c r="AS35" s="24">
        <f>K35*$CE$15</f>
        <v>-13.200000000000001</v>
      </c>
      <c r="AT35" s="24">
        <f>M35*$CF$15</f>
        <v>14</v>
      </c>
      <c r="AU35" s="24">
        <f>N35*$CG$15</f>
        <v>4</v>
      </c>
      <c r="AV35" s="24">
        <f>P35*$CH$15</f>
        <v>8.3324999999999996</v>
      </c>
      <c r="AW35" s="24">
        <f>$CI$15*Q35</f>
        <v>9.9989999999999988</v>
      </c>
      <c r="AX35" s="24">
        <f>S35*$CJ$15</f>
        <v>4907.3622000000005</v>
      </c>
      <c r="AY35" s="24">
        <f>T35*$CK$15</f>
        <v>-3826.7432000000003</v>
      </c>
      <c r="AZ35" s="24">
        <f>V35*$CL$15</f>
        <v>1375</v>
      </c>
      <c r="BA35" s="24">
        <f>W35*$CM$15</f>
        <v>1119.5999999999999</v>
      </c>
      <c r="BB35" s="24">
        <f>X35*$CN$15</f>
        <v>-2564.1336000000001</v>
      </c>
      <c r="BC35" s="24">
        <f>Y35*$CO$15</f>
        <v>127.77778800000002</v>
      </c>
      <c r="BD35" s="24">
        <f>$CP$15*Z35</f>
        <v>307.96920000000006</v>
      </c>
      <c r="BE35" s="24">
        <f>AA35*$CQ$15</f>
        <v>-622</v>
      </c>
      <c r="BF35" s="24">
        <f>AB35*$CR$15</f>
        <v>108.8267656</v>
      </c>
      <c r="BG35" s="24">
        <f>AC35*$CS$15</f>
        <v>263.67629999999997</v>
      </c>
      <c r="BH35" s="24">
        <f>$CT$15*AD35</f>
        <v>345.77909999999997</v>
      </c>
      <c r="BI35" s="24">
        <f>AE35*$CU$15</f>
        <v>281.10522300000002</v>
      </c>
      <c r="BJ35" s="24">
        <f>$CV$15*AF35</f>
        <v>671.59949999999992</v>
      </c>
      <c r="BK35" s="24">
        <f>AG35*$CW$15</f>
        <v>2623.9606400000002</v>
      </c>
      <c r="BL35" s="24">
        <f>AH35*$CX$15</f>
        <v>467.98919999999998</v>
      </c>
      <c r="BM35" s="24">
        <f>AI35*$CY$15</f>
        <v>277.5</v>
      </c>
      <c r="BN35" s="24">
        <f>AJ35*$CZ$15</f>
        <v>54</v>
      </c>
      <c r="BO35" s="24">
        <f>AK35*$DA$15</f>
        <v>-1213.8986</v>
      </c>
      <c r="BP35" s="24">
        <f>AL35*$DB$15</f>
        <v>685.48699999999997</v>
      </c>
      <c r="BQ35" s="24">
        <f>SUM(Table9[[#This Row],[SCW]:[SCPF]])</f>
        <v>7015.2070885999992</v>
      </c>
    </row>
    <row r="36" spans="1:69" x14ac:dyDescent="0.45">
      <c r="A36" s="3">
        <v>39</v>
      </c>
      <c r="B36" s="4" t="s">
        <v>300</v>
      </c>
      <c r="C36" s="3">
        <v>32</v>
      </c>
      <c r="D36" s="3">
        <v>20</v>
      </c>
      <c r="E36" s="3">
        <v>12</v>
      </c>
      <c r="F36" s="3">
        <v>0.625</v>
      </c>
      <c r="G36" s="3">
        <v>12.89</v>
      </c>
      <c r="H36" s="3">
        <v>9.8000000000000007</v>
      </c>
      <c r="I36" s="3"/>
      <c r="J36" s="3">
        <v>8</v>
      </c>
      <c r="K36" s="3">
        <v>10</v>
      </c>
      <c r="L36" s="3"/>
      <c r="M36" s="3">
        <v>12</v>
      </c>
      <c r="N36" s="3">
        <v>4</v>
      </c>
      <c r="O36" s="3"/>
      <c r="P36" s="3">
        <v>4</v>
      </c>
      <c r="Q36" s="3">
        <v>6</v>
      </c>
      <c r="R36" s="3"/>
      <c r="S36" s="3">
        <v>2179</v>
      </c>
      <c r="T36" s="3">
        <v>2080</v>
      </c>
      <c r="U36" s="3"/>
      <c r="V36" s="3">
        <v>1285</v>
      </c>
      <c r="W36" s="3">
        <v>809</v>
      </c>
      <c r="X36" s="3">
        <v>1836</v>
      </c>
      <c r="Y36" s="3">
        <v>0.441</v>
      </c>
      <c r="Z36" s="3">
        <v>178</v>
      </c>
      <c r="AA36" s="3">
        <v>586</v>
      </c>
      <c r="AB36" s="3">
        <v>0.30399999999999999</v>
      </c>
      <c r="AC36" s="3">
        <v>383</v>
      </c>
      <c r="AD36" s="3">
        <v>573</v>
      </c>
      <c r="AE36" s="3">
        <v>0.66800000000000004</v>
      </c>
      <c r="AF36" s="3">
        <v>414</v>
      </c>
      <c r="AG36" s="3">
        <v>1239</v>
      </c>
      <c r="AH36" s="3">
        <v>436</v>
      </c>
      <c r="AI36" s="3">
        <v>201</v>
      </c>
      <c r="AJ36" s="3">
        <v>135</v>
      </c>
      <c r="AK36" s="3">
        <v>465</v>
      </c>
      <c r="AL36" s="3">
        <v>490</v>
      </c>
      <c r="AM36" s="23">
        <f>D36*$BY$15</f>
        <v>44.44</v>
      </c>
      <c r="AN36" s="24">
        <f>$BZ$15*E36</f>
        <v>-26.64</v>
      </c>
      <c r="AO36" s="24">
        <f>F36*$CA$15</f>
        <v>138.88875000000002</v>
      </c>
      <c r="AP36" s="24">
        <f>G36*$CB$15</f>
        <v>1134.3200000000002</v>
      </c>
      <c r="AQ36" s="24">
        <f>H36*$CC$15</f>
        <v>1323</v>
      </c>
      <c r="AR36" s="24">
        <f>J36*$CD$15</f>
        <v>17.600000000000001</v>
      </c>
      <c r="AS36" s="24">
        <f>K36*$CE$15</f>
        <v>-22</v>
      </c>
      <c r="AT36" s="24">
        <f>M36*$CF$15</f>
        <v>12</v>
      </c>
      <c r="AU36" s="24">
        <f>N36*$CG$15</f>
        <v>4</v>
      </c>
      <c r="AV36" s="24">
        <f>P36*$CH$15</f>
        <v>6.6659999999999995</v>
      </c>
      <c r="AW36" s="24">
        <f>$CI$15*Q36</f>
        <v>9.9989999999999988</v>
      </c>
      <c r="AX36" s="24">
        <f>S36*$CJ$15</f>
        <v>4115.9130999999998</v>
      </c>
      <c r="AY36" s="24">
        <f>T36*$CK$15</f>
        <v>-3466.7360000000003</v>
      </c>
      <c r="AZ36" s="24">
        <f>V36*$CL$15</f>
        <v>1285</v>
      </c>
      <c r="BA36" s="24">
        <f>W36*$CM$15</f>
        <v>970.8</v>
      </c>
      <c r="BB36" s="24">
        <f>X36*$CN$15</f>
        <v>-2319.0883199999998</v>
      </c>
      <c r="BC36" s="24">
        <f>Y36*$CO$15</f>
        <v>122.5000098</v>
      </c>
      <c r="BD36" s="24">
        <f>$CP$15*Z36</f>
        <v>237.30960000000002</v>
      </c>
      <c r="BE36" s="24">
        <f>AA36*$CQ$15</f>
        <v>-586</v>
      </c>
      <c r="BF36" s="24">
        <f>AB36*$CR$15</f>
        <v>89.173414399999999</v>
      </c>
      <c r="BG36" s="24">
        <f>AC36*$CS$15</f>
        <v>201.5729</v>
      </c>
      <c r="BH36" s="24">
        <f>$CT$15*AD36</f>
        <v>301.56990000000002</v>
      </c>
      <c r="BI36" s="24">
        <f>AE36*$CU$15</f>
        <v>246.10522800000004</v>
      </c>
      <c r="BJ36" s="24">
        <f>$CV$15*AF36</f>
        <v>689.93099999999993</v>
      </c>
      <c r="BK36" s="24">
        <f>AG36*$CW$15</f>
        <v>2477.9628300000004</v>
      </c>
      <c r="BL36" s="24">
        <f>AH36*$CX$15</f>
        <v>404.84780000000001</v>
      </c>
      <c r="BM36" s="24">
        <f>AI36*$CY$15</f>
        <v>251.25</v>
      </c>
      <c r="BN36" s="24">
        <f>AJ36*$CZ$15</f>
        <v>67.5</v>
      </c>
      <c r="BO36" s="24">
        <f>AK36*$DA$15</f>
        <v>-1291.6770000000001</v>
      </c>
      <c r="BP36" s="24">
        <f>AL36*$DB$15</f>
        <v>544.39</v>
      </c>
      <c r="BQ36" s="24">
        <f>SUM(Table9[[#This Row],[SCW]:[SCPF]])</f>
        <v>6984.5982122000014</v>
      </c>
    </row>
    <row r="37" spans="1:69" x14ac:dyDescent="0.45">
      <c r="A37" s="3">
        <v>49</v>
      </c>
      <c r="B37" s="4" t="s">
        <v>307</v>
      </c>
      <c r="C37" s="3">
        <v>32</v>
      </c>
      <c r="D37" s="3">
        <v>17</v>
      </c>
      <c r="E37" s="3">
        <v>15</v>
      </c>
      <c r="F37" s="3">
        <v>0.53100000000000003</v>
      </c>
      <c r="G37" s="3">
        <v>12.14</v>
      </c>
      <c r="H37" s="3">
        <v>6.7</v>
      </c>
      <c r="I37" s="3"/>
      <c r="J37" s="3">
        <v>8</v>
      </c>
      <c r="K37" s="3">
        <v>11</v>
      </c>
      <c r="L37" s="3"/>
      <c r="M37" s="3">
        <v>12</v>
      </c>
      <c r="N37" s="3">
        <v>7</v>
      </c>
      <c r="O37" s="3"/>
      <c r="P37" s="3">
        <v>4</v>
      </c>
      <c r="Q37" s="3">
        <v>7</v>
      </c>
      <c r="R37" s="3"/>
      <c r="S37" s="3">
        <v>2547</v>
      </c>
      <c r="T37" s="3">
        <v>2373</v>
      </c>
      <c r="U37" s="3"/>
      <c r="V37" s="3">
        <v>1290</v>
      </c>
      <c r="W37" s="3">
        <v>969</v>
      </c>
      <c r="X37" s="3">
        <v>2137</v>
      </c>
      <c r="Y37" s="3">
        <v>0.45300000000000001</v>
      </c>
      <c r="Z37" s="3">
        <v>232</v>
      </c>
      <c r="AA37" s="3">
        <v>692</v>
      </c>
      <c r="AB37" s="3">
        <v>0.33500000000000002</v>
      </c>
      <c r="AC37" s="3">
        <v>377</v>
      </c>
      <c r="AD37" s="3">
        <v>557</v>
      </c>
      <c r="AE37" s="3">
        <v>0.67700000000000005</v>
      </c>
      <c r="AF37" s="3">
        <v>383</v>
      </c>
      <c r="AG37" s="3">
        <v>1211</v>
      </c>
      <c r="AH37" s="3">
        <v>600</v>
      </c>
      <c r="AI37" s="3">
        <v>283</v>
      </c>
      <c r="AJ37" s="3">
        <v>175</v>
      </c>
      <c r="AK37" s="3">
        <v>381</v>
      </c>
      <c r="AL37" s="3">
        <v>572</v>
      </c>
      <c r="AM37" s="23">
        <f>D37*$BY$15</f>
        <v>37.774000000000001</v>
      </c>
      <c r="AN37" s="24">
        <f>$BZ$15*E37</f>
        <v>-33.300000000000004</v>
      </c>
      <c r="AO37" s="24">
        <f>F37*$CA$15</f>
        <v>117.99988200000001</v>
      </c>
      <c r="AP37" s="24">
        <f>G37*$CB$15</f>
        <v>1068.3200000000002</v>
      </c>
      <c r="AQ37" s="24">
        <f>H37*$CC$15</f>
        <v>904.5</v>
      </c>
      <c r="AR37" s="24">
        <f>J37*$CD$15</f>
        <v>17.600000000000001</v>
      </c>
      <c r="AS37" s="24">
        <f>K37*$CE$15</f>
        <v>-24.200000000000003</v>
      </c>
      <c r="AT37" s="24">
        <f>M37*$CF$15</f>
        <v>12</v>
      </c>
      <c r="AU37" s="24">
        <f>N37*$CG$15</f>
        <v>7</v>
      </c>
      <c r="AV37" s="24">
        <f>P37*$CH$15</f>
        <v>6.6659999999999995</v>
      </c>
      <c r="AW37" s="24">
        <f>$CI$15*Q37</f>
        <v>11.6655</v>
      </c>
      <c r="AX37" s="24">
        <f>S37*$CJ$15</f>
        <v>4811.0282999999999</v>
      </c>
      <c r="AY37" s="24">
        <f>T37*$CK$15</f>
        <v>-3955.0791000000004</v>
      </c>
      <c r="AZ37" s="24">
        <f>V37*$CL$15</f>
        <v>1290</v>
      </c>
      <c r="BA37" s="24">
        <f>W37*$CM$15</f>
        <v>1162.8</v>
      </c>
      <c r="BB37" s="24">
        <f>X37*$CN$15</f>
        <v>-2699.2874400000001</v>
      </c>
      <c r="BC37" s="24">
        <f>Y37*$CO$15</f>
        <v>125.8333434</v>
      </c>
      <c r="BD37" s="24">
        <f>$CP$15*Z37</f>
        <v>309.30240000000003</v>
      </c>
      <c r="BE37" s="24">
        <f>AA37*$CQ$15</f>
        <v>-692</v>
      </c>
      <c r="BF37" s="24">
        <f>AB37*$CR$15</f>
        <v>98.266756000000001</v>
      </c>
      <c r="BG37" s="24">
        <f>AC37*$CS$15</f>
        <v>198.4151</v>
      </c>
      <c r="BH37" s="24">
        <f>$CT$15*AD37</f>
        <v>293.14909999999998</v>
      </c>
      <c r="BI37" s="24">
        <f>AE37*$CU$15</f>
        <v>249.42101700000006</v>
      </c>
      <c r="BJ37" s="24">
        <f>$CV$15*AF37</f>
        <v>638.26949999999999</v>
      </c>
      <c r="BK37" s="24">
        <f>AG37*$CW$15</f>
        <v>2421.9636700000001</v>
      </c>
      <c r="BL37" s="24">
        <f>AH37*$CX$15</f>
        <v>557.13</v>
      </c>
      <c r="BM37" s="24">
        <f>AI37*$CY$15</f>
        <v>353.75</v>
      </c>
      <c r="BN37" s="24">
        <f>AJ37*$CZ$15</f>
        <v>87.5</v>
      </c>
      <c r="BO37" s="24">
        <f>AK37*$DA$15</f>
        <v>-1058.3417999999999</v>
      </c>
      <c r="BP37" s="24">
        <f>AL37*$DB$15</f>
        <v>635.49199999999996</v>
      </c>
      <c r="BQ37" s="24">
        <f>SUM(Table9[[#This Row],[SCW]:[SCPF]])</f>
        <v>6953.6382284000001</v>
      </c>
    </row>
    <row r="38" spans="1:69" x14ac:dyDescent="0.45">
      <c r="A38" s="3">
        <v>24</v>
      </c>
      <c r="B38" s="4" t="s">
        <v>285</v>
      </c>
      <c r="C38" s="3">
        <v>30</v>
      </c>
      <c r="D38" s="3">
        <v>19</v>
      </c>
      <c r="E38" s="3">
        <v>11</v>
      </c>
      <c r="F38" s="3">
        <v>0.63300000000000001</v>
      </c>
      <c r="G38" s="3">
        <v>14.38</v>
      </c>
      <c r="H38" s="3">
        <v>9.0500000000000007</v>
      </c>
      <c r="I38" s="3"/>
      <c r="J38" s="3">
        <v>12</v>
      </c>
      <c r="K38" s="3">
        <v>8</v>
      </c>
      <c r="L38" s="3"/>
      <c r="M38" s="3">
        <v>13</v>
      </c>
      <c r="N38" s="3">
        <v>3</v>
      </c>
      <c r="O38" s="3"/>
      <c r="P38" s="3">
        <v>5</v>
      </c>
      <c r="Q38" s="3">
        <v>6</v>
      </c>
      <c r="R38" s="3"/>
      <c r="S38" s="3">
        <v>2214</v>
      </c>
      <c r="T38" s="3">
        <v>2054</v>
      </c>
      <c r="U38" s="3"/>
      <c r="V38" s="3">
        <v>1210</v>
      </c>
      <c r="W38" s="3">
        <v>777</v>
      </c>
      <c r="X38" s="3">
        <v>1640</v>
      </c>
      <c r="Y38" s="3">
        <v>0.47399999999999998</v>
      </c>
      <c r="Z38" s="3">
        <v>243</v>
      </c>
      <c r="AA38" s="3">
        <v>651</v>
      </c>
      <c r="AB38" s="3">
        <v>0.373</v>
      </c>
      <c r="AC38" s="3">
        <v>417</v>
      </c>
      <c r="AD38" s="3">
        <v>549</v>
      </c>
      <c r="AE38" s="3">
        <v>0.76</v>
      </c>
      <c r="AF38" s="3">
        <v>265</v>
      </c>
      <c r="AG38" s="3">
        <v>1031</v>
      </c>
      <c r="AH38" s="3">
        <v>383</v>
      </c>
      <c r="AI38" s="3">
        <v>133</v>
      </c>
      <c r="AJ38" s="3">
        <v>144</v>
      </c>
      <c r="AK38" s="3">
        <v>329</v>
      </c>
      <c r="AL38" s="3">
        <v>491</v>
      </c>
      <c r="AM38" s="25">
        <f>D38*$BY$15</f>
        <v>42.217999999999996</v>
      </c>
      <c r="AN38" s="26">
        <f>$BZ$15*E38</f>
        <v>-24.42</v>
      </c>
      <c r="AO38" s="26">
        <f>F38*$CA$15</f>
        <v>140.666526</v>
      </c>
      <c r="AP38" s="26">
        <f>G38*$CB$15</f>
        <v>1265.44</v>
      </c>
      <c r="AQ38" s="26">
        <f>H38*$CC$15</f>
        <v>1221.75</v>
      </c>
      <c r="AR38" s="26">
        <f>J38*$CD$15</f>
        <v>26.400000000000002</v>
      </c>
      <c r="AS38" s="26">
        <f>K38*$CE$15</f>
        <v>-17.600000000000001</v>
      </c>
      <c r="AT38" s="26">
        <f>M38*$CF$15</f>
        <v>13</v>
      </c>
      <c r="AU38" s="26">
        <f>N38*$CG$15</f>
        <v>3</v>
      </c>
      <c r="AV38" s="26">
        <f>P38*$CH$15</f>
        <v>8.3324999999999996</v>
      </c>
      <c r="AW38" s="26">
        <f>$CI$15*Q38</f>
        <v>9.9989999999999988</v>
      </c>
      <c r="AX38" s="26">
        <f>S38*$CJ$15</f>
        <v>4182.0245999999997</v>
      </c>
      <c r="AY38" s="26">
        <f>T38*$CK$15</f>
        <v>-3423.4018000000001</v>
      </c>
      <c r="AZ38" s="26">
        <f>V38*$CL$15</f>
        <v>1210</v>
      </c>
      <c r="BA38" s="26">
        <f>W38*$CM$15</f>
        <v>932.4</v>
      </c>
      <c r="BB38" s="26">
        <f>X38*$CN$15</f>
        <v>-2071.5167999999999</v>
      </c>
      <c r="BC38" s="26">
        <f>Y38*$CO$15</f>
        <v>131.66667720000001</v>
      </c>
      <c r="BD38" s="26">
        <f>$CP$15*Z38</f>
        <v>323.96760000000006</v>
      </c>
      <c r="BE38" s="26">
        <f>AA38*$CQ$15</f>
        <v>-651</v>
      </c>
      <c r="BF38" s="26">
        <f>AB38*$CR$15</f>
        <v>109.4134328</v>
      </c>
      <c r="BG38" s="26">
        <f>AC38*$CS$15</f>
        <v>219.46709999999999</v>
      </c>
      <c r="BH38" s="26">
        <f>$CT$15*AD38</f>
        <v>288.93869999999998</v>
      </c>
      <c r="BI38" s="26">
        <f>AE38*$CU$15</f>
        <v>279.99996000000004</v>
      </c>
      <c r="BJ38" s="26">
        <f>$CV$15*AF38</f>
        <v>441.62249999999995</v>
      </c>
      <c r="BK38" s="26">
        <f>AG38*$CW$15</f>
        <v>2061.9690700000001</v>
      </c>
      <c r="BL38" s="26">
        <f>AH38*$CX$15</f>
        <v>355.63465000000002</v>
      </c>
      <c r="BM38" s="26">
        <f>AI38*$CY$15</f>
        <v>166.25</v>
      </c>
      <c r="BN38" s="26">
        <f>AJ38*$CZ$15</f>
        <v>72</v>
      </c>
      <c r="BO38" s="26">
        <f>AK38*$DA$15</f>
        <v>-913.89620000000002</v>
      </c>
      <c r="BP38" s="26">
        <f>AL38*$DB$15</f>
        <v>545.50099999999998</v>
      </c>
      <c r="BQ38" s="26">
        <f>SUM(Table9[[#This Row],[SCW]:[SCPF]])</f>
        <v>6949.826516000001</v>
      </c>
    </row>
    <row r="39" spans="1:69" x14ac:dyDescent="0.45">
      <c r="A39" s="3">
        <v>26</v>
      </c>
      <c r="B39" s="4" t="s">
        <v>287</v>
      </c>
      <c r="C39" s="3">
        <v>35</v>
      </c>
      <c r="D39" s="3">
        <v>23</v>
      </c>
      <c r="E39" s="3">
        <v>12</v>
      </c>
      <c r="F39" s="3">
        <v>0.65700000000000003</v>
      </c>
      <c r="G39" s="3">
        <v>14.19</v>
      </c>
      <c r="H39" s="3">
        <v>5.73</v>
      </c>
      <c r="I39" s="3"/>
      <c r="J39" s="3">
        <v>11</v>
      </c>
      <c r="K39" s="3">
        <v>9</v>
      </c>
      <c r="L39" s="3"/>
      <c r="M39" s="3">
        <v>11</v>
      </c>
      <c r="N39" s="3">
        <v>4</v>
      </c>
      <c r="O39" s="3"/>
      <c r="P39" s="3">
        <v>7</v>
      </c>
      <c r="Q39" s="3">
        <v>6</v>
      </c>
      <c r="R39" s="3"/>
      <c r="S39" s="3">
        <v>2476</v>
      </c>
      <c r="T39" s="3">
        <v>2180</v>
      </c>
      <c r="U39" s="3"/>
      <c r="V39" s="3">
        <v>1405</v>
      </c>
      <c r="W39" s="3">
        <v>910</v>
      </c>
      <c r="X39" s="3">
        <v>1934</v>
      </c>
      <c r="Y39" s="3">
        <v>0.47099999999999997</v>
      </c>
      <c r="Z39" s="3">
        <v>315</v>
      </c>
      <c r="AA39" s="3">
        <v>802</v>
      </c>
      <c r="AB39" s="3">
        <v>0.39300000000000002</v>
      </c>
      <c r="AC39" s="3">
        <v>341</v>
      </c>
      <c r="AD39" s="3">
        <v>459</v>
      </c>
      <c r="AE39" s="3">
        <v>0.74299999999999999</v>
      </c>
      <c r="AF39" s="3">
        <v>301</v>
      </c>
      <c r="AG39" s="3">
        <v>1127</v>
      </c>
      <c r="AH39" s="3">
        <v>504</v>
      </c>
      <c r="AI39" s="3">
        <v>188</v>
      </c>
      <c r="AJ39" s="3">
        <v>112</v>
      </c>
      <c r="AK39" s="3">
        <v>378</v>
      </c>
      <c r="AL39" s="3">
        <v>516</v>
      </c>
      <c r="AM39" s="25">
        <f>D39*$BY$15</f>
        <v>51.106000000000002</v>
      </c>
      <c r="AN39" s="26">
        <f>$BZ$15*E39</f>
        <v>-26.64</v>
      </c>
      <c r="AO39" s="26">
        <f>F39*$CA$15</f>
        <v>145.999854</v>
      </c>
      <c r="AP39" s="26">
        <f>G39*$CB$15</f>
        <v>1248.72</v>
      </c>
      <c r="AQ39" s="26">
        <f>H39*$CC$15</f>
        <v>773.55000000000007</v>
      </c>
      <c r="AR39" s="26">
        <f>J39*$CD$15</f>
        <v>24.200000000000003</v>
      </c>
      <c r="AS39" s="26">
        <f>K39*$CE$15</f>
        <v>-19.8</v>
      </c>
      <c r="AT39" s="26">
        <f>M39*$CF$15</f>
        <v>11</v>
      </c>
      <c r="AU39" s="26">
        <f>N39*$CG$15</f>
        <v>4</v>
      </c>
      <c r="AV39" s="26">
        <f>P39*$CH$15</f>
        <v>11.6655</v>
      </c>
      <c r="AW39" s="26">
        <f>$CI$15*Q39</f>
        <v>9.9989999999999988</v>
      </c>
      <c r="AX39" s="26">
        <f>S39*$CJ$15</f>
        <v>4676.9164000000001</v>
      </c>
      <c r="AY39" s="26">
        <f>T39*$CK$15</f>
        <v>-3633.4059999999999</v>
      </c>
      <c r="AZ39" s="26">
        <f>V39*$CL$15</f>
        <v>1405</v>
      </c>
      <c r="BA39" s="26">
        <f>W39*$CM$15</f>
        <v>1092</v>
      </c>
      <c r="BB39" s="26">
        <f>X39*$CN$15</f>
        <v>-2442.87408</v>
      </c>
      <c r="BC39" s="26">
        <f>Y39*$CO$15</f>
        <v>130.83334379999999</v>
      </c>
      <c r="BD39" s="26">
        <f>$CP$15*Z39</f>
        <v>419.95800000000003</v>
      </c>
      <c r="BE39" s="26">
        <f>AA39*$CQ$15</f>
        <v>-802</v>
      </c>
      <c r="BF39" s="26">
        <f>AB39*$CR$15</f>
        <v>115.2801048</v>
      </c>
      <c r="BG39" s="26">
        <f>AC39*$CS$15</f>
        <v>179.4683</v>
      </c>
      <c r="BH39" s="26">
        <f>$CT$15*AD39</f>
        <v>241.57169999999999</v>
      </c>
      <c r="BI39" s="26">
        <f>AE39*$CU$15</f>
        <v>273.73680300000001</v>
      </c>
      <c r="BJ39" s="26">
        <f>$CV$15*AF39</f>
        <v>501.61649999999997</v>
      </c>
      <c r="BK39" s="26">
        <f>AG39*$CW$15</f>
        <v>2253.9661900000001</v>
      </c>
      <c r="BL39" s="26">
        <f>AH39*$CX$15</f>
        <v>467.98919999999998</v>
      </c>
      <c r="BM39" s="26">
        <f>AI39*$CY$15</f>
        <v>235</v>
      </c>
      <c r="BN39" s="26">
        <f>AJ39*$CZ$15</f>
        <v>56</v>
      </c>
      <c r="BO39" s="26">
        <f>AK39*$DA$15</f>
        <v>-1050.0083999999999</v>
      </c>
      <c r="BP39" s="26">
        <f>AL39*$DB$15</f>
        <v>573.27599999999995</v>
      </c>
      <c r="BQ39" s="26">
        <f>SUM(Table9[[#This Row],[SCW]:[SCPF]])</f>
        <v>6928.1244155999993</v>
      </c>
    </row>
    <row r="40" spans="1:69" x14ac:dyDescent="0.45">
      <c r="A40" s="3">
        <v>54</v>
      </c>
      <c r="B40" s="4" t="s">
        <v>27</v>
      </c>
      <c r="C40" s="3">
        <v>34</v>
      </c>
      <c r="D40" s="3">
        <v>27</v>
      </c>
      <c r="E40" s="3">
        <v>7</v>
      </c>
      <c r="F40" s="3">
        <v>0.79400000000000004</v>
      </c>
      <c r="G40" s="3">
        <v>11.14</v>
      </c>
      <c r="H40" s="3">
        <v>-0.67</v>
      </c>
      <c r="I40" s="3"/>
      <c r="J40" s="3">
        <v>14</v>
      </c>
      <c r="K40" s="3">
        <v>4</v>
      </c>
      <c r="L40" s="3"/>
      <c r="M40" s="3">
        <v>16</v>
      </c>
      <c r="N40" s="3">
        <v>2</v>
      </c>
      <c r="O40" s="3"/>
      <c r="P40" s="3">
        <v>7</v>
      </c>
      <c r="Q40" s="3">
        <v>4</v>
      </c>
      <c r="R40" s="3"/>
      <c r="S40" s="3">
        <v>2743</v>
      </c>
      <c r="T40" s="3">
        <v>2254</v>
      </c>
      <c r="U40" s="3"/>
      <c r="V40" s="3">
        <v>1375</v>
      </c>
      <c r="W40" s="3">
        <v>1009</v>
      </c>
      <c r="X40" s="3">
        <v>2156</v>
      </c>
      <c r="Y40" s="3">
        <v>0.46800000000000003</v>
      </c>
      <c r="Z40" s="3">
        <v>271</v>
      </c>
      <c r="AA40" s="3">
        <v>715</v>
      </c>
      <c r="AB40" s="3">
        <v>0.379</v>
      </c>
      <c r="AC40" s="3">
        <v>454</v>
      </c>
      <c r="AD40" s="3">
        <v>615</v>
      </c>
      <c r="AE40" s="3">
        <v>0.73799999999999999</v>
      </c>
      <c r="AF40" s="3">
        <v>415</v>
      </c>
      <c r="AG40" s="3">
        <v>1307</v>
      </c>
      <c r="AH40" s="3">
        <v>441</v>
      </c>
      <c r="AI40" s="3">
        <v>328</v>
      </c>
      <c r="AJ40" s="3">
        <v>145</v>
      </c>
      <c r="AK40" s="3">
        <v>390</v>
      </c>
      <c r="AL40" s="3">
        <v>565</v>
      </c>
      <c r="AM40" s="25">
        <f>D40*$BY$15</f>
        <v>59.994</v>
      </c>
      <c r="AN40" s="26">
        <f>$BZ$15*E40</f>
        <v>-15.540000000000001</v>
      </c>
      <c r="AO40" s="26">
        <f>F40*$CA$15</f>
        <v>176.44426800000002</v>
      </c>
      <c r="AP40" s="26">
        <f>G40*$CB$15</f>
        <v>980.32</v>
      </c>
      <c r="AQ40" s="26">
        <f>H40*$CC$15</f>
        <v>-90.45</v>
      </c>
      <c r="AR40" s="26">
        <f>J40*$CD$15</f>
        <v>30.800000000000004</v>
      </c>
      <c r="AS40" s="26">
        <f>K40*$CE$15</f>
        <v>-8.8000000000000007</v>
      </c>
      <c r="AT40" s="26">
        <f>M40*$CF$15</f>
        <v>16</v>
      </c>
      <c r="AU40" s="26">
        <f>N40*$CG$15</f>
        <v>2</v>
      </c>
      <c r="AV40" s="26">
        <f>P40*$CH$15</f>
        <v>11.6655</v>
      </c>
      <c r="AW40" s="26">
        <f>$CI$15*Q40</f>
        <v>6.6659999999999995</v>
      </c>
      <c r="AX40" s="26">
        <f>S40*$CJ$15</f>
        <v>5181.2527</v>
      </c>
      <c r="AY40" s="26">
        <f>T40*$CK$15</f>
        <v>-3756.7418000000002</v>
      </c>
      <c r="AZ40" s="26">
        <f>V40*$CL$15</f>
        <v>1375</v>
      </c>
      <c r="BA40" s="26">
        <f>W40*$CM$15</f>
        <v>1210.8</v>
      </c>
      <c r="BB40" s="26">
        <f>X40*$CN$15</f>
        <v>-2723.2867200000001</v>
      </c>
      <c r="BC40" s="26">
        <f>Y40*$CO$15</f>
        <v>130.00001040000001</v>
      </c>
      <c r="BD40" s="26">
        <f>$CP$15*Z40</f>
        <v>361.29720000000003</v>
      </c>
      <c r="BE40" s="26">
        <f>AA40*$CQ$15</f>
        <v>-715</v>
      </c>
      <c r="BF40" s="26">
        <f>AB40*$CR$15</f>
        <v>111.17343439999999</v>
      </c>
      <c r="BG40" s="26">
        <f>AC40*$CS$15</f>
        <v>238.9402</v>
      </c>
      <c r="BH40" s="26">
        <f>$CT$15*AD40</f>
        <v>323.67449999999997</v>
      </c>
      <c r="BI40" s="26">
        <f>AE40*$CU$15</f>
        <v>271.89469800000001</v>
      </c>
      <c r="BJ40" s="26">
        <f>$CV$15*AF40</f>
        <v>691.59749999999997</v>
      </c>
      <c r="BK40" s="26">
        <f>AG40*$CW$15</f>
        <v>2613.9607900000005</v>
      </c>
      <c r="BL40" s="26">
        <f>AH40*$CX$15</f>
        <v>409.49054999999998</v>
      </c>
      <c r="BM40" s="26">
        <f>AI40*$CY$15</f>
        <v>410</v>
      </c>
      <c r="BN40" s="26">
        <f>AJ40*$CZ$15</f>
        <v>72.5</v>
      </c>
      <c r="BO40" s="26">
        <f>AK40*$DA$15</f>
        <v>-1083.3420000000001</v>
      </c>
      <c r="BP40" s="26">
        <f>AL40*$DB$15</f>
        <v>627.71500000000003</v>
      </c>
      <c r="BQ40" s="26">
        <f>SUM(Table9[[#This Row],[SCW]:[SCPF]])</f>
        <v>6920.0258307999993</v>
      </c>
    </row>
    <row r="41" spans="1:69" x14ac:dyDescent="0.45">
      <c r="A41" s="3">
        <v>22</v>
      </c>
      <c r="B41" s="4" t="s">
        <v>284</v>
      </c>
      <c r="C41" s="3">
        <v>32</v>
      </c>
      <c r="D41" s="3">
        <v>25</v>
      </c>
      <c r="E41" s="3">
        <v>7</v>
      </c>
      <c r="F41" s="3">
        <v>0.78100000000000003</v>
      </c>
      <c r="G41" s="3">
        <v>14.84</v>
      </c>
      <c r="H41" s="3">
        <v>6.48</v>
      </c>
      <c r="I41" s="3"/>
      <c r="J41" s="3">
        <v>12</v>
      </c>
      <c r="K41" s="3">
        <v>3</v>
      </c>
      <c r="L41" s="3"/>
      <c r="M41" s="3">
        <v>16</v>
      </c>
      <c r="N41" s="3">
        <v>0</v>
      </c>
      <c r="O41" s="3"/>
      <c r="P41" s="3">
        <v>6</v>
      </c>
      <c r="Q41" s="3">
        <v>4</v>
      </c>
      <c r="R41" s="3"/>
      <c r="S41" s="3">
        <v>2232</v>
      </c>
      <c r="T41" s="3">
        <v>1936</v>
      </c>
      <c r="U41" s="3"/>
      <c r="V41" s="3">
        <v>1280</v>
      </c>
      <c r="W41" s="3">
        <v>837</v>
      </c>
      <c r="X41" s="3">
        <v>1806</v>
      </c>
      <c r="Y41" s="3">
        <v>0.46300000000000002</v>
      </c>
      <c r="Z41" s="3">
        <v>229</v>
      </c>
      <c r="AA41" s="3">
        <v>654</v>
      </c>
      <c r="AB41" s="3">
        <v>0.35</v>
      </c>
      <c r="AC41" s="3">
        <v>329</v>
      </c>
      <c r="AD41" s="3">
        <v>432</v>
      </c>
      <c r="AE41" s="3">
        <v>0.76200000000000001</v>
      </c>
      <c r="AF41" s="3">
        <v>275</v>
      </c>
      <c r="AG41" s="3">
        <v>1082</v>
      </c>
      <c r="AH41" s="3">
        <v>430</v>
      </c>
      <c r="AI41" s="3">
        <v>224</v>
      </c>
      <c r="AJ41" s="3">
        <v>82</v>
      </c>
      <c r="AK41" s="3">
        <v>363</v>
      </c>
      <c r="AL41" s="3">
        <v>499</v>
      </c>
      <c r="AM41" s="25">
        <f>D41*$BY$15</f>
        <v>55.55</v>
      </c>
      <c r="AN41" s="26">
        <f>$BZ$15*E41</f>
        <v>-15.540000000000001</v>
      </c>
      <c r="AO41" s="26">
        <f>F41*$CA$15</f>
        <v>173.55538200000001</v>
      </c>
      <c r="AP41" s="26">
        <f>G41*$CB$15</f>
        <v>1305.92</v>
      </c>
      <c r="AQ41" s="26">
        <f>H41*$CC$15</f>
        <v>874.80000000000007</v>
      </c>
      <c r="AR41" s="26">
        <f>J41*$CD$15</f>
        <v>26.400000000000002</v>
      </c>
      <c r="AS41" s="26">
        <f>K41*$CE$15</f>
        <v>-6.6000000000000005</v>
      </c>
      <c r="AT41" s="26">
        <f>M41*$CF$15</f>
        <v>16</v>
      </c>
      <c r="AU41" s="26">
        <f>N41*$CG$15</f>
        <v>0</v>
      </c>
      <c r="AV41" s="26">
        <f>P41*$CH$15</f>
        <v>9.9989999999999988</v>
      </c>
      <c r="AW41" s="26">
        <f>$CI$15*Q41</f>
        <v>6.6659999999999995</v>
      </c>
      <c r="AX41" s="26">
        <f>S41*$CJ$15</f>
        <v>4216.0248000000001</v>
      </c>
      <c r="AY41" s="26">
        <f>T41*$CK$15</f>
        <v>-3226.7312000000002</v>
      </c>
      <c r="AZ41" s="26">
        <f>V41*$CL$15</f>
        <v>1280</v>
      </c>
      <c r="BA41" s="26">
        <f>W41*$CM$15</f>
        <v>1004.4</v>
      </c>
      <c r="BB41" s="26">
        <f>X41*$CN$15</f>
        <v>-2281.19472</v>
      </c>
      <c r="BC41" s="26">
        <f>Y41*$CO$15</f>
        <v>128.6111214</v>
      </c>
      <c r="BD41" s="26">
        <f>$CP$15*Z41</f>
        <v>305.30280000000005</v>
      </c>
      <c r="BE41" s="26">
        <f>AA41*$CQ$15</f>
        <v>-654</v>
      </c>
      <c r="BF41" s="26">
        <f>AB41*$CR$15</f>
        <v>102.66676</v>
      </c>
      <c r="BG41" s="26">
        <f>AC41*$CS$15</f>
        <v>173.15270000000001</v>
      </c>
      <c r="BH41" s="26">
        <f>$CT$15*AD41</f>
        <v>227.36160000000001</v>
      </c>
      <c r="BI41" s="26">
        <f>AE41*$CU$15</f>
        <v>280.73680200000007</v>
      </c>
      <c r="BJ41" s="26">
        <f>$CV$15*AF41</f>
        <v>458.28749999999997</v>
      </c>
      <c r="BK41" s="26">
        <f>AG41*$CW$15</f>
        <v>2163.9675400000001</v>
      </c>
      <c r="BL41" s="26">
        <f>AH41*$CX$15</f>
        <v>399.2765</v>
      </c>
      <c r="BM41" s="26">
        <f>AI41*$CY$15</f>
        <v>280</v>
      </c>
      <c r="BN41" s="26">
        <f>AJ41*$CZ$15</f>
        <v>41</v>
      </c>
      <c r="BO41" s="26">
        <f>AK41*$DA$15</f>
        <v>-1008.3414</v>
      </c>
      <c r="BP41" s="26">
        <f>AL41*$DB$15</f>
        <v>554.38900000000001</v>
      </c>
      <c r="BQ41" s="26">
        <f>SUM(Table9[[#This Row],[SCW]:[SCPF]])</f>
        <v>6891.6601854</v>
      </c>
    </row>
    <row r="42" spans="1:69" x14ac:dyDescent="0.45">
      <c r="A42" s="3">
        <v>41</v>
      </c>
      <c r="B42" s="4" t="s">
        <v>34</v>
      </c>
      <c r="C42" s="3">
        <v>34</v>
      </c>
      <c r="D42" s="3">
        <v>27</v>
      </c>
      <c r="E42" s="3">
        <v>7</v>
      </c>
      <c r="F42" s="3">
        <v>0.79400000000000004</v>
      </c>
      <c r="G42" s="3">
        <v>12.71</v>
      </c>
      <c r="H42" s="3">
        <v>5.47</v>
      </c>
      <c r="I42" s="3"/>
      <c r="J42" s="3">
        <v>15</v>
      </c>
      <c r="K42" s="3">
        <v>3</v>
      </c>
      <c r="L42" s="3"/>
      <c r="M42" s="3">
        <v>13</v>
      </c>
      <c r="N42" s="3">
        <v>3</v>
      </c>
      <c r="O42" s="3"/>
      <c r="P42" s="3">
        <v>9</v>
      </c>
      <c r="Q42" s="3">
        <v>3</v>
      </c>
      <c r="R42" s="3"/>
      <c r="S42" s="3">
        <v>2336</v>
      </c>
      <c r="T42" s="3">
        <v>2066</v>
      </c>
      <c r="U42" s="3"/>
      <c r="V42" s="3">
        <v>1375</v>
      </c>
      <c r="W42" s="3">
        <v>832</v>
      </c>
      <c r="X42" s="3">
        <v>1856</v>
      </c>
      <c r="Y42" s="3">
        <v>0.44800000000000001</v>
      </c>
      <c r="Z42" s="3">
        <v>251</v>
      </c>
      <c r="AA42" s="3">
        <v>721</v>
      </c>
      <c r="AB42" s="3">
        <v>0.34799999999999998</v>
      </c>
      <c r="AC42" s="3">
        <v>421</v>
      </c>
      <c r="AD42" s="3">
        <v>649</v>
      </c>
      <c r="AE42" s="3">
        <v>0.64900000000000002</v>
      </c>
      <c r="AF42" s="3">
        <v>346</v>
      </c>
      <c r="AG42" s="3">
        <v>1189</v>
      </c>
      <c r="AH42" s="3">
        <v>392</v>
      </c>
      <c r="AI42" s="3">
        <v>201</v>
      </c>
      <c r="AJ42" s="3">
        <v>119</v>
      </c>
      <c r="AK42" s="3">
        <v>412</v>
      </c>
      <c r="AL42" s="3">
        <v>512</v>
      </c>
      <c r="AM42" s="23">
        <f>D42*$BY$15</f>
        <v>59.994</v>
      </c>
      <c r="AN42" s="24">
        <f>$BZ$15*E42</f>
        <v>-15.540000000000001</v>
      </c>
      <c r="AO42" s="24">
        <f>F42*$CA$15</f>
        <v>176.44426800000002</v>
      </c>
      <c r="AP42" s="24">
        <f>G42*$CB$15</f>
        <v>1118.48</v>
      </c>
      <c r="AQ42" s="24">
        <f>H42*$CC$15</f>
        <v>738.44999999999993</v>
      </c>
      <c r="AR42" s="24">
        <f>J42*$CD$15</f>
        <v>33</v>
      </c>
      <c r="AS42" s="24">
        <f>K42*$CE$15</f>
        <v>-6.6000000000000005</v>
      </c>
      <c r="AT42" s="24">
        <f>M42*$CF$15</f>
        <v>13</v>
      </c>
      <c r="AU42" s="24">
        <f>N42*$CG$15</f>
        <v>3</v>
      </c>
      <c r="AV42" s="24">
        <f>P42*$CH$15</f>
        <v>14.998499999999998</v>
      </c>
      <c r="AW42" s="24">
        <f>$CI$15*Q42</f>
        <v>4.9994999999999994</v>
      </c>
      <c r="AX42" s="24">
        <f>S42*$CJ$15</f>
        <v>4412.4704000000002</v>
      </c>
      <c r="AY42" s="24">
        <f>T42*$CK$15</f>
        <v>-3443.4022</v>
      </c>
      <c r="AZ42" s="24">
        <f>V42*$CL$15</f>
        <v>1375</v>
      </c>
      <c r="BA42" s="24">
        <f>W42*$CM$15</f>
        <v>998.4</v>
      </c>
      <c r="BB42" s="24">
        <f>X42*$CN$15</f>
        <v>-2344.3507199999999</v>
      </c>
      <c r="BC42" s="24">
        <f>Y42*$CO$15</f>
        <v>124.44445440000001</v>
      </c>
      <c r="BD42" s="24">
        <f>$CP$15*Z42</f>
        <v>334.63320000000004</v>
      </c>
      <c r="BE42" s="24">
        <f>AA42*$CQ$15</f>
        <v>-721</v>
      </c>
      <c r="BF42" s="24">
        <f>AB42*$CR$15</f>
        <v>102.08009279999999</v>
      </c>
      <c r="BG42" s="24">
        <f>AC42*$CS$15</f>
        <v>221.57229999999998</v>
      </c>
      <c r="BH42" s="24">
        <f>$CT$15*AD42</f>
        <v>341.56869999999998</v>
      </c>
      <c r="BI42" s="24">
        <f>AE42*$CU$15</f>
        <v>239.10522900000004</v>
      </c>
      <c r="BJ42" s="24">
        <f>$CV$15*AF42</f>
        <v>576.60899999999992</v>
      </c>
      <c r="BK42" s="24">
        <f>AG42*$CW$15</f>
        <v>2377.9643300000002</v>
      </c>
      <c r="BL42" s="24">
        <f>AH42*$CX$15</f>
        <v>363.99160000000001</v>
      </c>
      <c r="BM42" s="24">
        <f>AI42*$CY$15</f>
        <v>251.25</v>
      </c>
      <c r="BN42" s="24">
        <f>AJ42*$CZ$15</f>
        <v>59.5</v>
      </c>
      <c r="BO42" s="24">
        <f>AK42*$DA$15</f>
        <v>-1144.4536000000001</v>
      </c>
      <c r="BP42" s="24">
        <f>AL42*$DB$15</f>
        <v>568.83199999999999</v>
      </c>
      <c r="BQ42" s="24">
        <f>SUM(Table9[[#This Row],[SCW]:[SCPF]])</f>
        <v>6834.4410542000005</v>
      </c>
    </row>
    <row r="43" spans="1:69" x14ac:dyDescent="0.45">
      <c r="A43" s="3">
        <v>48</v>
      </c>
      <c r="B43" s="4" t="s">
        <v>306</v>
      </c>
      <c r="C43" s="3">
        <v>30</v>
      </c>
      <c r="D43" s="3">
        <v>25</v>
      </c>
      <c r="E43" s="3">
        <v>5</v>
      </c>
      <c r="F43" s="3">
        <v>0.83299999999999996</v>
      </c>
      <c r="G43" s="3">
        <v>12.34</v>
      </c>
      <c r="H43" s="3">
        <v>7.54</v>
      </c>
      <c r="I43" s="3"/>
      <c r="J43" s="3">
        <v>14</v>
      </c>
      <c r="K43" s="3">
        <v>3</v>
      </c>
      <c r="L43" s="3"/>
      <c r="M43" s="3">
        <v>16</v>
      </c>
      <c r="N43" s="3">
        <v>1</v>
      </c>
      <c r="O43" s="3"/>
      <c r="P43" s="3">
        <v>7</v>
      </c>
      <c r="Q43" s="3">
        <v>2</v>
      </c>
      <c r="R43" s="3"/>
      <c r="S43" s="3">
        <v>2154</v>
      </c>
      <c r="T43" s="3">
        <v>2010</v>
      </c>
      <c r="U43" s="3"/>
      <c r="V43" s="3">
        <v>1225</v>
      </c>
      <c r="W43" s="3">
        <v>733</v>
      </c>
      <c r="X43" s="3">
        <v>1676</v>
      </c>
      <c r="Y43" s="3">
        <v>0.437</v>
      </c>
      <c r="Z43" s="3">
        <v>219</v>
      </c>
      <c r="AA43" s="3">
        <v>639</v>
      </c>
      <c r="AB43" s="3">
        <v>0.34300000000000003</v>
      </c>
      <c r="AC43" s="3">
        <v>469</v>
      </c>
      <c r="AD43" s="3">
        <v>646</v>
      </c>
      <c r="AE43" s="3">
        <v>0.72599999999999998</v>
      </c>
      <c r="AF43" s="3">
        <v>316</v>
      </c>
      <c r="AG43" s="3">
        <v>1124</v>
      </c>
      <c r="AH43" s="3">
        <v>396</v>
      </c>
      <c r="AI43" s="3">
        <v>151</v>
      </c>
      <c r="AJ43" s="3">
        <v>113</v>
      </c>
      <c r="AK43" s="3">
        <v>350</v>
      </c>
      <c r="AL43" s="3">
        <v>479</v>
      </c>
      <c r="AM43" s="25">
        <f>D43*$BY$15</f>
        <v>55.55</v>
      </c>
      <c r="AN43" s="26">
        <f>$BZ$15*E43</f>
        <v>-11.100000000000001</v>
      </c>
      <c r="AO43" s="26">
        <f>F43*$CA$15</f>
        <v>185.11092600000001</v>
      </c>
      <c r="AP43" s="26">
        <f>G43*$CB$15</f>
        <v>1085.92</v>
      </c>
      <c r="AQ43" s="26">
        <f>H43*$CC$15</f>
        <v>1017.9</v>
      </c>
      <c r="AR43" s="26">
        <f>J43*$CD$15</f>
        <v>30.800000000000004</v>
      </c>
      <c r="AS43" s="26">
        <f>K43*$CE$15</f>
        <v>-6.6000000000000005</v>
      </c>
      <c r="AT43" s="26">
        <f>M43*$CF$15</f>
        <v>16</v>
      </c>
      <c r="AU43" s="26">
        <f>N43*$CG$15</f>
        <v>1</v>
      </c>
      <c r="AV43" s="26">
        <f>P43*$CH$15</f>
        <v>11.6655</v>
      </c>
      <c r="AW43" s="26">
        <f>$CI$15*Q43</f>
        <v>3.3329999999999997</v>
      </c>
      <c r="AX43" s="26">
        <f>S43*$CJ$15</f>
        <v>4068.6905999999999</v>
      </c>
      <c r="AY43" s="26">
        <f>T43*$CK$15</f>
        <v>-3350.067</v>
      </c>
      <c r="AZ43" s="26">
        <f>V43*$CL$15</f>
        <v>1225</v>
      </c>
      <c r="BA43" s="26">
        <f>W43*$CM$15</f>
        <v>879.6</v>
      </c>
      <c r="BB43" s="26">
        <f>X43*$CN$15</f>
        <v>-2116.9891200000002</v>
      </c>
      <c r="BC43" s="26">
        <f>Y43*$CO$15</f>
        <v>121.3888986</v>
      </c>
      <c r="BD43" s="26">
        <f>$CP$15*Z43</f>
        <v>291.97080000000005</v>
      </c>
      <c r="BE43" s="26">
        <f>AA43*$CQ$15</f>
        <v>-639</v>
      </c>
      <c r="BF43" s="26">
        <f>AB43*$CR$15</f>
        <v>100.6134248</v>
      </c>
      <c r="BG43" s="26">
        <f>AC43*$CS$15</f>
        <v>246.8347</v>
      </c>
      <c r="BH43" s="26">
        <f>$CT$15*AD43</f>
        <v>339.9898</v>
      </c>
      <c r="BI43" s="26">
        <f>AE43*$CU$15</f>
        <v>267.47364600000003</v>
      </c>
      <c r="BJ43" s="26">
        <f>$CV$15*AF43</f>
        <v>526.61399999999992</v>
      </c>
      <c r="BK43" s="26">
        <f>AG43*$CW$15</f>
        <v>2247.9662800000001</v>
      </c>
      <c r="BL43" s="26">
        <f>AH43*$CX$15</f>
        <v>367.70580000000001</v>
      </c>
      <c r="BM43" s="26">
        <f>AI43*$CY$15</f>
        <v>188.75</v>
      </c>
      <c r="BN43" s="26">
        <f>AJ43*$CZ$15</f>
        <v>56.5</v>
      </c>
      <c r="BO43" s="26">
        <f>AK43*$DA$15</f>
        <v>-972.23</v>
      </c>
      <c r="BP43" s="26">
        <f>AL43*$DB$15</f>
        <v>532.16899999999998</v>
      </c>
      <c r="BQ43" s="26">
        <f>SUM(Table9[[#This Row],[SCW]:[SCPF]])</f>
        <v>6772.5602553999997</v>
      </c>
    </row>
    <row r="44" spans="1:69" x14ac:dyDescent="0.45">
      <c r="A44" s="3">
        <v>36</v>
      </c>
      <c r="B44" s="4" t="s">
        <v>297</v>
      </c>
      <c r="C44" s="3">
        <v>30</v>
      </c>
      <c r="D44" s="3">
        <v>15</v>
      </c>
      <c r="E44" s="3">
        <v>15</v>
      </c>
      <c r="F44" s="3">
        <v>0.5</v>
      </c>
      <c r="G44" s="3">
        <v>13.26</v>
      </c>
      <c r="H44" s="3">
        <v>10.56</v>
      </c>
      <c r="I44" s="3"/>
      <c r="J44" s="3">
        <v>8</v>
      </c>
      <c r="K44" s="3">
        <v>10</v>
      </c>
      <c r="L44" s="3"/>
      <c r="M44" s="3">
        <v>10</v>
      </c>
      <c r="N44" s="3">
        <v>6</v>
      </c>
      <c r="O44" s="3"/>
      <c r="P44" s="3">
        <v>3</v>
      </c>
      <c r="Q44" s="3">
        <v>8</v>
      </c>
      <c r="R44" s="3"/>
      <c r="S44" s="3">
        <v>2051</v>
      </c>
      <c r="T44" s="3">
        <v>1970</v>
      </c>
      <c r="U44" s="3"/>
      <c r="V44" s="3">
        <v>1230</v>
      </c>
      <c r="W44" s="3">
        <v>754</v>
      </c>
      <c r="X44" s="3">
        <v>1737</v>
      </c>
      <c r="Y44" s="3">
        <v>0.434</v>
      </c>
      <c r="Z44" s="3">
        <v>161</v>
      </c>
      <c r="AA44" s="3">
        <v>546</v>
      </c>
      <c r="AB44" s="3">
        <v>0.29499999999999998</v>
      </c>
      <c r="AC44" s="3">
        <v>382</v>
      </c>
      <c r="AD44" s="3">
        <v>573</v>
      </c>
      <c r="AE44" s="3">
        <v>0.66700000000000004</v>
      </c>
      <c r="AF44" s="3">
        <v>347</v>
      </c>
      <c r="AG44" s="3">
        <v>1113</v>
      </c>
      <c r="AH44" s="3">
        <v>380</v>
      </c>
      <c r="AI44" s="3">
        <v>256</v>
      </c>
      <c r="AJ44" s="3">
        <v>163</v>
      </c>
      <c r="AK44" s="3">
        <v>453</v>
      </c>
      <c r="AL44" s="3">
        <v>522</v>
      </c>
      <c r="AM44" s="25">
        <f>D44*$BY$15</f>
        <v>33.33</v>
      </c>
      <c r="AN44" s="26">
        <f>$BZ$15*E44</f>
        <v>-33.300000000000004</v>
      </c>
      <c r="AO44" s="26">
        <f>F44*$CA$15</f>
        <v>111.111</v>
      </c>
      <c r="AP44" s="26">
        <f>G44*$CB$15</f>
        <v>1166.8799999999999</v>
      </c>
      <c r="AQ44" s="26">
        <f>H44*$CC$15</f>
        <v>1425.6000000000001</v>
      </c>
      <c r="AR44" s="26">
        <f>J44*$CD$15</f>
        <v>17.600000000000001</v>
      </c>
      <c r="AS44" s="26">
        <f>K44*$CE$15</f>
        <v>-22</v>
      </c>
      <c r="AT44" s="26">
        <f>M44*$CF$15</f>
        <v>10</v>
      </c>
      <c r="AU44" s="26">
        <f>N44*$CG$15</f>
        <v>6</v>
      </c>
      <c r="AV44" s="26">
        <f>P44*$CH$15</f>
        <v>4.9994999999999994</v>
      </c>
      <c r="AW44" s="26">
        <f>$CI$15*Q44</f>
        <v>13.331999999999999</v>
      </c>
      <c r="AX44" s="26">
        <f>S44*$CJ$15</f>
        <v>3874.1339000000003</v>
      </c>
      <c r="AY44" s="26">
        <f>T44*$CK$15</f>
        <v>-3283.3990000000003</v>
      </c>
      <c r="AZ44" s="26">
        <f>V44*$CL$15</f>
        <v>1230</v>
      </c>
      <c r="BA44" s="26">
        <f>W44*$CM$15</f>
        <v>904.8</v>
      </c>
      <c r="BB44" s="26">
        <f>X44*$CN$15</f>
        <v>-2194.03944</v>
      </c>
      <c r="BC44" s="26">
        <f>Y44*$CO$15</f>
        <v>120.5555652</v>
      </c>
      <c r="BD44" s="26">
        <f>$CP$15*Z44</f>
        <v>214.64520000000002</v>
      </c>
      <c r="BE44" s="26">
        <f>AA44*$CQ$15</f>
        <v>-546</v>
      </c>
      <c r="BF44" s="26">
        <f>AB44*$CR$15</f>
        <v>86.533411999999998</v>
      </c>
      <c r="BG44" s="26">
        <f>AC44*$CS$15</f>
        <v>201.04659999999998</v>
      </c>
      <c r="BH44" s="26">
        <f>$CT$15*AD44</f>
        <v>301.56990000000002</v>
      </c>
      <c r="BI44" s="26">
        <f>AE44*$CU$15</f>
        <v>245.73680700000006</v>
      </c>
      <c r="BJ44" s="26">
        <f>$CV$15*AF44</f>
        <v>578.27549999999997</v>
      </c>
      <c r="BK44" s="26">
        <f>AG44*$CW$15</f>
        <v>2225.9666100000004</v>
      </c>
      <c r="BL44" s="26">
        <f>AH44*$CX$15</f>
        <v>352.84899999999999</v>
      </c>
      <c r="BM44" s="26">
        <f>AI44*$CY$15</f>
        <v>320</v>
      </c>
      <c r="BN44" s="26">
        <f>AJ44*$CZ$15</f>
        <v>81.5</v>
      </c>
      <c r="BO44" s="26">
        <f>AK44*$DA$15</f>
        <v>-1258.3434</v>
      </c>
      <c r="BP44" s="26">
        <f>AL44*$DB$15</f>
        <v>579.94200000000001</v>
      </c>
      <c r="BQ44" s="26">
        <f>SUM(Table9[[#This Row],[SCW]:[SCPF]])</f>
        <v>6769.3251542000007</v>
      </c>
    </row>
    <row r="45" spans="1:69" x14ac:dyDescent="0.45">
      <c r="A45" s="3">
        <v>25</v>
      </c>
      <c r="B45" s="4" t="s">
        <v>286</v>
      </c>
      <c r="C45" s="3">
        <v>32</v>
      </c>
      <c r="D45" s="3">
        <v>25</v>
      </c>
      <c r="E45" s="3">
        <v>7</v>
      </c>
      <c r="F45" s="3">
        <v>0.78100000000000003</v>
      </c>
      <c r="G45" s="3">
        <v>14.26</v>
      </c>
      <c r="H45" s="3">
        <v>3.03</v>
      </c>
      <c r="I45" s="3"/>
      <c r="J45" s="3">
        <v>13</v>
      </c>
      <c r="K45" s="3">
        <v>5</v>
      </c>
      <c r="L45" s="3"/>
      <c r="M45" s="3">
        <v>12</v>
      </c>
      <c r="N45" s="3">
        <v>2</v>
      </c>
      <c r="O45" s="3"/>
      <c r="P45" s="3">
        <v>8</v>
      </c>
      <c r="Q45" s="3">
        <v>3</v>
      </c>
      <c r="R45" s="3"/>
      <c r="S45" s="3">
        <v>2362</v>
      </c>
      <c r="T45" s="3">
        <v>1975</v>
      </c>
      <c r="U45" s="3"/>
      <c r="V45" s="3">
        <v>1300</v>
      </c>
      <c r="W45" s="3">
        <v>840</v>
      </c>
      <c r="X45" s="3">
        <v>1739</v>
      </c>
      <c r="Y45" s="3">
        <v>0.48299999999999998</v>
      </c>
      <c r="Z45" s="3">
        <v>285</v>
      </c>
      <c r="AA45" s="3">
        <v>745</v>
      </c>
      <c r="AB45" s="3">
        <v>0.38300000000000001</v>
      </c>
      <c r="AC45" s="3">
        <v>397</v>
      </c>
      <c r="AD45" s="3">
        <v>552</v>
      </c>
      <c r="AE45" s="3">
        <v>0.71899999999999997</v>
      </c>
      <c r="AF45" s="3">
        <v>246</v>
      </c>
      <c r="AG45" s="3">
        <v>1088</v>
      </c>
      <c r="AH45" s="3">
        <v>480</v>
      </c>
      <c r="AI45" s="3">
        <v>220</v>
      </c>
      <c r="AJ45" s="3">
        <v>78</v>
      </c>
      <c r="AK45" s="3">
        <v>390</v>
      </c>
      <c r="AL45" s="3">
        <v>549</v>
      </c>
      <c r="AM45" s="23">
        <f>D45*$BY$15</f>
        <v>55.55</v>
      </c>
      <c r="AN45" s="24">
        <f>$BZ$15*E45</f>
        <v>-15.540000000000001</v>
      </c>
      <c r="AO45" s="24">
        <f>F45*$CA$15</f>
        <v>173.55538200000001</v>
      </c>
      <c r="AP45" s="24">
        <f>G45*$CB$15</f>
        <v>1254.8799999999999</v>
      </c>
      <c r="AQ45" s="24">
        <f>H45*$CC$15</f>
        <v>409.04999999999995</v>
      </c>
      <c r="AR45" s="24">
        <f>J45*$CD$15</f>
        <v>28.6</v>
      </c>
      <c r="AS45" s="24">
        <f>K45*$CE$15</f>
        <v>-11</v>
      </c>
      <c r="AT45" s="24">
        <f>M45*$CF$15</f>
        <v>12</v>
      </c>
      <c r="AU45" s="24">
        <f>N45*$CG$15</f>
        <v>2</v>
      </c>
      <c r="AV45" s="24">
        <f>P45*$CH$15</f>
        <v>13.331999999999999</v>
      </c>
      <c r="AW45" s="24">
        <f>$CI$15*Q45</f>
        <v>4.9994999999999994</v>
      </c>
      <c r="AX45" s="24">
        <f>S45*$CJ$15</f>
        <v>4461.5817999999999</v>
      </c>
      <c r="AY45" s="24">
        <f>T45*$CK$15</f>
        <v>-3291.7325000000001</v>
      </c>
      <c r="AZ45" s="24">
        <f>V45*$CL$15</f>
        <v>1300</v>
      </c>
      <c r="BA45" s="24">
        <f>W45*$CM$15</f>
        <v>1008</v>
      </c>
      <c r="BB45" s="24">
        <f>X45*$CN$15</f>
        <v>-2196.5656800000002</v>
      </c>
      <c r="BC45" s="24">
        <f>Y45*$CO$15</f>
        <v>134.1666774</v>
      </c>
      <c r="BD45" s="24">
        <f>$CP$15*Z45</f>
        <v>379.96200000000005</v>
      </c>
      <c r="BE45" s="24">
        <f>AA45*$CQ$15</f>
        <v>-745</v>
      </c>
      <c r="BF45" s="24">
        <f>AB45*$CR$15</f>
        <v>112.34676879999999</v>
      </c>
      <c r="BG45" s="24">
        <f>AC45*$CS$15</f>
        <v>208.94110000000001</v>
      </c>
      <c r="BH45" s="24">
        <f>$CT$15*AD45</f>
        <v>290.51760000000002</v>
      </c>
      <c r="BI45" s="24">
        <f>AE45*$CU$15</f>
        <v>264.894699</v>
      </c>
      <c r="BJ45" s="24">
        <f>$CV$15*AF45</f>
        <v>409.95899999999995</v>
      </c>
      <c r="BK45" s="24">
        <f>AG45*$CW$15</f>
        <v>2175.9673600000001</v>
      </c>
      <c r="BL45" s="24">
        <f>AH45*$CX$15</f>
        <v>445.70400000000001</v>
      </c>
      <c r="BM45" s="24">
        <f>AI45*$CY$15</f>
        <v>275</v>
      </c>
      <c r="BN45" s="24">
        <f>AJ45*$CZ$15</f>
        <v>39</v>
      </c>
      <c r="BO45" s="24">
        <f>AK45*$DA$15</f>
        <v>-1083.3420000000001</v>
      </c>
      <c r="BP45" s="24">
        <f>AL45*$DB$15</f>
        <v>609.93899999999996</v>
      </c>
      <c r="BQ45" s="24">
        <f>SUM(Table9[[#This Row],[SCW]:[SCPF]])</f>
        <v>6726.7667071999986</v>
      </c>
    </row>
    <row r="46" spans="1:69" x14ac:dyDescent="0.45">
      <c r="A46" s="3">
        <v>31</v>
      </c>
      <c r="B46" s="4" t="s">
        <v>292</v>
      </c>
      <c r="C46" s="3">
        <v>31</v>
      </c>
      <c r="D46" s="3">
        <v>23</v>
      </c>
      <c r="E46" s="3">
        <v>8</v>
      </c>
      <c r="F46" s="3">
        <v>0.74199999999999999</v>
      </c>
      <c r="G46" s="3">
        <v>13.85</v>
      </c>
      <c r="H46" s="3">
        <v>6.24</v>
      </c>
      <c r="I46" s="3"/>
      <c r="J46" s="3">
        <v>13</v>
      </c>
      <c r="K46" s="3">
        <v>4</v>
      </c>
      <c r="L46" s="3"/>
      <c r="M46" s="3">
        <v>14</v>
      </c>
      <c r="N46" s="3">
        <v>1</v>
      </c>
      <c r="O46" s="3"/>
      <c r="P46" s="3">
        <v>5</v>
      </c>
      <c r="Q46" s="3">
        <v>5</v>
      </c>
      <c r="R46" s="3"/>
      <c r="S46" s="3">
        <v>2024</v>
      </c>
      <c r="T46" s="3">
        <v>1788</v>
      </c>
      <c r="U46" s="3"/>
      <c r="V46" s="3">
        <v>1250</v>
      </c>
      <c r="W46" s="3">
        <v>734</v>
      </c>
      <c r="X46" s="3">
        <v>1697</v>
      </c>
      <c r="Y46" s="3">
        <v>0.433</v>
      </c>
      <c r="Z46" s="3">
        <v>187</v>
      </c>
      <c r="AA46" s="3">
        <v>523</v>
      </c>
      <c r="AB46" s="3">
        <v>0.35799999999999998</v>
      </c>
      <c r="AC46" s="3">
        <v>369</v>
      </c>
      <c r="AD46" s="3">
        <v>531</v>
      </c>
      <c r="AE46" s="3">
        <v>0.69499999999999995</v>
      </c>
      <c r="AF46" s="3">
        <v>304</v>
      </c>
      <c r="AG46" s="3">
        <v>1089</v>
      </c>
      <c r="AH46" s="3">
        <v>368</v>
      </c>
      <c r="AI46" s="3">
        <v>232</v>
      </c>
      <c r="AJ46" s="3">
        <v>146</v>
      </c>
      <c r="AK46" s="3">
        <v>393</v>
      </c>
      <c r="AL46" s="3">
        <v>539</v>
      </c>
      <c r="AM46" s="23">
        <f>D46*$BY$15</f>
        <v>51.106000000000002</v>
      </c>
      <c r="AN46" s="24">
        <f>$BZ$15*E46</f>
        <v>-17.760000000000002</v>
      </c>
      <c r="AO46" s="24">
        <f>F46*$CA$15</f>
        <v>164.888724</v>
      </c>
      <c r="AP46" s="24">
        <f>G46*$CB$15</f>
        <v>1218.8</v>
      </c>
      <c r="AQ46" s="24">
        <f>H46*$CC$15</f>
        <v>842.4</v>
      </c>
      <c r="AR46" s="24">
        <f>J46*$CD$15</f>
        <v>28.6</v>
      </c>
      <c r="AS46" s="24">
        <f>K46*$CE$15</f>
        <v>-8.8000000000000007</v>
      </c>
      <c r="AT46" s="24">
        <f>M46*$CF$15</f>
        <v>14</v>
      </c>
      <c r="AU46" s="24">
        <f>N46*$CG$15</f>
        <v>1</v>
      </c>
      <c r="AV46" s="24">
        <f>P46*$CH$15</f>
        <v>8.3324999999999996</v>
      </c>
      <c r="AW46" s="24">
        <f>$CI$15*Q46</f>
        <v>8.3324999999999996</v>
      </c>
      <c r="AX46" s="24">
        <f>S46*$CJ$15</f>
        <v>3823.1336000000001</v>
      </c>
      <c r="AY46" s="24">
        <f>T46*$CK$15</f>
        <v>-2980.0596</v>
      </c>
      <c r="AZ46" s="24">
        <f>V46*$CL$15</f>
        <v>1250</v>
      </c>
      <c r="BA46" s="24">
        <f>W46*$CM$15</f>
        <v>880.8</v>
      </c>
      <c r="BB46" s="24">
        <f>X46*$CN$15</f>
        <v>-2143.5146399999999</v>
      </c>
      <c r="BC46" s="24">
        <f>Y46*$CO$15</f>
        <v>120.27778740000001</v>
      </c>
      <c r="BD46" s="24">
        <f>$CP$15*Z46</f>
        <v>249.30840000000003</v>
      </c>
      <c r="BE46" s="24">
        <f>AA46*$CQ$15</f>
        <v>-523</v>
      </c>
      <c r="BF46" s="24">
        <f>AB46*$CR$15</f>
        <v>105.01342879999999</v>
      </c>
      <c r="BG46" s="24">
        <f>AC46*$CS$15</f>
        <v>194.2047</v>
      </c>
      <c r="BH46" s="24">
        <f>$CT$15*AD46</f>
        <v>279.46530000000001</v>
      </c>
      <c r="BI46" s="24">
        <f>AE46*$CU$15</f>
        <v>256.052595</v>
      </c>
      <c r="BJ46" s="24">
        <f>$CV$15*AF46</f>
        <v>506.61599999999999</v>
      </c>
      <c r="BK46" s="24">
        <f>AG46*$CW$15</f>
        <v>2177.9673300000004</v>
      </c>
      <c r="BL46" s="24">
        <f>AH46*$CX$15</f>
        <v>341.70639999999997</v>
      </c>
      <c r="BM46" s="24">
        <f>AI46*$CY$15</f>
        <v>290</v>
      </c>
      <c r="BN46" s="24">
        <f>AJ46*$CZ$15</f>
        <v>73</v>
      </c>
      <c r="BO46" s="24">
        <f>AK46*$DA$15</f>
        <v>-1091.6754000000001</v>
      </c>
      <c r="BP46" s="24">
        <f>AL46*$DB$15</f>
        <v>598.82899999999995</v>
      </c>
      <c r="BQ46" s="24">
        <f>SUM(Table9[[#This Row],[SCW]:[SCPF]])</f>
        <v>6719.0246251999997</v>
      </c>
    </row>
    <row r="47" spans="1:69" x14ac:dyDescent="0.45">
      <c r="A47" s="3">
        <v>44</v>
      </c>
      <c r="B47" s="4" t="s">
        <v>304</v>
      </c>
      <c r="C47" s="3">
        <v>33</v>
      </c>
      <c r="D47" s="3">
        <v>19</v>
      </c>
      <c r="E47" s="3">
        <v>14</v>
      </c>
      <c r="F47" s="3">
        <v>0.57599999999999996</v>
      </c>
      <c r="G47" s="3">
        <v>12.45</v>
      </c>
      <c r="H47" s="3">
        <v>5.9</v>
      </c>
      <c r="I47" s="3"/>
      <c r="J47" s="3">
        <v>11</v>
      </c>
      <c r="K47" s="3">
        <v>9</v>
      </c>
      <c r="L47" s="3"/>
      <c r="M47" s="3">
        <v>12</v>
      </c>
      <c r="N47" s="3">
        <v>7</v>
      </c>
      <c r="O47" s="3"/>
      <c r="P47" s="3">
        <v>6</v>
      </c>
      <c r="Q47" s="3">
        <v>5</v>
      </c>
      <c r="R47" s="3"/>
      <c r="S47" s="3">
        <v>2373</v>
      </c>
      <c r="T47" s="3">
        <v>2157</v>
      </c>
      <c r="U47" s="3"/>
      <c r="V47" s="3">
        <v>1325</v>
      </c>
      <c r="W47" s="3">
        <v>815</v>
      </c>
      <c r="X47" s="3">
        <v>1989</v>
      </c>
      <c r="Y47" s="3">
        <v>0.41</v>
      </c>
      <c r="Z47" s="3">
        <v>299</v>
      </c>
      <c r="AA47" s="3">
        <v>880</v>
      </c>
      <c r="AB47" s="3">
        <v>0.34</v>
      </c>
      <c r="AC47" s="3">
        <v>444</v>
      </c>
      <c r="AD47" s="3">
        <v>594</v>
      </c>
      <c r="AE47" s="3">
        <v>0.747</v>
      </c>
      <c r="AF47" s="3">
        <v>409</v>
      </c>
      <c r="AG47" s="3">
        <v>1207</v>
      </c>
      <c r="AH47" s="3">
        <v>370</v>
      </c>
      <c r="AI47" s="3">
        <v>210</v>
      </c>
      <c r="AJ47" s="3">
        <v>147</v>
      </c>
      <c r="AK47" s="3">
        <v>376</v>
      </c>
      <c r="AL47" s="3">
        <v>582</v>
      </c>
      <c r="AM47" s="25">
        <f>D47*$BY$15</f>
        <v>42.217999999999996</v>
      </c>
      <c r="AN47" s="26">
        <f>$BZ$15*E47</f>
        <v>-31.080000000000002</v>
      </c>
      <c r="AO47" s="26">
        <f>F47*$CA$15</f>
        <v>127.999872</v>
      </c>
      <c r="AP47" s="26">
        <f>G47*$CB$15</f>
        <v>1095.5999999999999</v>
      </c>
      <c r="AQ47" s="26">
        <f>H47*$CC$15</f>
        <v>796.5</v>
      </c>
      <c r="AR47" s="26">
        <f>J47*$CD$15</f>
        <v>24.200000000000003</v>
      </c>
      <c r="AS47" s="26">
        <f>K47*$CE$15</f>
        <v>-19.8</v>
      </c>
      <c r="AT47" s="26">
        <f>M47*$CF$15</f>
        <v>12</v>
      </c>
      <c r="AU47" s="26">
        <f>N47*$CG$15</f>
        <v>7</v>
      </c>
      <c r="AV47" s="26">
        <f>P47*$CH$15</f>
        <v>9.9989999999999988</v>
      </c>
      <c r="AW47" s="26">
        <f>$CI$15*Q47</f>
        <v>8.3324999999999996</v>
      </c>
      <c r="AX47" s="26">
        <f>S47*$CJ$15</f>
        <v>4482.3597</v>
      </c>
      <c r="AY47" s="26">
        <f>T47*$CK$15</f>
        <v>-3595.0719000000004</v>
      </c>
      <c r="AZ47" s="26">
        <f>V47*$CL$15</f>
        <v>1325</v>
      </c>
      <c r="BA47" s="26">
        <f>W47*$CM$15</f>
        <v>978</v>
      </c>
      <c r="BB47" s="26">
        <f>X47*$CN$15</f>
        <v>-2512.3456799999999</v>
      </c>
      <c r="BC47" s="26">
        <f>Y47*$CO$15</f>
        <v>113.888898</v>
      </c>
      <c r="BD47" s="26">
        <f>$CP$15*Z47</f>
        <v>398.62680000000006</v>
      </c>
      <c r="BE47" s="26">
        <f>AA47*$CQ$15</f>
        <v>-880</v>
      </c>
      <c r="BF47" s="26">
        <f>AB47*$CR$15</f>
        <v>99.733423999999999</v>
      </c>
      <c r="BG47" s="26">
        <f>AC47*$CS$15</f>
        <v>233.6772</v>
      </c>
      <c r="BH47" s="26">
        <f>$CT$15*AD47</f>
        <v>312.62220000000002</v>
      </c>
      <c r="BI47" s="26">
        <f>AE47*$CU$15</f>
        <v>275.21048700000006</v>
      </c>
      <c r="BJ47" s="26">
        <f>$CV$15*AF47</f>
        <v>681.59849999999994</v>
      </c>
      <c r="BK47" s="26">
        <f>AG47*$CW$15</f>
        <v>2413.9637900000002</v>
      </c>
      <c r="BL47" s="26">
        <f>AH47*$CX$15</f>
        <v>343.56349999999998</v>
      </c>
      <c r="BM47" s="26">
        <f>AI47*$CY$15</f>
        <v>262.5</v>
      </c>
      <c r="BN47" s="26">
        <f>AJ47*$CZ$15</f>
        <v>73.5</v>
      </c>
      <c r="BO47" s="26">
        <f>AK47*$DA$15</f>
        <v>-1044.4528</v>
      </c>
      <c r="BP47" s="26">
        <f>AL47*$DB$15</f>
        <v>646.60199999999998</v>
      </c>
      <c r="BQ47" s="26">
        <f>SUM(Table9[[#This Row],[SCW]:[SCPF]])</f>
        <v>6681.9454910000004</v>
      </c>
    </row>
    <row r="48" spans="1:69" x14ac:dyDescent="0.45">
      <c r="A48" s="3">
        <v>27</v>
      </c>
      <c r="B48" s="4" t="s">
        <v>288</v>
      </c>
      <c r="C48" s="3">
        <v>33</v>
      </c>
      <c r="D48" s="3">
        <v>18</v>
      </c>
      <c r="E48" s="3">
        <v>15</v>
      </c>
      <c r="F48" s="3">
        <v>0.54500000000000004</v>
      </c>
      <c r="G48" s="3">
        <v>14.13</v>
      </c>
      <c r="H48" s="3">
        <v>10.31</v>
      </c>
      <c r="I48" s="3"/>
      <c r="J48" s="3">
        <v>7</v>
      </c>
      <c r="K48" s="3">
        <v>11</v>
      </c>
      <c r="L48" s="3"/>
      <c r="M48" s="3">
        <v>11</v>
      </c>
      <c r="N48" s="3">
        <v>5</v>
      </c>
      <c r="O48" s="3"/>
      <c r="P48" s="3">
        <v>3</v>
      </c>
      <c r="Q48" s="3">
        <v>8</v>
      </c>
      <c r="R48" s="3"/>
      <c r="S48" s="3">
        <v>2260</v>
      </c>
      <c r="T48" s="3">
        <v>2134</v>
      </c>
      <c r="U48" s="3"/>
      <c r="V48" s="3">
        <v>1340</v>
      </c>
      <c r="W48" s="3">
        <v>826</v>
      </c>
      <c r="X48" s="3">
        <v>1738</v>
      </c>
      <c r="Y48" s="3">
        <v>0.47499999999999998</v>
      </c>
      <c r="Z48" s="3">
        <v>243</v>
      </c>
      <c r="AA48" s="3">
        <v>716</v>
      </c>
      <c r="AB48" s="3">
        <v>0.33900000000000002</v>
      </c>
      <c r="AC48" s="3">
        <v>365</v>
      </c>
      <c r="AD48" s="3">
        <v>491</v>
      </c>
      <c r="AE48" s="3">
        <v>0.74299999999999999</v>
      </c>
      <c r="AF48" s="3">
        <v>251</v>
      </c>
      <c r="AG48" s="3">
        <v>1047</v>
      </c>
      <c r="AH48" s="3">
        <v>457</v>
      </c>
      <c r="AI48" s="3">
        <v>247</v>
      </c>
      <c r="AJ48" s="3">
        <v>58</v>
      </c>
      <c r="AK48" s="3">
        <v>493</v>
      </c>
      <c r="AL48" s="3">
        <v>517</v>
      </c>
      <c r="AM48" s="23">
        <f>D48*$BY$15</f>
        <v>39.996000000000002</v>
      </c>
      <c r="AN48" s="24">
        <f>$BZ$15*E48</f>
        <v>-33.300000000000004</v>
      </c>
      <c r="AO48" s="24">
        <f>F48*$CA$15</f>
        <v>121.11099000000002</v>
      </c>
      <c r="AP48" s="24">
        <f>G48*$CB$15</f>
        <v>1243.44</v>
      </c>
      <c r="AQ48" s="24">
        <f>H48*$CC$15</f>
        <v>1391.8500000000001</v>
      </c>
      <c r="AR48" s="24">
        <f>J48*$CD$15</f>
        <v>15.400000000000002</v>
      </c>
      <c r="AS48" s="24">
        <f>K48*$CE$15</f>
        <v>-24.200000000000003</v>
      </c>
      <c r="AT48" s="24">
        <f>M48*$CF$15</f>
        <v>11</v>
      </c>
      <c r="AU48" s="24">
        <f>N48*$CG$15</f>
        <v>5</v>
      </c>
      <c r="AV48" s="24">
        <f>P48*$CH$15</f>
        <v>4.9994999999999994</v>
      </c>
      <c r="AW48" s="24">
        <f>$CI$15*Q48</f>
        <v>13.331999999999999</v>
      </c>
      <c r="AX48" s="24">
        <f>S48*$CJ$15</f>
        <v>4268.9139999999998</v>
      </c>
      <c r="AY48" s="24">
        <f>T48*$CK$15</f>
        <v>-3556.7378000000003</v>
      </c>
      <c r="AZ48" s="24">
        <f>V48*$CL$15</f>
        <v>1340</v>
      </c>
      <c r="BA48" s="24">
        <f>W48*$CM$15</f>
        <v>991.19999999999993</v>
      </c>
      <c r="BB48" s="24">
        <f>X48*$CN$15</f>
        <v>-2195.3025600000001</v>
      </c>
      <c r="BC48" s="24">
        <f>Y48*$CO$15</f>
        <v>131.944455</v>
      </c>
      <c r="BD48" s="24">
        <f>$CP$15*Z48</f>
        <v>323.96760000000006</v>
      </c>
      <c r="BE48" s="24">
        <f>AA48*$CQ$15</f>
        <v>-716</v>
      </c>
      <c r="BF48" s="24">
        <f>AB48*$CR$15</f>
        <v>99.440090400000003</v>
      </c>
      <c r="BG48" s="24">
        <f>AC48*$CS$15</f>
        <v>192.09950000000001</v>
      </c>
      <c r="BH48" s="24">
        <f>$CT$15*AD48</f>
        <v>258.41329999999999</v>
      </c>
      <c r="BI48" s="24">
        <f>AE48*$CU$15</f>
        <v>273.73680300000001</v>
      </c>
      <c r="BJ48" s="24">
        <f>$CV$15*AF48</f>
        <v>418.29149999999998</v>
      </c>
      <c r="BK48" s="24">
        <f>AG48*$CW$15</f>
        <v>2093.9685900000004</v>
      </c>
      <c r="BL48" s="24">
        <f>AH48*$CX$15</f>
        <v>424.34735000000001</v>
      </c>
      <c r="BM48" s="24">
        <f>AI48*$CY$15</f>
        <v>308.75</v>
      </c>
      <c r="BN48" s="24">
        <f>AJ48*$CZ$15</f>
        <v>29</v>
      </c>
      <c r="BO48" s="24">
        <f>AK48*$DA$15</f>
        <v>-1369.4554000000001</v>
      </c>
      <c r="BP48" s="24">
        <f>AL48*$DB$15</f>
        <v>574.38699999999994</v>
      </c>
      <c r="BQ48" s="24">
        <f>SUM(Table9[[#This Row],[SCW]:[SCPF]])</f>
        <v>6679.5929183999988</v>
      </c>
    </row>
    <row r="49" spans="1:69" x14ac:dyDescent="0.45">
      <c r="A49" s="3">
        <v>40</v>
      </c>
      <c r="B49" s="4" t="s">
        <v>301</v>
      </c>
      <c r="C49" s="3">
        <v>32</v>
      </c>
      <c r="D49" s="3">
        <v>19</v>
      </c>
      <c r="E49" s="3">
        <v>13</v>
      </c>
      <c r="F49" s="3">
        <v>0.59399999999999997</v>
      </c>
      <c r="G49" s="3">
        <v>12.77</v>
      </c>
      <c r="H49" s="3">
        <v>8.08</v>
      </c>
      <c r="I49" s="3"/>
      <c r="J49" s="3">
        <v>9</v>
      </c>
      <c r="K49" s="3">
        <v>9</v>
      </c>
      <c r="L49" s="3"/>
      <c r="M49" s="3">
        <v>12</v>
      </c>
      <c r="N49" s="3">
        <v>5</v>
      </c>
      <c r="O49" s="3"/>
      <c r="P49" s="3">
        <v>4</v>
      </c>
      <c r="Q49" s="3">
        <v>6</v>
      </c>
      <c r="R49" s="3"/>
      <c r="S49" s="3">
        <v>2265</v>
      </c>
      <c r="T49" s="3">
        <v>2115</v>
      </c>
      <c r="U49" s="3"/>
      <c r="V49" s="3">
        <v>1290</v>
      </c>
      <c r="W49" s="3">
        <v>774</v>
      </c>
      <c r="X49" s="3">
        <v>1806</v>
      </c>
      <c r="Y49" s="3">
        <v>0.42899999999999999</v>
      </c>
      <c r="Z49" s="3">
        <v>256</v>
      </c>
      <c r="AA49" s="3">
        <v>830</v>
      </c>
      <c r="AB49" s="3">
        <v>0.308</v>
      </c>
      <c r="AC49" s="3">
        <v>461</v>
      </c>
      <c r="AD49" s="3">
        <v>627</v>
      </c>
      <c r="AE49" s="3">
        <v>0.73499999999999999</v>
      </c>
      <c r="AF49" s="3">
        <v>353</v>
      </c>
      <c r="AG49" s="3">
        <v>1072</v>
      </c>
      <c r="AH49" s="3">
        <v>411</v>
      </c>
      <c r="AI49" s="3">
        <v>259</v>
      </c>
      <c r="AJ49" s="3">
        <v>166</v>
      </c>
      <c r="AK49" s="3">
        <v>394</v>
      </c>
      <c r="AL49" s="3">
        <v>512</v>
      </c>
      <c r="AM49" s="25">
        <f>D49*$BY$15</f>
        <v>42.217999999999996</v>
      </c>
      <c r="AN49" s="26">
        <f>$BZ$15*E49</f>
        <v>-28.860000000000003</v>
      </c>
      <c r="AO49" s="26">
        <f>F49*$CA$15</f>
        <v>131.99986799999999</v>
      </c>
      <c r="AP49" s="26">
        <f>G49*$CB$15</f>
        <v>1123.76</v>
      </c>
      <c r="AQ49" s="26">
        <f>H49*$CC$15</f>
        <v>1090.8</v>
      </c>
      <c r="AR49" s="26">
        <f>J49*$CD$15</f>
        <v>19.8</v>
      </c>
      <c r="AS49" s="26">
        <f>K49*$CE$15</f>
        <v>-19.8</v>
      </c>
      <c r="AT49" s="26">
        <f>M49*$CF$15</f>
        <v>12</v>
      </c>
      <c r="AU49" s="26">
        <f>N49*$CG$15</f>
        <v>5</v>
      </c>
      <c r="AV49" s="26">
        <f>P49*$CH$15</f>
        <v>6.6659999999999995</v>
      </c>
      <c r="AW49" s="26">
        <f>$CI$15*Q49</f>
        <v>9.9989999999999988</v>
      </c>
      <c r="AX49" s="26">
        <f>S49*$CJ$15</f>
        <v>4278.3585000000003</v>
      </c>
      <c r="AY49" s="26">
        <f>T49*$CK$15</f>
        <v>-3525.0705000000003</v>
      </c>
      <c r="AZ49" s="26">
        <f>V49*$CL$15</f>
        <v>1290</v>
      </c>
      <c r="BA49" s="26">
        <f>W49*$CM$15</f>
        <v>928.8</v>
      </c>
      <c r="BB49" s="26">
        <f>X49*$CN$15</f>
        <v>-2281.19472</v>
      </c>
      <c r="BC49" s="26">
        <f>Y49*$CO$15</f>
        <v>119.1666762</v>
      </c>
      <c r="BD49" s="26">
        <f>$CP$15*Z49</f>
        <v>341.29920000000004</v>
      </c>
      <c r="BE49" s="26">
        <f>AA49*$CQ$15</f>
        <v>-830</v>
      </c>
      <c r="BF49" s="26">
        <f>AB49*$CR$15</f>
        <v>90.3467488</v>
      </c>
      <c r="BG49" s="26">
        <f>AC49*$CS$15</f>
        <v>242.62430000000001</v>
      </c>
      <c r="BH49" s="26">
        <f>$CT$15*AD49</f>
        <v>329.99009999999998</v>
      </c>
      <c r="BI49" s="26">
        <f>AE49*$CU$15</f>
        <v>270.78943500000003</v>
      </c>
      <c r="BJ49" s="26">
        <f>$CV$15*AF49</f>
        <v>588.27449999999999</v>
      </c>
      <c r="BK49" s="26">
        <f>AG49*$CW$15</f>
        <v>2143.9678400000003</v>
      </c>
      <c r="BL49" s="26">
        <f>AH49*$CX$15</f>
        <v>381.63405</v>
      </c>
      <c r="BM49" s="26">
        <f>AI49*$CY$15</f>
        <v>323.75</v>
      </c>
      <c r="BN49" s="26">
        <f>AJ49*$CZ$15</f>
        <v>83</v>
      </c>
      <c r="BO49" s="26">
        <f>AK49*$DA$15</f>
        <v>-1094.4531999999999</v>
      </c>
      <c r="BP49" s="26">
        <f>AL49*$DB$15</f>
        <v>568.83199999999999</v>
      </c>
      <c r="BQ49" s="26">
        <f>SUM(Table9[[#This Row],[SCW]:[SCPF]])</f>
        <v>6643.6977980000011</v>
      </c>
    </row>
    <row r="50" spans="1:69" x14ac:dyDescent="0.45">
      <c r="A50" s="3">
        <v>35</v>
      </c>
      <c r="B50" s="4" t="s">
        <v>296</v>
      </c>
      <c r="C50" s="3">
        <v>32</v>
      </c>
      <c r="D50" s="3">
        <v>23</v>
      </c>
      <c r="E50" s="3">
        <v>9</v>
      </c>
      <c r="F50" s="3">
        <v>0.71899999999999997</v>
      </c>
      <c r="G50" s="3">
        <v>13.26</v>
      </c>
      <c r="H50" s="3">
        <v>4.01</v>
      </c>
      <c r="I50" s="3"/>
      <c r="J50" s="3">
        <v>13</v>
      </c>
      <c r="K50" s="3">
        <v>7</v>
      </c>
      <c r="L50" s="3"/>
      <c r="M50" s="3">
        <v>16</v>
      </c>
      <c r="N50" s="3">
        <v>2</v>
      </c>
      <c r="O50" s="3"/>
      <c r="P50" s="3">
        <v>5</v>
      </c>
      <c r="Q50" s="3">
        <v>5</v>
      </c>
      <c r="R50" s="3"/>
      <c r="S50" s="3">
        <v>2543</v>
      </c>
      <c r="T50" s="3">
        <v>2247</v>
      </c>
      <c r="U50" s="3"/>
      <c r="V50" s="3">
        <v>1300</v>
      </c>
      <c r="W50" s="3">
        <v>914</v>
      </c>
      <c r="X50" s="3">
        <v>1873</v>
      </c>
      <c r="Y50" s="3">
        <v>0.48799999999999999</v>
      </c>
      <c r="Z50" s="3">
        <v>276</v>
      </c>
      <c r="AA50" s="3">
        <v>787</v>
      </c>
      <c r="AB50" s="3">
        <v>0.35099999999999998</v>
      </c>
      <c r="AC50" s="3">
        <v>439</v>
      </c>
      <c r="AD50" s="3">
        <v>599</v>
      </c>
      <c r="AE50" s="3">
        <v>0.73299999999999998</v>
      </c>
      <c r="AF50" s="3">
        <v>282</v>
      </c>
      <c r="AG50" s="3">
        <v>1176</v>
      </c>
      <c r="AH50" s="3">
        <v>484</v>
      </c>
      <c r="AI50" s="3">
        <v>204</v>
      </c>
      <c r="AJ50" s="3">
        <v>124</v>
      </c>
      <c r="AK50" s="3">
        <v>434</v>
      </c>
      <c r="AL50" s="3">
        <v>506</v>
      </c>
      <c r="AM50" s="23">
        <f>D50*$BY$15</f>
        <v>51.106000000000002</v>
      </c>
      <c r="AN50" s="24">
        <f>$BZ$15*E50</f>
        <v>-19.98</v>
      </c>
      <c r="AO50" s="24">
        <f>F50*$CA$15</f>
        <v>159.77761799999999</v>
      </c>
      <c r="AP50" s="24">
        <f>G50*$CB$15</f>
        <v>1166.8799999999999</v>
      </c>
      <c r="AQ50" s="24">
        <f>H50*$CC$15</f>
        <v>541.35</v>
      </c>
      <c r="AR50" s="24">
        <f>J50*$CD$15</f>
        <v>28.6</v>
      </c>
      <c r="AS50" s="24">
        <f>K50*$CE$15</f>
        <v>-15.400000000000002</v>
      </c>
      <c r="AT50" s="24">
        <f>M50*$CF$15</f>
        <v>16</v>
      </c>
      <c r="AU50" s="24">
        <f>N50*$CG$15</f>
        <v>2</v>
      </c>
      <c r="AV50" s="24">
        <f>P50*$CH$15</f>
        <v>8.3324999999999996</v>
      </c>
      <c r="AW50" s="24">
        <f>$CI$15*Q50</f>
        <v>8.3324999999999996</v>
      </c>
      <c r="AX50" s="24">
        <f>S50*$CJ$15</f>
        <v>4803.4727000000003</v>
      </c>
      <c r="AY50" s="24">
        <f>T50*$CK$15</f>
        <v>-3745.0749000000001</v>
      </c>
      <c r="AZ50" s="24">
        <f>V50*$CL$15</f>
        <v>1300</v>
      </c>
      <c r="BA50" s="24">
        <f>W50*$CM$15</f>
        <v>1096.8</v>
      </c>
      <c r="BB50" s="24">
        <f>X50*$CN$15</f>
        <v>-2365.8237600000002</v>
      </c>
      <c r="BC50" s="24">
        <f>Y50*$CO$15</f>
        <v>135.5555664</v>
      </c>
      <c r="BD50" s="24">
        <f>$CP$15*Z50</f>
        <v>367.96320000000003</v>
      </c>
      <c r="BE50" s="24">
        <f>AA50*$CQ$15</f>
        <v>-787</v>
      </c>
      <c r="BF50" s="24">
        <f>AB50*$CR$15</f>
        <v>102.96009359999999</v>
      </c>
      <c r="BG50" s="24">
        <f>AC50*$CS$15</f>
        <v>231.04569999999998</v>
      </c>
      <c r="BH50" s="24">
        <f>$CT$15*AD50</f>
        <v>315.25369999999998</v>
      </c>
      <c r="BI50" s="24">
        <f>AE50*$CU$15</f>
        <v>270.05259300000006</v>
      </c>
      <c r="BJ50" s="24">
        <f>$CV$15*AF50</f>
        <v>469.95299999999997</v>
      </c>
      <c r="BK50" s="24">
        <f>AG50*$CW$15</f>
        <v>2351.9647200000004</v>
      </c>
      <c r="BL50" s="24">
        <f>AH50*$CX$15</f>
        <v>449.41820000000001</v>
      </c>
      <c r="BM50" s="24">
        <f>AI50*$CY$15</f>
        <v>255</v>
      </c>
      <c r="BN50" s="24">
        <f>AJ50*$CZ$15</f>
        <v>62</v>
      </c>
      <c r="BO50" s="24">
        <f>AK50*$DA$15</f>
        <v>-1205.5652</v>
      </c>
      <c r="BP50" s="24">
        <f>AL50*$DB$15</f>
        <v>562.16599999999994</v>
      </c>
      <c r="BQ50" s="24">
        <f>SUM(Table9[[#This Row],[SCW]:[SCPF]])</f>
        <v>6617.1402310000012</v>
      </c>
    </row>
    <row r="51" spans="1:69" x14ac:dyDescent="0.45">
      <c r="A51" s="3">
        <v>43</v>
      </c>
      <c r="B51" s="4" t="s">
        <v>303</v>
      </c>
      <c r="C51" s="3">
        <v>31</v>
      </c>
      <c r="D51" s="3">
        <v>19</v>
      </c>
      <c r="E51" s="3">
        <v>12</v>
      </c>
      <c r="F51" s="3">
        <v>0.61299999999999999</v>
      </c>
      <c r="G51" s="3">
        <v>12.6</v>
      </c>
      <c r="H51" s="3">
        <v>9.08</v>
      </c>
      <c r="I51" s="3"/>
      <c r="J51" s="3">
        <v>11</v>
      </c>
      <c r="K51" s="3">
        <v>8</v>
      </c>
      <c r="L51" s="3"/>
      <c r="M51" s="3">
        <v>13</v>
      </c>
      <c r="N51" s="3">
        <v>3</v>
      </c>
      <c r="O51" s="3"/>
      <c r="P51" s="3">
        <v>4</v>
      </c>
      <c r="Q51" s="3">
        <v>7</v>
      </c>
      <c r="R51" s="3"/>
      <c r="S51" s="3">
        <v>2306</v>
      </c>
      <c r="T51" s="3">
        <v>2197</v>
      </c>
      <c r="U51" s="3"/>
      <c r="V51" s="3">
        <v>1250</v>
      </c>
      <c r="W51" s="3">
        <v>835</v>
      </c>
      <c r="X51" s="3">
        <v>1842</v>
      </c>
      <c r="Y51" s="3">
        <v>0.45300000000000001</v>
      </c>
      <c r="Z51" s="3">
        <v>267</v>
      </c>
      <c r="AA51" s="3">
        <v>769</v>
      </c>
      <c r="AB51" s="3">
        <v>0.34699999999999998</v>
      </c>
      <c r="AC51" s="3">
        <v>369</v>
      </c>
      <c r="AD51" s="3">
        <v>494</v>
      </c>
      <c r="AE51" s="3">
        <v>0.747</v>
      </c>
      <c r="AF51" s="3">
        <v>238</v>
      </c>
      <c r="AG51" s="3">
        <v>1076</v>
      </c>
      <c r="AH51" s="3">
        <v>496</v>
      </c>
      <c r="AI51" s="3">
        <v>244</v>
      </c>
      <c r="AJ51" s="3">
        <v>158</v>
      </c>
      <c r="AK51" s="3">
        <v>386</v>
      </c>
      <c r="AL51" s="3">
        <v>541</v>
      </c>
      <c r="AM51" s="23">
        <f>D51*$BY$15</f>
        <v>42.217999999999996</v>
      </c>
      <c r="AN51" s="24">
        <f>$BZ$15*E51</f>
        <v>-26.64</v>
      </c>
      <c r="AO51" s="24">
        <f>F51*$CA$15</f>
        <v>136.22208599999999</v>
      </c>
      <c r="AP51" s="24">
        <f>G51*$CB$15</f>
        <v>1108.8</v>
      </c>
      <c r="AQ51" s="24">
        <f>H51*$CC$15</f>
        <v>1225.8</v>
      </c>
      <c r="AR51" s="24">
        <f>J51*$CD$15</f>
        <v>24.200000000000003</v>
      </c>
      <c r="AS51" s="24">
        <f>K51*$CE$15</f>
        <v>-17.600000000000001</v>
      </c>
      <c r="AT51" s="24">
        <f>M51*$CF$15</f>
        <v>13</v>
      </c>
      <c r="AU51" s="24">
        <f>N51*$CG$15</f>
        <v>3</v>
      </c>
      <c r="AV51" s="24">
        <f>P51*$CH$15</f>
        <v>6.6659999999999995</v>
      </c>
      <c r="AW51" s="24">
        <f>$CI$15*Q51</f>
        <v>11.6655</v>
      </c>
      <c r="AX51" s="24">
        <f>S51*$CJ$15</f>
        <v>4355.8033999999998</v>
      </c>
      <c r="AY51" s="24">
        <f>T51*$CK$15</f>
        <v>-3661.7399</v>
      </c>
      <c r="AZ51" s="24">
        <f>V51*$CL$15</f>
        <v>1250</v>
      </c>
      <c r="BA51" s="24">
        <f>W51*$CM$15</f>
        <v>1002</v>
      </c>
      <c r="BB51" s="24">
        <f>X51*$CN$15</f>
        <v>-2326.6670399999998</v>
      </c>
      <c r="BC51" s="24">
        <f>Y51*$CO$15</f>
        <v>125.8333434</v>
      </c>
      <c r="BD51" s="24">
        <f>$CP$15*Z51</f>
        <v>355.96440000000007</v>
      </c>
      <c r="BE51" s="24">
        <f>AA51*$CQ$15</f>
        <v>-769</v>
      </c>
      <c r="BF51" s="24">
        <f>AB51*$CR$15</f>
        <v>101.78675919999999</v>
      </c>
      <c r="BG51" s="24">
        <f>AC51*$CS$15</f>
        <v>194.2047</v>
      </c>
      <c r="BH51" s="24">
        <f>$CT$15*AD51</f>
        <v>259.99219999999997</v>
      </c>
      <c r="BI51" s="24">
        <f>AE51*$CU$15</f>
        <v>275.21048700000006</v>
      </c>
      <c r="BJ51" s="24">
        <f>$CV$15*AF51</f>
        <v>396.62699999999995</v>
      </c>
      <c r="BK51" s="24">
        <f>AG51*$CW$15</f>
        <v>2151.9677200000001</v>
      </c>
      <c r="BL51" s="24">
        <f>AH51*$CX$15</f>
        <v>460.56079999999997</v>
      </c>
      <c r="BM51" s="24">
        <f>AI51*$CY$15</f>
        <v>305</v>
      </c>
      <c r="BN51" s="24">
        <f>AJ51*$CZ$15</f>
        <v>79</v>
      </c>
      <c r="BO51" s="24">
        <f>AK51*$DA$15</f>
        <v>-1072.2308</v>
      </c>
      <c r="BP51" s="24">
        <f>AL51*$DB$15</f>
        <v>601.05100000000004</v>
      </c>
      <c r="BQ51" s="24">
        <f>SUM(Table9[[#This Row],[SCW]:[SCPF]])</f>
        <v>6612.6956555999986</v>
      </c>
    </row>
    <row r="52" spans="1:69" x14ac:dyDescent="0.45">
      <c r="A52" s="3">
        <v>67</v>
      </c>
      <c r="B52" s="4" t="s">
        <v>324</v>
      </c>
      <c r="C52" s="3">
        <v>33</v>
      </c>
      <c r="D52" s="3">
        <v>16</v>
      </c>
      <c r="E52" s="3">
        <v>17</v>
      </c>
      <c r="F52" s="3">
        <v>0.48499999999999999</v>
      </c>
      <c r="G52" s="3">
        <v>9.91</v>
      </c>
      <c r="H52" s="3">
        <v>7.61</v>
      </c>
      <c r="I52" s="3"/>
      <c r="J52" s="3">
        <v>9</v>
      </c>
      <c r="K52" s="3">
        <v>11</v>
      </c>
      <c r="L52" s="3"/>
      <c r="M52" s="3">
        <v>11</v>
      </c>
      <c r="N52" s="3">
        <v>5</v>
      </c>
      <c r="O52" s="3"/>
      <c r="P52" s="3">
        <v>3</v>
      </c>
      <c r="Q52" s="3">
        <v>8</v>
      </c>
      <c r="R52" s="3"/>
      <c r="S52" s="3">
        <v>2553</v>
      </c>
      <c r="T52" s="3">
        <v>2477</v>
      </c>
      <c r="U52" s="3"/>
      <c r="V52" s="3">
        <v>1345</v>
      </c>
      <c r="W52" s="3">
        <v>915</v>
      </c>
      <c r="X52" s="3">
        <v>2029</v>
      </c>
      <c r="Y52" s="3">
        <v>0.45100000000000001</v>
      </c>
      <c r="Z52" s="3">
        <v>300</v>
      </c>
      <c r="AA52" s="3">
        <v>795</v>
      </c>
      <c r="AB52" s="3">
        <v>0.377</v>
      </c>
      <c r="AC52" s="3">
        <v>423</v>
      </c>
      <c r="AD52" s="3">
        <v>574</v>
      </c>
      <c r="AE52" s="3">
        <v>0.73699999999999999</v>
      </c>
      <c r="AF52" s="3">
        <v>350</v>
      </c>
      <c r="AG52" s="3">
        <v>1198</v>
      </c>
      <c r="AH52" s="3">
        <v>481</v>
      </c>
      <c r="AI52" s="3">
        <v>231</v>
      </c>
      <c r="AJ52" s="3">
        <v>124</v>
      </c>
      <c r="AK52" s="3">
        <v>354</v>
      </c>
      <c r="AL52" s="3">
        <v>470</v>
      </c>
      <c r="AM52" s="23">
        <f>D52*$BY$15</f>
        <v>35.552</v>
      </c>
      <c r="AN52" s="24">
        <f>$BZ$15*E52</f>
        <v>-37.74</v>
      </c>
      <c r="AO52" s="24">
        <f>F52*$CA$15</f>
        <v>107.77767</v>
      </c>
      <c r="AP52" s="24">
        <f>G52*$CB$15</f>
        <v>872.08</v>
      </c>
      <c r="AQ52" s="24">
        <f>H52*$CC$15</f>
        <v>1027.3500000000001</v>
      </c>
      <c r="AR52" s="24">
        <f>J52*$CD$15</f>
        <v>19.8</v>
      </c>
      <c r="AS52" s="24">
        <f>K52*$CE$15</f>
        <v>-24.200000000000003</v>
      </c>
      <c r="AT52" s="24">
        <f>M52*$CF$15</f>
        <v>11</v>
      </c>
      <c r="AU52" s="24">
        <f>N52*$CG$15</f>
        <v>5</v>
      </c>
      <c r="AV52" s="24">
        <f>P52*$CH$15</f>
        <v>4.9994999999999994</v>
      </c>
      <c r="AW52" s="24">
        <f>$CI$15*Q52</f>
        <v>13.331999999999999</v>
      </c>
      <c r="AX52" s="24">
        <f>S52*$CJ$15</f>
        <v>4822.3617000000004</v>
      </c>
      <c r="AY52" s="24">
        <f>T52*$CK$15</f>
        <v>-4128.4159</v>
      </c>
      <c r="AZ52" s="24">
        <f>V52*$CL$15</f>
        <v>1345</v>
      </c>
      <c r="BA52" s="24">
        <f>W52*$CM$15</f>
        <v>1098</v>
      </c>
      <c r="BB52" s="24">
        <f>X52*$CN$15</f>
        <v>-2562.87048</v>
      </c>
      <c r="BC52" s="24">
        <f>Y52*$CO$15</f>
        <v>125.27778780000001</v>
      </c>
      <c r="BD52" s="24">
        <f>$CP$15*Z52</f>
        <v>399.96000000000004</v>
      </c>
      <c r="BE52" s="24">
        <f>AA52*$CQ$15</f>
        <v>-795</v>
      </c>
      <c r="BF52" s="24">
        <f>AB52*$CR$15</f>
        <v>110.5867672</v>
      </c>
      <c r="BG52" s="24">
        <f>AC52*$CS$15</f>
        <v>222.6249</v>
      </c>
      <c r="BH52" s="24">
        <f>$CT$15*AD52</f>
        <v>302.09620000000001</v>
      </c>
      <c r="BI52" s="24">
        <f>AE52*$CU$15</f>
        <v>271.52627700000005</v>
      </c>
      <c r="BJ52" s="24">
        <f>$CV$15*AF52</f>
        <v>583.27499999999998</v>
      </c>
      <c r="BK52" s="24">
        <f>AG52*$CW$15</f>
        <v>2395.9640600000002</v>
      </c>
      <c r="BL52" s="24">
        <f>AH52*$CX$15</f>
        <v>446.63254999999998</v>
      </c>
      <c r="BM52" s="24">
        <f>AI52*$CY$15</f>
        <v>288.75</v>
      </c>
      <c r="BN52" s="24">
        <f>AJ52*$CZ$15</f>
        <v>62</v>
      </c>
      <c r="BO52" s="24">
        <f>AK52*$DA$15</f>
        <v>-983.34120000000007</v>
      </c>
      <c r="BP52" s="24">
        <f>AL52*$DB$15</f>
        <v>522.16999999999996</v>
      </c>
      <c r="BQ52" s="24">
        <f>SUM(Table9[[#This Row],[SCW]:[SCPF]])</f>
        <v>6561.5488320000013</v>
      </c>
    </row>
    <row r="53" spans="1:69" x14ac:dyDescent="0.45">
      <c r="A53" s="3">
        <v>59</v>
      </c>
      <c r="B53" s="4" t="s">
        <v>316</v>
      </c>
      <c r="C53" s="3">
        <v>33</v>
      </c>
      <c r="D53" s="3">
        <v>19</v>
      </c>
      <c r="E53" s="3">
        <v>14</v>
      </c>
      <c r="F53" s="3">
        <v>0.57599999999999996</v>
      </c>
      <c r="G53" s="3">
        <v>10.54</v>
      </c>
      <c r="H53" s="3">
        <v>8.2899999999999991</v>
      </c>
      <c r="I53" s="3"/>
      <c r="J53" s="3">
        <v>11</v>
      </c>
      <c r="K53" s="3">
        <v>9</v>
      </c>
      <c r="L53" s="3"/>
      <c r="M53" s="3">
        <v>12</v>
      </c>
      <c r="N53" s="3">
        <v>5</v>
      </c>
      <c r="O53" s="3"/>
      <c r="P53" s="3">
        <v>5</v>
      </c>
      <c r="Q53" s="3">
        <v>5</v>
      </c>
      <c r="R53" s="3"/>
      <c r="S53" s="3">
        <v>2389</v>
      </c>
      <c r="T53" s="3">
        <v>2293</v>
      </c>
      <c r="U53" s="3"/>
      <c r="V53" s="3">
        <v>1330</v>
      </c>
      <c r="W53" s="3">
        <v>882</v>
      </c>
      <c r="X53" s="3">
        <v>1953</v>
      </c>
      <c r="Y53" s="3">
        <v>0.45200000000000001</v>
      </c>
      <c r="Z53" s="3">
        <v>235</v>
      </c>
      <c r="AA53" s="3">
        <v>705</v>
      </c>
      <c r="AB53" s="3">
        <v>0.33300000000000002</v>
      </c>
      <c r="AC53" s="3">
        <v>390</v>
      </c>
      <c r="AD53" s="3">
        <v>576</v>
      </c>
      <c r="AE53" s="3">
        <v>0.67700000000000005</v>
      </c>
      <c r="AF53" s="3">
        <v>344</v>
      </c>
      <c r="AG53" s="3">
        <v>1155</v>
      </c>
      <c r="AH53" s="3">
        <v>401</v>
      </c>
      <c r="AI53" s="3">
        <v>227</v>
      </c>
      <c r="AJ53" s="3">
        <v>107</v>
      </c>
      <c r="AK53" s="3">
        <v>392</v>
      </c>
      <c r="AL53" s="3">
        <v>549</v>
      </c>
      <c r="AM53" s="23">
        <f>D53*$BY$15</f>
        <v>42.217999999999996</v>
      </c>
      <c r="AN53" s="24">
        <f>$BZ$15*E53</f>
        <v>-31.080000000000002</v>
      </c>
      <c r="AO53" s="24">
        <f>F53*$CA$15</f>
        <v>127.999872</v>
      </c>
      <c r="AP53" s="24">
        <f>G53*$CB$15</f>
        <v>927.52</v>
      </c>
      <c r="AQ53" s="24">
        <f>H53*$CC$15</f>
        <v>1119.1499999999999</v>
      </c>
      <c r="AR53" s="24">
        <f>J53*$CD$15</f>
        <v>24.200000000000003</v>
      </c>
      <c r="AS53" s="24">
        <f>K53*$CE$15</f>
        <v>-19.8</v>
      </c>
      <c r="AT53" s="24">
        <f>M53*$CF$15</f>
        <v>12</v>
      </c>
      <c r="AU53" s="24">
        <f>N53*$CG$15</f>
        <v>5</v>
      </c>
      <c r="AV53" s="24">
        <f>P53*$CH$15</f>
        <v>8.3324999999999996</v>
      </c>
      <c r="AW53" s="24">
        <f>$CI$15*Q53</f>
        <v>8.3324999999999996</v>
      </c>
      <c r="AX53" s="24">
        <f>S53*$CJ$15</f>
        <v>4512.5820999999996</v>
      </c>
      <c r="AY53" s="24">
        <f>T53*$CK$15</f>
        <v>-3821.7431000000001</v>
      </c>
      <c r="AZ53" s="24">
        <f>V53*$CL$15</f>
        <v>1330</v>
      </c>
      <c r="BA53" s="24">
        <f>W53*$CM$15</f>
        <v>1058.3999999999999</v>
      </c>
      <c r="BB53" s="24">
        <f>X53*$CN$15</f>
        <v>-2466.87336</v>
      </c>
      <c r="BC53" s="24">
        <f>Y53*$CO$15</f>
        <v>125.55556560000001</v>
      </c>
      <c r="BD53" s="24">
        <f>$CP$15*Z53</f>
        <v>313.30200000000002</v>
      </c>
      <c r="BE53" s="24">
        <f>AA53*$CQ$15</f>
        <v>-705</v>
      </c>
      <c r="BF53" s="24">
        <f>AB53*$CR$15</f>
        <v>97.680088800000007</v>
      </c>
      <c r="BG53" s="24">
        <f>AC53*$CS$15</f>
        <v>205.25700000000001</v>
      </c>
      <c r="BH53" s="24">
        <f>$CT$15*AD53</f>
        <v>303.14879999999999</v>
      </c>
      <c r="BI53" s="24">
        <f>AE53*$CU$15</f>
        <v>249.42101700000006</v>
      </c>
      <c r="BJ53" s="24">
        <f>$CV$15*AF53</f>
        <v>573.27599999999995</v>
      </c>
      <c r="BK53" s="24">
        <f>AG53*$CW$15</f>
        <v>2309.9653500000004</v>
      </c>
      <c r="BL53" s="24">
        <f>AH53*$CX$15</f>
        <v>372.34854999999999</v>
      </c>
      <c r="BM53" s="24">
        <f>AI53*$CY$15</f>
        <v>283.75</v>
      </c>
      <c r="BN53" s="24">
        <f>AJ53*$CZ$15</f>
        <v>53.5</v>
      </c>
      <c r="BO53" s="24">
        <f>AK53*$DA$15</f>
        <v>-1088.8976</v>
      </c>
      <c r="BP53" s="24">
        <f>AL53*$DB$15</f>
        <v>609.93899999999996</v>
      </c>
      <c r="BQ53" s="24">
        <f>SUM(Table9[[#This Row],[SCW]:[SCPF]])</f>
        <v>6539.4842834000001</v>
      </c>
    </row>
    <row r="54" spans="1:69" x14ac:dyDescent="0.45">
      <c r="A54" s="3">
        <v>62</v>
      </c>
      <c r="B54" s="4" t="s">
        <v>319</v>
      </c>
      <c r="C54" s="3">
        <v>33</v>
      </c>
      <c r="D54" s="3">
        <v>16</v>
      </c>
      <c r="E54" s="3">
        <v>17</v>
      </c>
      <c r="F54" s="3">
        <v>0.48499999999999999</v>
      </c>
      <c r="G54" s="3">
        <v>10.25</v>
      </c>
      <c r="H54" s="3">
        <v>10.77</v>
      </c>
      <c r="I54" s="3"/>
      <c r="J54" s="3">
        <v>4</v>
      </c>
      <c r="K54" s="3">
        <v>14</v>
      </c>
      <c r="L54" s="3"/>
      <c r="M54" s="3">
        <v>12</v>
      </c>
      <c r="N54" s="3">
        <v>5</v>
      </c>
      <c r="O54" s="3"/>
      <c r="P54" s="3">
        <v>1</v>
      </c>
      <c r="Q54" s="3">
        <v>10</v>
      </c>
      <c r="R54" s="3"/>
      <c r="S54" s="3">
        <v>2259</v>
      </c>
      <c r="T54" s="3">
        <v>2276</v>
      </c>
      <c r="U54" s="3"/>
      <c r="V54" s="3">
        <v>1320</v>
      </c>
      <c r="W54" s="3">
        <v>779</v>
      </c>
      <c r="X54" s="3">
        <v>1885</v>
      </c>
      <c r="Y54" s="3">
        <v>0.41299999999999998</v>
      </c>
      <c r="Z54" s="3">
        <v>208</v>
      </c>
      <c r="AA54" s="3">
        <v>635</v>
      </c>
      <c r="AB54" s="3">
        <v>0.32800000000000001</v>
      </c>
      <c r="AC54" s="3">
        <v>493</v>
      </c>
      <c r="AD54" s="3">
        <v>681</v>
      </c>
      <c r="AE54" s="3">
        <v>0.72399999999999998</v>
      </c>
      <c r="AF54" s="3">
        <v>355</v>
      </c>
      <c r="AG54" s="3">
        <v>1065</v>
      </c>
      <c r="AH54" s="3">
        <v>346</v>
      </c>
      <c r="AI54" s="3">
        <v>257</v>
      </c>
      <c r="AJ54" s="3">
        <v>150</v>
      </c>
      <c r="AK54" s="3">
        <v>410</v>
      </c>
      <c r="AL54" s="3">
        <v>575</v>
      </c>
      <c r="AM54" s="25">
        <f>D54*$BY$15</f>
        <v>35.552</v>
      </c>
      <c r="AN54" s="26">
        <f>$BZ$15*E54</f>
        <v>-37.74</v>
      </c>
      <c r="AO54" s="26">
        <f>F54*$CA$15</f>
        <v>107.77767</v>
      </c>
      <c r="AP54" s="26">
        <f>G54*$CB$15</f>
        <v>902</v>
      </c>
      <c r="AQ54" s="26">
        <f>H54*$CC$15</f>
        <v>1453.95</v>
      </c>
      <c r="AR54" s="26">
        <f>J54*$CD$15</f>
        <v>8.8000000000000007</v>
      </c>
      <c r="AS54" s="26">
        <f>K54*$CE$15</f>
        <v>-30.800000000000004</v>
      </c>
      <c r="AT54" s="26">
        <f>M54*$CF$15</f>
        <v>12</v>
      </c>
      <c r="AU54" s="26">
        <f>N54*$CG$15</f>
        <v>5</v>
      </c>
      <c r="AV54" s="26">
        <f>P54*$CH$15</f>
        <v>1.6664999999999999</v>
      </c>
      <c r="AW54" s="26">
        <f>$CI$15*Q54</f>
        <v>16.664999999999999</v>
      </c>
      <c r="AX54" s="26">
        <f>S54*$CJ$15</f>
        <v>4267.0250999999998</v>
      </c>
      <c r="AY54" s="26">
        <f>T54*$CK$15</f>
        <v>-3793.4092000000001</v>
      </c>
      <c r="AZ54" s="26">
        <f>V54*$CL$15</f>
        <v>1320</v>
      </c>
      <c r="BA54" s="26">
        <f>W54*$CM$15</f>
        <v>934.8</v>
      </c>
      <c r="BB54" s="26">
        <f>X54*$CN$15</f>
        <v>-2380.9812000000002</v>
      </c>
      <c r="BC54" s="26">
        <f>Y54*$CO$15</f>
        <v>114.7222314</v>
      </c>
      <c r="BD54" s="26">
        <f>$CP$15*Z54</f>
        <v>277.30560000000003</v>
      </c>
      <c r="BE54" s="26">
        <f>AA54*$CQ$15</f>
        <v>-635</v>
      </c>
      <c r="BF54" s="26">
        <f>AB54*$CR$15</f>
        <v>96.213420799999994</v>
      </c>
      <c r="BG54" s="26">
        <f>AC54*$CS$15</f>
        <v>259.46589999999998</v>
      </c>
      <c r="BH54" s="26">
        <f>$CT$15*AD54</f>
        <v>358.41030000000001</v>
      </c>
      <c r="BI54" s="26">
        <f>AE54*$CU$15</f>
        <v>266.73680400000001</v>
      </c>
      <c r="BJ54" s="26">
        <f>$CV$15*AF54</f>
        <v>591.60749999999996</v>
      </c>
      <c r="BK54" s="26">
        <f>AG54*$CW$15</f>
        <v>2129.9680500000004</v>
      </c>
      <c r="BL54" s="26">
        <f>AH54*$CX$15</f>
        <v>321.2783</v>
      </c>
      <c r="BM54" s="26">
        <f>AI54*$CY$15</f>
        <v>321.25</v>
      </c>
      <c r="BN54" s="26">
        <f>AJ54*$CZ$15</f>
        <v>75</v>
      </c>
      <c r="BO54" s="26">
        <f>AK54*$DA$15</f>
        <v>-1138.8979999999999</v>
      </c>
      <c r="BP54" s="26">
        <f>AL54*$DB$15</f>
        <v>638.82500000000005</v>
      </c>
      <c r="BQ54" s="26">
        <f>SUM(Table9[[#This Row],[SCW]:[SCPF]])</f>
        <v>6499.1909761999996</v>
      </c>
    </row>
    <row r="55" spans="1:69" x14ac:dyDescent="0.45">
      <c r="A55" s="3">
        <v>63</v>
      </c>
      <c r="B55" s="4" t="s">
        <v>320</v>
      </c>
      <c r="C55" s="3">
        <v>32</v>
      </c>
      <c r="D55" s="3">
        <v>22</v>
      </c>
      <c r="E55" s="3">
        <v>10</v>
      </c>
      <c r="F55" s="3">
        <v>0.68799999999999994</v>
      </c>
      <c r="G55" s="3">
        <v>10.24</v>
      </c>
      <c r="H55" s="3">
        <v>5.64</v>
      </c>
      <c r="I55" s="3"/>
      <c r="J55" s="3">
        <v>9</v>
      </c>
      <c r="K55" s="3">
        <v>6</v>
      </c>
      <c r="L55" s="3"/>
      <c r="M55" s="3">
        <v>12</v>
      </c>
      <c r="N55" s="3">
        <v>2</v>
      </c>
      <c r="O55" s="3"/>
      <c r="P55" s="3">
        <v>6</v>
      </c>
      <c r="Q55" s="3">
        <v>5</v>
      </c>
      <c r="R55" s="3"/>
      <c r="S55" s="3">
        <v>2358</v>
      </c>
      <c r="T55" s="3">
        <v>2172</v>
      </c>
      <c r="U55" s="3"/>
      <c r="V55" s="3">
        <v>1290</v>
      </c>
      <c r="W55" s="3">
        <v>865</v>
      </c>
      <c r="X55" s="3">
        <v>1911</v>
      </c>
      <c r="Y55" s="3">
        <v>0.45300000000000001</v>
      </c>
      <c r="Z55" s="3">
        <v>251</v>
      </c>
      <c r="AA55" s="3">
        <v>708</v>
      </c>
      <c r="AB55" s="3">
        <v>0.35499999999999998</v>
      </c>
      <c r="AC55" s="3">
        <v>377</v>
      </c>
      <c r="AD55" s="3">
        <v>520</v>
      </c>
      <c r="AE55" s="3">
        <v>0.72499999999999998</v>
      </c>
      <c r="AF55" s="3">
        <v>344</v>
      </c>
      <c r="AG55" s="3">
        <v>1255</v>
      </c>
      <c r="AH55" s="3">
        <v>451</v>
      </c>
      <c r="AI55" s="3">
        <v>158</v>
      </c>
      <c r="AJ55" s="3">
        <v>101</v>
      </c>
      <c r="AK55" s="3">
        <v>408</v>
      </c>
      <c r="AL55" s="3">
        <v>567</v>
      </c>
      <c r="AM55" s="23">
        <f>D55*$BY$15</f>
        <v>48.884</v>
      </c>
      <c r="AN55" s="24">
        <f>$BZ$15*E55</f>
        <v>-22.200000000000003</v>
      </c>
      <c r="AO55" s="24">
        <f>F55*$CA$15</f>
        <v>152.88873599999999</v>
      </c>
      <c r="AP55" s="24">
        <f>G55*$CB$15</f>
        <v>901.12</v>
      </c>
      <c r="AQ55" s="24">
        <f>H55*$CC$15</f>
        <v>761.4</v>
      </c>
      <c r="AR55" s="24">
        <f>J55*$CD$15</f>
        <v>19.8</v>
      </c>
      <c r="AS55" s="24">
        <f>K55*$CE$15</f>
        <v>-13.200000000000001</v>
      </c>
      <c r="AT55" s="24">
        <f>M55*$CF$15</f>
        <v>12</v>
      </c>
      <c r="AU55" s="24">
        <f>N55*$CG$15</f>
        <v>2</v>
      </c>
      <c r="AV55" s="24">
        <f>P55*$CH$15</f>
        <v>9.9989999999999988</v>
      </c>
      <c r="AW55" s="24">
        <f>$CI$15*Q55</f>
        <v>8.3324999999999996</v>
      </c>
      <c r="AX55" s="24">
        <f>S55*$CJ$15</f>
        <v>4454.0262000000002</v>
      </c>
      <c r="AY55" s="24">
        <f>T55*$CK$15</f>
        <v>-3620.0724</v>
      </c>
      <c r="AZ55" s="24">
        <f>V55*$CL$15</f>
        <v>1290</v>
      </c>
      <c r="BA55" s="24">
        <f>W55*$CM$15</f>
        <v>1038</v>
      </c>
      <c r="BB55" s="24">
        <f>X55*$CN$15</f>
        <v>-2413.8223200000002</v>
      </c>
      <c r="BC55" s="24">
        <f>Y55*$CO$15</f>
        <v>125.8333434</v>
      </c>
      <c r="BD55" s="24">
        <f>$CP$15*Z55</f>
        <v>334.63320000000004</v>
      </c>
      <c r="BE55" s="24">
        <f>AA55*$CQ$15</f>
        <v>-708</v>
      </c>
      <c r="BF55" s="24">
        <f>AB55*$CR$15</f>
        <v>104.13342799999999</v>
      </c>
      <c r="BG55" s="24">
        <f>AC55*$CS$15</f>
        <v>198.4151</v>
      </c>
      <c r="BH55" s="24">
        <f>$CT$15*AD55</f>
        <v>273.67599999999999</v>
      </c>
      <c r="BI55" s="24">
        <f>AE55*$CU$15</f>
        <v>267.10522500000002</v>
      </c>
      <c r="BJ55" s="24">
        <f>$CV$15*AF55</f>
        <v>573.27599999999995</v>
      </c>
      <c r="BK55" s="24">
        <f>AG55*$CW$15</f>
        <v>2509.9623500000002</v>
      </c>
      <c r="BL55" s="24">
        <f>AH55*$CX$15</f>
        <v>418.77605</v>
      </c>
      <c r="BM55" s="24">
        <f>AI55*$CY$15</f>
        <v>197.5</v>
      </c>
      <c r="BN55" s="24">
        <f>AJ55*$CZ$15</f>
        <v>50.5</v>
      </c>
      <c r="BO55" s="24">
        <f>AK55*$DA$15</f>
        <v>-1133.3424</v>
      </c>
      <c r="BP55" s="24">
        <f>AL55*$DB$15</f>
        <v>629.93700000000001</v>
      </c>
      <c r="BQ55" s="24">
        <f>SUM(Table9[[#This Row],[SCW]:[SCPF]])</f>
        <v>6471.5610124000013</v>
      </c>
    </row>
    <row r="56" spans="1:69" x14ac:dyDescent="0.45">
      <c r="A56" s="3">
        <v>51</v>
      </c>
      <c r="B56" s="4" t="s">
        <v>309</v>
      </c>
      <c r="C56" s="3">
        <v>33</v>
      </c>
      <c r="D56" s="3">
        <v>22</v>
      </c>
      <c r="E56" s="3">
        <v>11</v>
      </c>
      <c r="F56" s="3">
        <v>0.66700000000000004</v>
      </c>
      <c r="G56" s="3">
        <v>11.49</v>
      </c>
      <c r="H56" s="3">
        <v>8.4</v>
      </c>
      <c r="I56" s="3"/>
      <c r="J56" s="3">
        <v>12</v>
      </c>
      <c r="K56" s="3">
        <v>7</v>
      </c>
      <c r="L56" s="3"/>
      <c r="M56" s="3">
        <v>11</v>
      </c>
      <c r="N56" s="3">
        <v>4</v>
      </c>
      <c r="O56" s="3"/>
      <c r="P56" s="3">
        <v>6</v>
      </c>
      <c r="Q56" s="3">
        <v>5</v>
      </c>
      <c r="R56" s="3"/>
      <c r="S56" s="3">
        <v>2278</v>
      </c>
      <c r="T56" s="3">
        <v>2176</v>
      </c>
      <c r="U56" s="3"/>
      <c r="V56" s="3">
        <v>1330</v>
      </c>
      <c r="W56" s="3">
        <v>850</v>
      </c>
      <c r="X56" s="3">
        <v>1887</v>
      </c>
      <c r="Y56" s="3">
        <v>0.45</v>
      </c>
      <c r="Z56" s="3">
        <v>221</v>
      </c>
      <c r="AA56" s="3">
        <v>721</v>
      </c>
      <c r="AB56" s="3">
        <v>0.307</v>
      </c>
      <c r="AC56" s="3">
        <v>357</v>
      </c>
      <c r="AD56" s="3">
        <v>490</v>
      </c>
      <c r="AE56" s="3">
        <v>0.72899999999999998</v>
      </c>
      <c r="AF56" s="3">
        <v>318</v>
      </c>
      <c r="AG56" s="3">
        <v>1263</v>
      </c>
      <c r="AH56" s="3">
        <v>434</v>
      </c>
      <c r="AI56" s="3">
        <v>177</v>
      </c>
      <c r="AJ56" s="3">
        <v>146</v>
      </c>
      <c r="AK56" s="3">
        <v>464</v>
      </c>
      <c r="AL56" s="3">
        <v>443</v>
      </c>
      <c r="AM56" s="23">
        <f>D56*$BY$15</f>
        <v>48.884</v>
      </c>
      <c r="AN56" s="24">
        <f>$BZ$15*E56</f>
        <v>-24.42</v>
      </c>
      <c r="AO56" s="24">
        <f>F56*$CA$15</f>
        <v>148.22207400000002</v>
      </c>
      <c r="AP56" s="24">
        <f>G56*$CB$15</f>
        <v>1011.12</v>
      </c>
      <c r="AQ56" s="24">
        <f>H56*$CC$15</f>
        <v>1134</v>
      </c>
      <c r="AR56" s="24">
        <f>J56*$CD$15</f>
        <v>26.400000000000002</v>
      </c>
      <c r="AS56" s="24">
        <f>K56*$CE$15</f>
        <v>-15.400000000000002</v>
      </c>
      <c r="AT56" s="24">
        <f>M56*$CF$15</f>
        <v>11</v>
      </c>
      <c r="AU56" s="24">
        <f>N56*$CG$15</f>
        <v>4</v>
      </c>
      <c r="AV56" s="24">
        <f>P56*$CH$15</f>
        <v>9.9989999999999988</v>
      </c>
      <c r="AW56" s="24">
        <f>$CI$15*Q56</f>
        <v>8.3324999999999996</v>
      </c>
      <c r="AX56" s="24">
        <f>S56*$CJ$15</f>
        <v>4302.9142000000002</v>
      </c>
      <c r="AY56" s="24">
        <f>T56*$CK$15</f>
        <v>-3626.7392</v>
      </c>
      <c r="AZ56" s="24">
        <f>V56*$CL$15</f>
        <v>1330</v>
      </c>
      <c r="BA56" s="24">
        <f>W56*$CM$15</f>
        <v>1020</v>
      </c>
      <c r="BB56" s="24">
        <f>X56*$CN$15</f>
        <v>-2383.5074399999999</v>
      </c>
      <c r="BC56" s="24">
        <f>Y56*$CO$15</f>
        <v>125.00001</v>
      </c>
      <c r="BD56" s="24">
        <f>$CP$15*Z56</f>
        <v>294.63720000000006</v>
      </c>
      <c r="BE56" s="24">
        <f>AA56*$CQ$15</f>
        <v>-721</v>
      </c>
      <c r="BF56" s="24">
        <f>AB56*$CR$15</f>
        <v>90.053415199999989</v>
      </c>
      <c r="BG56" s="24">
        <f>AC56*$CS$15</f>
        <v>187.88909999999998</v>
      </c>
      <c r="BH56" s="24">
        <f>$CT$15*AD56</f>
        <v>257.887</v>
      </c>
      <c r="BI56" s="24">
        <f>AE56*$CU$15</f>
        <v>268.57890900000001</v>
      </c>
      <c r="BJ56" s="24">
        <f>$CV$15*AF56</f>
        <v>529.947</v>
      </c>
      <c r="BK56" s="24">
        <f>AG56*$CW$15</f>
        <v>2525.9621100000004</v>
      </c>
      <c r="BL56" s="24">
        <f>AH56*$CX$15</f>
        <v>402.9907</v>
      </c>
      <c r="BM56" s="24">
        <f>AI56*$CY$15</f>
        <v>221.25</v>
      </c>
      <c r="BN56" s="24">
        <f>AJ56*$CZ$15</f>
        <v>73</v>
      </c>
      <c r="BO56" s="24">
        <f>AK56*$DA$15</f>
        <v>-1288.8992000000001</v>
      </c>
      <c r="BP56" s="24">
        <f>AL56*$DB$15</f>
        <v>492.173</v>
      </c>
      <c r="BQ56" s="24">
        <f>SUM(Table9[[#This Row],[SCW]:[SCPF]])</f>
        <v>6464.2743782000007</v>
      </c>
    </row>
    <row r="57" spans="1:69" x14ac:dyDescent="0.45">
      <c r="A57" s="3">
        <v>58</v>
      </c>
      <c r="B57" s="4" t="s">
        <v>315</v>
      </c>
      <c r="C57" s="3">
        <v>32</v>
      </c>
      <c r="D57" s="3">
        <v>21</v>
      </c>
      <c r="E57" s="3">
        <v>11</v>
      </c>
      <c r="F57" s="3">
        <v>0.65600000000000003</v>
      </c>
      <c r="G57" s="3">
        <v>10.64</v>
      </c>
      <c r="H57" s="3">
        <v>6.6</v>
      </c>
      <c r="I57" s="3"/>
      <c r="J57" s="3">
        <v>12</v>
      </c>
      <c r="K57" s="3">
        <v>8</v>
      </c>
      <c r="L57" s="3"/>
      <c r="M57" s="3">
        <v>12</v>
      </c>
      <c r="N57" s="3">
        <v>5</v>
      </c>
      <c r="O57" s="3"/>
      <c r="P57" s="3">
        <v>6</v>
      </c>
      <c r="Q57" s="3">
        <v>4</v>
      </c>
      <c r="R57" s="3"/>
      <c r="S57" s="3">
        <v>2277</v>
      </c>
      <c r="T57" s="3">
        <v>2148</v>
      </c>
      <c r="U57" s="3"/>
      <c r="V57" s="3">
        <v>1290</v>
      </c>
      <c r="W57" s="3">
        <v>792</v>
      </c>
      <c r="X57" s="3">
        <v>1789</v>
      </c>
      <c r="Y57" s="3">
        <v>0.443</v>
      </c>
      <c r="Z57" s="3">
        <v>220</v>
      </c>
      <c r="AA57" s="3">
        <v>595</v>
      </c>
      <c r="AB57" s="3">
        <v>0.37</v>
      </c>
      <c r="AC57" s="3">
        <v>473</v>
      </c>
      <c r="AD57" s="3">
        <v>628</v>
      </c>
      <c r="AE57" s="3">
        <v>0.753</v>
      </c>
      <c r="AF57" s="3">
        <v>321</v>
      </c>
      <c r="AG57" s="3">
        <v>1192</v>
      </c>
      <c r="AH57" s="3">
        <v>425</v>
      </c>
      <c r="AI57" s="3">
        <v>178</v>
      </c>
      <c r="AJ57" s="3">
        <v>103</v>
      </c>
      <c r="AK57" s="3">
        <v>436</v>
      </c>
      <c r="AL57" s="3">
        <v>505</v>
      </c>
      <c r="AM57" s="25">
        <f>D57*$BY$15</f>
        <v>46.661999999999999</v>
      </c>
      <c r="AN57" s="26">
        <f>$BZ$15*E57</f>
        <v>-24.42</v>
      </c>
      <c r="AO57" s="26">
        <f>F57*$CA$15</f>
        <v>145.77763200000001</v>
      </c>
      <c r="AP57" s="26">
        <f>G57*$CB$15</f>
        <v>936.32</v>
      </c>
      <c r="AQ57" s="26">
        <f>H57*$CC$15</f>
        <v>891</v>
      </c>
      <c r="AR57" s="26">
        <f>J57*$CD$15</f>
        <v>26.400000000000002</v>
      </c>
      <c r="AS57" s="26">
        <f>K57*$CE$15</f>
        <v>-17.600000000000001</v>
      </c>
      <c r="AT57" s="26">
        <f>M57*$CF$15</f>
        <v>12</v>
      </c>
      <c r="AU57" s="26">
        <f>N57*$CG$15</f>
        <v>5</v>
      </c>
      <c r="AV57" s="26">
        <f>P57*$CH$15</f>
        <v>9.9989999999999988</v>
      </c>
      <c r="AW57" s="26">
        <f>$CI$15*Q57</f>
        <v>6.6659999999999995</v>
      </c>
      <c r="AX57" s="26">
        <f>S57*$CJ$15</f>
        <v>4301.0253000000002</v>
      </c>
      <c r="AY57" s="26">
        <f>T57*$CK$15</f>
        <v>-3580.0716000000002</v>
      </c>
      <c r="AZ57" s="26">
        <f>V57*$CL$15</f>
        <v>1290</v>
      </c>
      <c r="BA57" s="26">
        <f>W57*$CM$15</f>
        <v>950.4</v>
      </c>
      <c r="BB57" s="26">
        <f>X57*$CN$15</f>
        <v>-2259.7216800000001</v>
      </c>
      <c r="BC57" s="26">
        <f>Y57*$CO$15</f>
        <v>123.05556540000001</v>
      </c>
      <c r="BD57" s="26">
        <f>$CP$15*Z57</f>
        <v>293.30400000000003</v>
      </c>
      <c r="BE57" s="26">
        <f>AA57*$CQ$15</f>
        <v>-595</v>
      </c>
      <c r="BF57" s="26">
        <f>AB57*$CR$15</f>
        <v>108.53343199999999</v>
      </c>
      <c r="BG57" s="26">
        <f>AC57*$CS$15</f>
        <v>248.93989999999999</v>
      </c>
      <c r="BH57" s="26">
        <f>$CT$15*AD57</f>
        <v>330.51639999999998</v>
      </c>
      <c r="BI57" s="26">
        <f>AE57*$CU$15</f>
        <v>277.42101300000002</v>
      </c>
      <c r="BJ57" s="26">
        <f>$CV$15*AF57</f>
        <v>534.94650000000001</v>
      </c>
      <c r="BK57" s="26">
        <f>AG57*$CW$15</f>
        <v>2383.9642400000002</v>
      </c>
      <c r="BL57" s="26">
        <f>AH57*$CX$15</f>
        <v>394.63375000000002</v>
      </c>
      <c r="BM57" s="26">
        <f>AI57*$CY$15</f>
        <v>222.5</v>
      </c>
      <c r="BN57" s="26">
        <f>AJ57*$CZ$15</f>
        <v>51.5</v>
      </c>
      <c r="BO57" s="26">
        <f>AK57*$DA$15</f>
        <v>-1211.1207999999999</v>
      </c>
      <c r="BP57" s="26">
        <f>AL57*$DB$15</f>
        <v>561.05499999999995</v>
      </c>
      <c r="BQ57" s="26">
        <f>SUM(Table9[[#This Row],[SCW]:[SCPF]])</f>
        <v>6463.6856524000013</v>
      </c>
    </row>
    <row r="58" spans="1:69" x14ac:dyDescent="0.45">
      <c r="A58" s="3">
        <v>50</v>
      </c>
      <c r="B58" s="4" t="s">
        <v>308</v>
      </c>
      <c r="C58" s="3">
        <v>31</v>
      </c>
      <c r="D58" s="3">
        <v>23</v>
      </c>
      <c r="E58" s="3">
        <v>8</v>
      </c>
      <c r="F58" s="3">
        <v>0.74199999999999999</v>
      </c>
      <c r="G58" s="3">
        <v>11.81</v>
      </c>
      <c r="H58" s="3">
        <v>4.6100000000000003</v>
      </c>
      <c r="I58" s="3"/>
      <c r="J58" s="3">
        <v>13</v>
      </c>
      <c r="K58" s="3">
        <v>4</v>
      </c>
      <c r="L58" s="3"/>
      <c r="M58" s="3">
        <v>16</v>
      </c>
      <c r="N58" s="3">
        <v>0</v>
      </c>
      <c r="O58" s="3"/>
      <c r="P58" s="3">
        <v>6</v>
      </c>
      <c r="Q58" s="3">
        <v>5</v>
      </c>
      <c r="R58" s="3"/>
      <c r="S58" s="3">
        <v>2305</v>
      </c>
      <c r="T58" s="3">
        <v>2082</v>
      </c>
      <c r="U58" s="3"/>
      <c r="V58" s="3">
        <v>1245</v>
      </c>
      <c r="W58" s="3">
        <v>782</v>
      </c>
      <c r="X58" s="3">
        <v>1762</v>
      </c>
      <c r="Y58" s="3">
        <v>0.44400000000000001</v>
      </c>
      <c r="Z58" s="3">
        <v>272</v>
      </c>
      <c r="AA58" s="3">
        <v>749</v>
      </c>
      <c r="AB58" s="3">
        <v>0.36299999999999999</v>
      </c>
      <c r="AC58" s="3">
        <v>469</v>
      </c>
      <c r="AD58" s="3">
        <v>632</v>
      </c>
      <c r="AE58" s="3">
        <v>0.74199999999999999</v>
      </c>
      <c r="AF58" s="3">
        <v>295</v>
      </c>
      <c r="AG58" s="3">
        <v>1165</v>
      </c>
      <c r="AH58" s="3">
        <v>433</v>
      </c>
      <c r="AI58" s="3">
        <v>195</v>
      </c>
      <c r="AJ58" s="3">
        <v>135</v>
      </c>
      <c r="AK58" s="3">
        <v>381</v>
      </c>
      <c r="AL58" s="3">
        <v>473</v>
      </c>
      <c r="AM58" s="25">
        <f>D58*$BY$15</f>
        <v>51.106000000000002</v>
      </c>
      <c r="AN58" s="26">
        <f>$BZ$15*E58</f>
        <v>-17.760000000000002</v>
      </c>
      <c r="AO58" s="26">
        <f>F58*$CA$15</f>
        <v>164.888724</v>
      </c>
      <c r="AP58" s="26">
        <f>G58*$CB$15</f>
        <v>1039.28</v>
      </c>
      <c r="AQ58" s="26">
        <f>H58*$CC$15</f>
        <v>622.35</v>
      </c>
      <c r="AR58" s="26">
        <f>J58*$CD$15</f>
        <v>28.6</v>
      </c>
      <c r="AS58" s="26">
        <f>K58*$CE$15</f>
        <v>-8.8000000000000007</v>
      </c>
      <c r="AT58" s="26">
        <f>M58*$CF$15</f>
        <v>16</v>
      </c>
      <c r="AU58" s="26">
        <f>N58*$CG$15</f>
        <v>0</v>
      </c>
      <c r="AV58" s="26">
        <f>P58*$CH$15</f>
        <v>9.9989999999999988</v>
      </c>
      <c r="AW58" s="26">
        <f>$CI$15*Q58</f>
        <v>8.3324999999999996</v>
      </c>
      <c r="AX58" s="26">
        <f>S58*$CJ$15</f>
        <v>4353.9144999999999</v>
      </c>
      <c r="AY58" s="26">
        <f>T58*$CK$15</f>
        <v>-3470.0694000000003</v>
      </c>
      <c r="AZ58" s="26">
        <f>V58*$CL$15</f>
        <v>1245</v>
      </c>
      <c r="BA58" s="26">
        <f>W58*$CM$15</f>
        <v>938.4</v>
      </c>
      <c r="BB58" s="26">
        <f>X58*$CN$15</f>
        <v>-2225.61744</v>
      </c>
      <c r="BC58" s="26">
        <f>Y58*$CO$15</f>
        <v>123.3333432</v>
      </c>
      <c r="BD58" s="26">
        <f>$CP$15*Z58</f>
        <v>362.63040000000007</v>
      </c>
      <c r="BE58" s="26">
        <f>AA58*$CQ$15</f>
        <v>-749</v>
      </c>
      <c r="BF58" s="26">
        <f>AB58*$CR$15</f>
        <v>106.4800968</v>
      </c>
      <c r="BG58" s="26">
        <f>AC58*$CS$15</f>
        <v>246.8347</v>
      </c>
      <c r="BH58" s="26">
        <f>$CT$15*AD58</f>
        <v>332.6216</v>
      </c>
      <c r="BI58" s="26">
        <f>AE58*$CU$15</f>
        <v>273.36838200000005</v>
      </c>
      <c r="BJ58" s="26">
        <f>$CV$15*AF58</f>
        <v>491.61749999999995</v>
      </c>
      <c r="BK58" s="26">
        <f>AG58*$CW$15</f>
        <v>2329.9650500000002</v>
      </c>
      <c r="BL58" s="26">
        <f>AH58*$CX$15</f>
        <v>402.06214999999997</v>
      </c>
      <c r="BM58" s="26">
        <f>AI58*$CY$15</f>
        <v>243.75</v>
      </c>
      <c r="BN58" s="26">
        <f>AJ58*$CZ$15</f>
        <v>67.5</v>
      </c>
      <c r="BO58" s="26">
        <f>AK58*$DA$15</f>
        <v>-1058.3417999999999</v>
      </c>
      <c r="BP58" s="26">
        <f>AL58*$DB$15</f>
        <v>525.50300000000004</v>
      </c>
      <c r="BQ58" s="26">
        <f>SUM(Table9[[#This Row],[SCW]:[SCPF]])</f>
        <v>6453.9483059999975</v>
      </c>
    </row>
    <row r="59" spans="1:69" x14ac:dyDescent="0.45">
      <c r="A59" s="3">
        <v>53</v>
      </c>
      <c r="B59" s="4" t="s">
        <v>311</v>
      </c>
      <c r="C59" s="3">
        <v>33</v>
      </c>
      <c r="D59" s="3">
        <v>17</v>
      </c>
      <c r="E59" s="3">
        <v>16</v>
      </c>
      <c r="F59" s="3">
        <v>0.51500000000000001</v>
      </c>
      <c r="G59" s="3">
        <v>11.18</v>
      </c>
      <c r="H59" s="3">
        <v>8.3000000000000007</v>
      </c>
      <c r="I59" s="3"/>
      <c r="J59" s="3">
        <v>7</v>
      </c>
      <c r="K59" s="3">
        <v>11</v>
      </c>
      <c r="L59" s="3"/>
      <c r="M59" s="3">
        <v>9</v>
      </c>
      <c r="N59" s="3">
        <v>8</v>
      </c>
      <c r="O59" s="3"/>
      <c r="P59" s="3">
        <v>5</v>
      </c>
      <c r="Q59" s="3">
        <v>7</v>
      </c>
      <c r="R59" s="3"/>
      <c r="S59" s="3">
        <v>2323</v>
      </c>
      <c r="T59" s="3">
        <v>2228</v>
      </c>
      <c r="U59" s="3"/>
      <c r="V59" s="3">
        <v>1325</v>
      </c>
      <c r="W59" s="3">
        <v>771</v>
      </c>
      <c r="X59" s="3">
        <v>1818</v>
      </c>
      <c r="Y59" s="3">
        <v>0.42399999999999999</v>
      </c>
      <c r="Z59" s="3">
        <v>286</v>
      </c>
      <c r="AA59" s="3">
        <v>839</v>
      </c>
      <c r="AB59" s="3">
        <v>0.34100000000000003</v>
      </c>
      <c r="AC59" s="3">
        <v>495</v>
      </c>
      <c r="AD59" s="3">
        <v>714</v>
      </c>
      <c r="AE59" s="3">
        <v>0.69299999999999995</v>
      </c>
      <c r="AF59" s="3">
        <v>313</v>
      </c>
      <c r="AG59" s="3">
        <v>1122</v>
      </c>
      <c r="AH59" s="3">
        <v>385</v>
      </c>
      <c r="AI59" s="3">
        <v>248</v>
      </c>
      <c r="AJ59" s="3">
        <v>110</v>
      </c>
      <c r="AK59" s="3">
        <v>443</v>
      </c>
      <c r="AL59" s="3">
        <v>599</v>
      </c>
      <c r="AM59" s="23">
        <f>D59*$BY$15</f>
        <v>37.774000000000001</v>
      </c>
      <c r="AN59" s="24">
        <f>$BZ$15*E59</f>
        <v>-35.520000000000003</v>
      </c>
      <c r="AO59" s="24">
        <f>F59*$CA$15</f>
        <v>114.44433000000001</v>
      </c>
      <c r="AP59" s="24">
        <f>G59*$CB$15</f>
        <v>983.83999999999992</v>
      </c>
      <c r="AQ59" s="24">
        <f>H59*$CC$15</f>
        <v>1120.5</v>
      </c>
      <c r="AR59" s="24">
        <f>J59*$CD$15</f>
        <v>15.400000000000002</v>
      </c>
      <c r="AS59" s="24">
        <f>K59*$CE$15</f>
        <v>-24.200000000000003</v>
      </c>
      <c r="AT59" s="24">
        <f>M59*$CF$15</f>
        <v>9</v>
      </c>
      <c r="AU59" s="24">
        <f>N59*$CG$15</f>
        <v>8</v>
      </c>
      <c r="AV59" s="24">
        <f>P59*$CH$15</f>
        <v>8.3324999999999996</v>
      </c>
      <c r="AW59" s="24">
        <f>$CI$15*Q59</f>
        <v>11.6655</v>
      </c>
      <c r="AX59" s="24">
        <f>S59*$CJ$15</f>
        <v>4387.9147000000003</v>
      </c>
      <c r="AY59" s="24">
        <f>T59*$CK$15</f>
        <v>-3713.4076</v>
      </c>
      <c r="AZ59" s="24">
        <f>V59*$CL$15</f>
        <v>1325</v>
      </c>
      <c r="BA59" s="24">
        <f>W59*$CM$15</f>
        <v>925.19999999999993</v>
      </c>
      <c r="BB59" s="24">
        <f>X59*$CN$15</f>
        <v>-2296.3521599999999</v>
      </c>
      <c r="BC59" s="24">
        <f>Y59*$CO$15</f>
        <v>117.77778720000001</v>
      </c>
      <c r="BD59" s="24">
        <f>$CP$15*Z59</f>
        <v>381.29520000000002</v>
      </c>
      <c r="BE59" s="24">
        <f>AA59*$CQ$15</f>
        <v>-839</v>
      </c>
      <c r="BF59" s="24">
        <f>AB59*$CR$15</f>
        <v>100.02675760000001</v>
      </c>
      <c r="BG59" s="24">
        <f>AC59*$CS$15</f>
        <v>260.51850000000002</v>
      </c>
      <c r="BH59" s="24">
        <f>$CT$15*AD59</f>
        <v>375.77819999999997</v>
      </c>
      <c r="BI59" s="24">
        <f>AE59*$CU$15</f>
        <v>255.31575300000003</v>
      </c>
      <c r="BJ59" s="24">
        <f>$CV$15*AF59</f>
        <v>521.61449999999991</v>
      </c>
      <c r="BK59" s="24">
        <f>AG59*$CW$15</f>
        <v>2243.9663400000004</v>
      </c>
      <c r="BL59" s="24">
        <f>AH59*$CX$15</f>
        <v>357.49174999999997</v>
      </c>
      <c r="BM59" s="24">
        <f>AI59*$CY$15</f>
        <v>310</v>
      </c>
      <c r="BN59" s="24">
        <f>AJ59*$CZ$15</f>
        <v>55</v>
      </c>
      <c r="BO59" s="24">
        <f>AK59*$DA$15</f>
        <v>-1230.5654</v>
      </c>
      <c r="BP59" s="24">
        <f>AL59*$DB$15</f>
        <v>665.48900000000003</v>
      </c>
      <c r="BQ59" s="24">
        <f>SUM(Table9[[#This Row],[SCW]:[SCPF]])</f>
        <v>6452.2996578000002</v>
      </c>
    </row>
    <row r="60" spans="1:69" x14ac:dyDescent="0.45">
      <c r="A60" s="3">
        <v>52</v>
      </c>
      <c r="B60" s="4" t="s">
        <v>310</v>
      </c>
      <c r="C60" s="3">
        <v>33</v>
      </c>
      <c r="D60" s="3">
        <v>18</v>
      </c>
      <c r="E60" s="3">
        <v>15</v>
      </c>
      <c r="F60" s="3">
        <v>0.54500000000000004</v>
      </c>
      <c r="G60" s="3">
        <v>11.28</v>
      </c>
      <c r="H60" s="3">
        <v>4.87</v>
      </c>
      <c r="I60" s="3"/>
      <c r="J60" s="3">
        <v>8</v>
      </c>
      <c r="K60" s="3">
        <v>10</v>
      </c>
      <c r="L60" s="3"/>
      <c r="M60" s="3">
        <v>9</v>
      </c>
      <c r="N60" s="3">
        <v>6</v>
      </c>
      <c r="O60" s="3"/>
      <c r="P60" s="3">
        <v>4</v>
      </c>
      <c r="Q60" s="3">
        <v>7</v>
      </c>
      <c r="R60" s="3"/>
      <c r="S60" s="3">
        <v>2425</v>
      </c>
      <c r="T60" s="3">
        <v>2190</v>
      </c>
      <c r="U60" s="3"/>
      <c r="V60" s="3">
        <v>1340</v>
      </c>
      <c r="W60" s="3">
        <v>892</v>
      </c>
      <c r="X60" s="3">
        <v>1861</v>
      </c>
      <c r="Y60" s="3">
        <v>0.47899999999999998</v>
      </c>
      <c r="Z60" s="3">
        <v>256</v>
      </c>
      <c r="AA60" s="3">
        <v>747</v>
      </c>
      <c r="AB60" s="3">
        <v>0.34300000000000003</v>
      </c>
      <c r="AC60" s="3">
        <v>385</v>
      </c>
      <c r="AD60" s="3">
        <v>531</v>
      </c>
      <c r="AE60" s="3">
        <v>0.72499999999999998</v>
      </c>
      <c r="AF60" s="3">
        <v>272</v>
      </c>
      <c r="AG60" s="3">
        <v>1162</v>
      </c>
      <c r="AH60" s="3">
        <v>590</v>
      </c>
      <c r="AI60" s="3">
        <v>206</v>
      </c>
      <c r="AJ60" s="3">
        <v>70</v>
      </c>
      <c r="AK60" s="3">
        <v>412</v>
      </c>
      <c r="AL60" s="3">
        <v>542</v>
      </c>
      <c r="AM60" s="25">
        <f>D60*$BY$15</f>
        <v>39.996000000000002</v>
      </c>
      <c r="AN60" s="26">
        <f>$BZ$15*E60</f>
        <v>-33.300000000000004</v>
      </c>
      <c r="AO60" s="26">
        <f>F60*$CA$15</f>
        <v>121.11099000000002</v>
      </c>
      <c r="AP60" s="26">
        <f>G60*$CB$15</f>
        <v>992.64</v>
      </c>
      <c r="AQ60" s="26">
        <f>H60*$CC$15</f>
        <v>657.45</v>
      </c>
      <c r="AR60" s="26">
        <f>J60*$CD$15</f>
        <v>17.600000000000001</v>
      </c>
      <c r="AS60" s="26">
        <f>K60*$CE$15</f>
        <v>-22</v>
      </c>
      <c r="AT60" s="26">
        <f>M60*$CF$15</f>
        <v>9</v>
      </c>
      <c r="AU60" s="26">
        <f>N60*$CG$15</f>
        <v>6</v>
      </c>
      <c r="AV60" s="26">
        <f>P60*$CH$15</f>
        <v>6.6659999999999995</v>
      </c>
      <c r="AW60" s="26">
        <f>$CI$15*Q60</f>
        <v>11.6655</v>
      </c>
      <c r="AX60" s="26">
        <f>S60*$CJ$15</f>
        <v>4580.5825000000004</v>
      </c>
      <c r="AY60" s="26">
        <f>T60*$CK$15</f>
        <v>-3650.0730000000003</v>
      </c>
      <c r="AZ60" s="26">
        <f>V60*$CL$15</f>
        <v>1340</v>
      </c>
      <c r="BA60" s="26">
        <f>W60*$CM$15</f>
        <v>1070.3999999999999</v>
      </c>
      <c r="BB60" s="26">
        <f>X60*$CN$15</f>
        <v>-2350.6663199999998</v>
      </c>
      <c r="BC60" s="26">
        <f>Y60*$CO$15</f>
        <v>133.05556619999999</v>
      </c>
      <c r="BD60" s="26">
        <f>$CP$15*Z60</f>
        <v>341.29920000000004</v>
      </c>
      <c r="BE60" s="26">
        <f>AA60*$CQ$15</f>
        <v>-747</v>
      </c>
      <c r="BF60" s="26">
        <f>AB60*$CR$15</f>
        <v>100.6134248</v>
      </c>
      <c r="BG60" s="26">
        <f>AC60*$CS$15</f>
        <v>202.62549999999999</v>
      </c>
      <c r="BH60" s="26">
        <f>$CT$15*AD60</f>
        <v>279.46530000000001</v>
      </c>
      <c r="BI60" s="26">
        <f>AE60*$CU$15</f>
        <v>267.10522500000002</v>
      </c>
      <c r="BJ60" s="26">
        <f>$CV$15*AF60</f>
        <v>453.28799999999995</v>
      </c>
      <c r="BK60" s="26">
        <f>AG60*$CW$15</f>
        <v>2323.9651400000002</v>
      </c>
      <c r="BL60" s="26">
        <f>AH60*$CX$15</f>
        <v>547.84450000000004</v>
      </c>
      <c r="BM60" s="26">
        <f>AI60*$CY$15</f>
        <v>257.5</v>
      </c>
      <c r="BN60" s="26">
        <f>AJ60*$CZ$15</f>
        <v>35</v>
      </c>
      <c r="BO60" s="26">
        <f>AK60*$DA$15</f>
        <v>-1144.4536000000001</v>
      </c>
      <c r="BP60" s="26">
        <f>AL60*$DB$15</f>
        <v>602.16200000000003</v>
      </c>
      <c r="BQ60" s="26">
        <f>SUM(Table9[[#This Row],[SCW]:[SCPF]])</f>
        <v>6449.5419259999999</v>
      </c>
    </row>
    <row r="61" spans="1:69" x14ac:dyDescent="0.45">
      <c r="A61" s="3">
        <v>45</v>
      </c>
      <c r="B61" s="4" t="s">
        <v>305</v>
      </c>
      <c r="C61" s="3">
        <v>32</v>
      </c>
      <c r="D61" s="3">
        <v>20</v>
      </c>
      <c r="E61" s="3">
        <v>12</v>
      </c>
      <c r="F61" s="3">
        <v>0.625</v>
      </c>
      <c r="G61" s="3">
        <v>12.41</v>
      </c>
      <c r="H61" s="3">
        <v>8.94</v>
      </c>
      <c r="I61" s="3"/>
      <c r="J61" s="3">
        <v>7</v>
      </c>
      <c r="K61" s="3">
        <v>11</v>
      </c>
      <c r="L61" s="3"/>
      <c r="M61" s="3">
        <v>14</v>
      </c>
      <c r="N61" s="3">
        <v>5</v>
      </c>
      <c r="O61" s="3"/>
      <c r="P61" s="3">
        <v>4</v>
      </c>
      <c r="Q61" s="3">
        <v>6</v>
      </c>
      <c r="R61" s="3"/>
      <c r="S61" s="3">
        <v>2127</v>
      </c>
      <c r="T61" s="3">
        <v>2016</v>
      </c>
      <c r="U61" s="3"/>
      <c r="V61" s="3">
        <v>1290</v>
      </c>
      <c r="W61" s="3">
        <v>784</v>
      </c>
      <c r="X61" s="3">
        <v>1787</v>
      </c>
      <c r="Y61" s="3">
        <v>0.439</v>
      </c>
      <c r="Z61" s="3">
        <v>215</v>
      </c>
      <c r="AA61" s="3">
        <v>669</v>
      </c>
      <c r="AB61" s="3">
        <v>0.32100000000000001</v>
      </c>
      <c r="AC61" s="3">
        <v>344</v>
      </c>
      <c r="AD61" s="3">
        <v>503</v>
      </c>
      <c r="AE61" s="3">
        <v>0.68400000000000005</v>
      </c>
      <c r="AF61" s="3">
        <v>302</v>
      </c>
      <c r="AG61" s="3">
        <v>1024</v>
      </c>
      <c r="AH61" s="3">
        <v>471</v>
      </c>
      <c r="AI61" s="3">
        <v>269</v>
      </c>
      <c r="AJ61" s="3">
        <v>98</v>
      </c>
      <c r="AK61" s="3">
        <v>442</v>
      </c>
      <c r="AL61" s="3">
        <v>577</v>
      </c>
      <c r="AM61" s="23">
        <f>D61*$BY$15</f>
        <v>44.44</v>
      </c>
      <c r="AN61" s="24">
        <f>$BZ$15*E61</f>
        <v>-26.64</v>
      </c>
      <c r="AO61" s="24">
        <f>F61*$CA$15</f>
        <v>138.88875000000002</v>
      </c>
      <c r="AP61" s="24">
        <f>G61*$CB$15</f>
        <v>1092.08</v>
      </c>
      <c r="AQ61" s="24">
        <f>H61*$CC$15</f>
        <v>1206.8999999999999</v>
      </c>
      <c r="AR61" s="24">
        <f>J61*$CD$15</f>
        <v>15.400000000000002</v>
      </c>
      <c r="AS61" s="24">
        <f>K61*$CE$15</f>
        <v>-24.200000000000003</v>
      </c>
      <c r="AT61" s="24">
        <f>M61*$CF$15</f>
        <v>14</v>
      </c>
      <c r="AU61" s="24">
        <f>N61*$CG$15</f>
        <v>5</v>
      </c>
      <c r="AV61" s="24">
        <f>P61*$CH$15</f>
        <v>6.6659999999999995</v>
      </c>
      <c r="AW61" s="24">
        <f>$CI$15*Q61</f>
        <v>9.9989999999999988</v>
      </c>
      <c r="AX61" s="24">
        <f>S61*$CJ$15</f>
        <v>4017.6903000000002</v>
      </c>
      <c r="AY61" s="24">
        <f>T61*$CK$15</f>
        <v>-3360.0672</v>
      </c>
      <c r="AZ61" s="24">
        <f>V61*$CL$15</f>
        <v>1290</v>
      </c>
      <c r="BA61" s="24">
        <f>W61*$CM$15</f>
        <v>940.8</v>
      </c>
      <c r="BB61" s="24">
        <f>X61*$CN$15</f>
        <v>-2257.19544</v>
      </c>
      <c r="BC61" s="24">
        <f>Y61*$CO$15</f>
        <v>121.94445420000001</v>
      </c>
      <c r="BD61" s="24">
        <f>$CP$15*Z61</f>
        <v>286.63800000000003</v>
      </c>
      <c r="BE61" s="24">
        <f>AA61*$CQ$15</f>
        <v>-669</v>
      </c>
      <c r="BF61" s="24">
        <f>AB61*$CR$15</f>
        <v>94.160085600000002</v>
      </c>
      <c r="BG61" s="24">
        <f>AC61*$CS$15</f>
        <v>181.0472</v>
      </c>
      <c r="BH61" s="24">
        <f>$CT$15*AD61</f>
        <v>264.72890000000001</v>
      </c>
      <c r="BI61" s="24">
        <f>AE61*$CU$15</f>
        <v>251.99996400000006</v>
      </c>
      <c r="BJ61" s="24">
        <f>$CV$15*AF61</f>
        <v>503.28299999999996</v>
      </c>
      <c r="BK61" s="24">
        <f>AG61*$CW$15</f>
        <v>2047.9692800000003</v>
      </c>
      <c r="BL61" s="24">
        <f>AH61*$CX$15</f>
        <v>437.34704999999997</v>
      </c>
      <c r="BM61" s="24">
        <f>AI61*$CY$15</f>
        <v>336.25</v>
      </c>
      <c r="BN61" s="24">
        <f>AJ61*$CZ$15</f>
        <v>49</v>
      </c>
      <c r="BO61" s="24">
        <f>AK61*$DA$15</f>
        <v>-1227.7876000000001</v>
      </c>
      <c r="BP61" s="24">
        <f>AL61*$DB$15</f>
        <v>641.04700000000003</v>
      </c>
      <c r="BQ61" s="24">
        <f>SUM(Table9[[#This Row],[SCW]:[SCPF]])</f>
        <v>6432.388743800002</v>
      </c>
    </row>
    <row r="62" spans="1:69" x14ac:dyDescent="0.45">
      <c r="A62" s="3">
        <v>60</v>
      </c>
      <c r="B62" s="4" t="s">
        <v>317</v>
      </c>
      <c r="C62" s="3">
        <v>32</v>
      </c>
      <c r="D62" s="3">
        <v>30</v>
      </c>
      <c r="E62" s="3">
        <v>2</v>
      </c>
      <c r="F62" s="3">
        <v>0.93799999999999994</v>
      </c>
      <c r="G62" s="3">
        <v>10.48</v>
      </c>
      <c r="H62" s="3">
        <v>-3.52</v>
      </c>
      <c r="I62" s="3"/>
      <c r="J62" s="3">
        <v>18</v>
      </c>
      <c r="K62" s="3">
        <v>0</v>
      </c>
      <c r="L62" s="3"/>
      <c r="M62" s="3">
        <v>15</v>
      </c>
      <c r="N62" s="3">
        <v>0</v>
      </c>
      <c r="O62" s="3"/>
      <c r="P62" s="3">
        <v>11</v>
      </c>
      <c r="Q62" s="3">
        <v>1</v>
      </c>
      <c r="R62" s="3"/>
      <c r="S62" s="3">
        <v>2538</v>
      </c>
      <c r="T62" s="3">
        <v>1993</v>
      </c>
      <c r="U62" s="3"/>
      <c r="V62" s="3">
        <v>1280</v>
      </c>
      <c r="W62" s="3">
        <v>929</v>
      </c>
      <c r="X62" s="3">
        <v>1940</v>
      </c>
      <c r="Y62" s="3">
        <v>0.47899999999999998</v>
      </c>
      <c r="Z62" s="3">
        <v>258</v>
      </c>
      <c r="AA62" s="3">
        <v>730</v>
      </c>
      <c r="AB62" s="3">
        <v>0.35299999999999998</v>
      </c>
      <c r="AC62" s="3">
        <v>422</v>
      </c>
      <c r="AD62" s="3">
        <v>608</v>
      </c>
      <c r="AE62" s="3">
        <v>0.69399999999999995</v>
      </c>
      <c r="AF62" s="3">
        <v>400</v>
      </c>
      <c r="AG62" s="3">
        <v>1254</v>
      </c>
      <c r="AH62" s="3">
        <v>471</v>
      </c>
      <c r="AI62" s="3">
        <v>253</v>
      </c>
      <c r="AJ62" s="3">
        <v>100</v>
      </c>
      <c r="AK62" s="3">
        <v>365</v>
      </c>
      <c r="AL62" s="3">
        <v>479</v>
      </c>
      <c r="AM62" s="25">
        <f>D62*$BY$15</f>
        <v>66.66</v>
      </c>
      <c r="AN62" s="26">
        <f>$BZ$15*E62</f>
        <v>-4.4400000000000004</v>
      </c>
      <c r="AO62" s="26">
        <f>F62*$CA$15</f>
        <v>208.44423599999999</v>
      </c>
      <c r="AP62" s="26">
        <f>G62*$CB$15</f>
        <v>922.24</v>
      </c>
      <c r="AQ62" s="26">
        <f>H62*$CC$15</f>
        <v>-475.2</v>
      </c>
      <c r="AR62" s="26">
        <f>J62*$CD$15</f>
        <v>39.6</v>
      </c>
      <c r="AS62" s="26">
        <f>K62*$CE$15</f>
        <v>0</v>
      </c>
      <c r="AT62" s="26">
        <f>M62*$CF$15</f>
        <v>15</v>
      </c>
      <c r="AU62" s="26">
        <f>N62*$CG$15</f>
        <v>0</v>
      </c>
      <c r="AV62" s="26">
        <f>P62*$CH$15</f>
        <v>18.331499999999998</v>
      </c>
      <c r="AW62" s="26">
        <f>$CI$15*Q62</f>
        <v>1.6664999999999999</v>
      </c>
      <c r="AX62" s="26">
        <f>S62*$CJ$15</f>
        <v>4794.0281999999997</v>
      </c>
      <c r="AY62" s="26">
        <f>T62*$CK$15</f>
        <v>-3321.7330999999999</v>
      </c>
      <c r="AZ62" s="26">
        <f>V62*$CL$15</f>
        <v>1280</v>
      </c>
      <c r="BA62" s="26">
        <f>W62*$CM$15</f>
        <v>1114.8</v>
      </c>
      <c r="BB62" s="26">
        <f>X62*$CN$15</f>
        <v>-2450.4528</v>
      </c>
      <c r="BC62" s="26">
        <f>Y62*$CO$15</f>
        <v>133.05556619999999</v>
      </c>
      <c r="BD62" s="26">
        <f>$CP$15*Z62</f>
        <v>343.96560000000005</v>
      </c>
      <c r="BE62" s="26">
        <f>AA62*$CQ$15</f>
        <v>-730</v>
      </c>
      <c r="BF62" s="26">
        <f>AB62*$CR$15</f>
        <v>103.54676079999999</v>
      </c>
      <c r="BG62" s="26">
        <f>AC62*$CS$15</f>
        <v>222.0986</v>
      </c>
      <c r="BH62" s="26">
        <f>$CT$15*AD62</f>
        <v>319.99040000000002</v>
      </c>
      <c r="BI62" s="26">
        <f>AE62*$CU$15</f>
        <v>255.68417400000001</v>
      </c>
      <c r="BJ62" s="26">
        <f>$CV$15*AF62</f>
        <v>666.59999999999991</v>
      </c>
      <c r="BK62" s="26">
        <f>AG62*$CW$15</f>
        <v>2507.9623800000004</v>
      </c>
      <c r="BL62" s="26">
        <f>AH62*$CX$15</f>
        <v>437.34704999999997</v>
      </c>
      <c r="BM62" s="26">
        <f>AI62*$CY$15</f>
        <v>316.25</v>
      </c>
      <c r="BN62" s="26">
        <f>AJ62*$CZ$15</f>
        <v>50</v>
      </c>
      <c r="BO62" s="26">
        <f>AK62*$DA$15</f>
        <v>-1013.897</v>
      </c>
      <c r="BP62" s="26">
        <f>AL62*$DB$15</f>
        <v>532.16899999999998</v>
      </c>
      <c r="BQ62" s="26">
        <f>SUM(Table9[[#This Row],[SCW]:[SCPF]])</f>
        <v>6353.7170669999996</v>
      </c>
    </row>
    <row r="63" spans="1:69" x14ac:dyDescent="0.45">
      <c r="A63" s="3">
        <v>65</v>
      </c>
      <c r="B63" s="4" t="s">
        <v>322</v>
      </c>
      <c r="C63" s="3">
        <v>33</v>
      </c>
      <c r="D63" s="3">
        <v>23</v>
      </c>
      <c r="E63" s="3">
        <v>10</v>
      </c>
      <c r="F63" s="3">
        <v>0.69699999999999995</v>
      </c>
      <c r="G63" s="3">
        <v>10.119999999999999</v>
      </c>
      <c r="H63" s="3">
        <v>6.33</v>
      </c>
      <c r="I63" s="3"/>
      <c r="J63" s="3">
        <v>14</v>
      </c>
      <c r="K63" s="3">
        <v>6</v>
      </c>
      <c r="L63" s="3"/>
      <c r="M63" s="3">
        <v>10</v>
      </c>
      <c r="N63" s="3">
        <v>5</v>
      </c>
      <c r="O63" s="3"/>
      <c r="P63" s="3">
        <v>10</v>
      </c>
      <c r="Q63" s="3">
        <v>2</v>
      </c>
      <c r="R63" s="3"/>
      <c r="S63" s="3">
        <v>2469</v>
      </c>
      <c r="T63" s="3">
        <v>2344</v>
      </c>
      <c r="U63" s="3"/>
      <c r="V63" s="3">
        <v>1325</v>
      </c>
      <c r="W63" s="3">
        <v>910</v>
      </c>
      <c r="X63" s="3">
        <v>1903</v>
      </c>
      <c r="Y63" s="3">
        <v>0.47799999999999998</v>
      </c>
      <c r="Z63" s="3">
        <v>241</v>
      </c>
      <c r="AA63" s="3">
        <v>683</v>
      </c>
      <c r="AB63" s="3">
        <v>0.35299999999999998</v>
      </c>
      <c r="AC63" s="3">
        <v>408</v>
      </c>
      <c r="AD63" s="3">
        <v>549</v>
      </c>
      <c r="AE63" s="3">
        <v>0.74299999999999999</v>
      </c>
      <c r="AF63" s="3">
        <v>248</v>
      </c>
      <c r="AG63" s="3">
        <v>1005</v>
      </c>
      <c r="AH63" s="3">
        <v>463</v>
      </c>
      <c r="AI63" s="3">
        <v>288</v>
      </c>
      <c r="AJ63" s="3">
        <v>97</v>
      </c>
      <c r="AK63" s="3">
        <v>317</v>
      </c>
      <c r="AL63" s="3">
        <v>493</v>
      </c>
      <c r="AM63" s="23">
        <f>D63*$BY$15</f>
        <v>51.106000000000002</v>
      </c>
      <c r="AN63" s="24">
        <f>$BZ$15*E63</f>
        <v>-22.200000000000003</v>
      </c>
      <c r="AO63" s="24">
        <f>F63*$CA$15</f>
        <v>154.888734</v>
      </c>
      <c r="AP63" s="24">
        <f>G63*$CB$15</f>
        <v>890.56</v>
      </c>
      <c r="AQ63" s="24">
        <f>H63*$CC$15</f>
        <v>854.55</v>
      </c>
      <c r="AR63" s="24">
        <f>J63*$CD$15</f>
        <v>30.800000000000004</v>
      </c>
      <c r="AS63" s="24">
        <f>K63*$CE$15</f>
        <v>-13.200000000000001</v>
      </c>
      <c r="AT63" s="24">
        <f>M63*$CF$15</f>
        <v>10</v>
      </c>
      <c r="AU63" s="24">
        <f>N63*$CG$15</f>
        <v>5</v>
      </c>
      <c r="AV63" s="24">
        <f>P63*$CH$15</f>
        <v>16.664999999999999</v>
      </c>
      <c r="AW63" s="24">
        <f>$CI$15*Q63</f>
        <v>3.3329999999999997</v>
      </c>
      <c r="AX63" s="24">
        <f>S63*$CJ$15</f>
        <v>4663.6940999999997</v>
      </c>
      <c r="AY63" s="24">
        <f>T63*$CK$15</f>
        <v>-3906.7447999999999</v>
      </c>
      <c r="AZ63" s="24">
        <f>V63*$CL$15</f>
        <v>1325</v>
      </c>
      <c r="BA63" s="24">
        <f>W63*$CM$15</f>
        <v>1092</v>
      </c>
      <c r="BB63" s="24">
        <f>X63*$CN$15</f>
        <v>-2403.7173600000001</v>
      </c>
      <c r="BC63" s="24">
        <f>Y63*$CO$15</f>
        <v>132.77778839999999</v>
      </c>
      <c r="BD63" s="24">
        <f>$CP$15*Z63</f>
        <v>321.30120000000005</v>
      </c>
      <c r="BE63" s="24">
        <f>AA63*$CQ$15</f>
        <v>-683</v>
      </c>
      <c r="BF63" s="24">
        <f>AB63*$CR$15</f>
        <v>103.54676079999999</v>
      </c>
      <c r="BG63" s="24">
        <f>AC63*$CS$15</f>
        <v>214.7304</v>
      </c>
      <c r="BH63" s="24">
        <f>$CT$15*AD63</f>
        <v>288.93869999999998</v>
      </c>
      <c r="BI63" s="24">
        <f>AE63*$CU$15</f>
        <v>273.73680300000001</v>
      </c>
      <c r="BJ63" s="24">
        <f>$CV$15*AF63</f>
        <v>413.29199999999997</v>
      </c>
      <c r="BK63" s="24">
        <f>AG63*$CW$15</f>
        <v>2009.9698500000002</v>
      </c>
      <c r="BL63" s="24">
        <f>AH63*$CX$15</f>
        <v>429.91865000000001</v>
      </c>
      <c r="BM63" s="24">
        <f>AI63*$CY$15</f>
        <v>360</v>
      </c>
      <c r="BN63" s="24">
        <f>AJ63*$CZ$15</f>
        <v>48.5</v>
      </c>
      <c r="BO63" s="24">
        <f>AK63*$DA$15</f>
        <v>-880.56259999999997</v>
      </c>
      <c r="BP63" s="24">
        <f>AL63*$DB$15</f>
        <v>547.72299999999996</v>
      </c>
      <c r="BQ63" s="24">
        <f>SUM(Table9[[#This Row],[SCW]:[SCPF]])</f>
        <v>6332.6072261999989</v>
      </c>
    </row>
    <row r="64" spans="1:69" x14ac:dyDescent="0.45">
      <c r="A64" s="3">
        <v>47</v>
      </c>
      <c r="B64" s="4" t="s">
        <v>42</v>
      </c>
      <c r="C64" s="3">
        <v>30</v>
      </c>
      <c r="D64" s="3">
        <v>25</v>
      </c>
      <c r="E64" s="3">
        <v>5</v>
      </c>
      <c r="F64" s="3">
        <v>0.83299999999999996</v>
      </c>
      <c r="G64" s="3">
        <v>12.37</v>
      </c>
      <c r="H64" s="3">
        <v>4.99</v>
      </c>
      <c r="I64" s="3"/>
      <c r="J64" s="3">
        <v>14</v>
      </c>
      <c r="K64" s="3">
        <v>4</v>
      </c>
      <c r="L64" s="3"/>
      <c r="M64" s="3">
        <v>14</v>
      </c>
      <c r="N64" s="3">
        <v>1</v>
      </c>
      <c r="O64" s="3"/>
      <c r="P64" s="3">
        <v>6</v>
      </c>
      <c r="Q64" s="3">
        <v>3</v>
      </c>
      <c r="R64" s="3"/>
      <c r="S64" s="3">
        <v>2212</v>
      </c>
      <c r="T64" s="3">
        <v>1972</v>
      </c>
      <c r="U64" s="3"/>
      <c r="V64" s="3">
        <v>1210</v>
      </c>
      <c r="W64" s="3">
        <v>798</v>
      </c>
      <c r="X64" s="3">
        <v>1645</v>
      </c>
      <c r="Y64" s="3">
        <v>0.48499999999999999</v>
      </c>
      <c r="Z64" s="3">
        <v>229</v>
      </c>
      <c r="AA64" s="3">
        <v>640</v>
      </c>
      <c r="AB64" s="3">
        <v>0.35799999999999998</v>
      </c>
      <c r="AC64" s="3">
        <v>387</v>
      </c>
      <c r="AD64" s="3">
        <v>500</v>
      </c>
      <c r="AE64" s="3">
        <v>0.77400000000000002</v>
      </c>
      <c r="AF64" s="3">
        <v>199</v>
      </c>
      <c r="AG64" s="3">
        <v>957</v>
      </c>
      <c r="AH64" s="3">
        <v>426</v>
      </c>
      <c r="AI64" s="3">
        <v>188</v>
      </c>
      <c r="AJ64" s="3">
        <v>95</v>
      </c>
      <c r="AK64" s="3">
        <v>302</v>
      </c>
      <c r="AL64" s="3">
        <v>447</v>
      </c>
      <c r="AM64" s="23">
        <f>D64*$BY$15</f>
        <v>55.55</v>
      </c>
      <c r="AN64" s="24">
        <f>$BZ$15*E64</f>
        <v>-11.100000000000001</v>
      </c>
      <c r="AO64" s="24">
        <f>F64*$CA$15</f>
        <v>185.11092600000001</v>
      </c>
      <c r="AP64" s="24">
        <f>G64*$CB$15</f>
        <v>1088.56</v>
      </c>
      <c r="AQ64" s="24">
        <f>H64*$CC$15</f>
        <v>673.65</v>
      </c>
      <c r="AR64" s="24">
        <f>J64*$CD$15</f>
        <v>30.800000000000004</v>
      </c>
      <c r="AS64" s="24">
        <f>K64*$CE$15</f>
        <v>-8.8000000000000007</v>
      </c>
      <c r="AT64" s="24">
        <f>M64*$CF$15</f>
        <v>14</v>
      </c>
      <c r="AU64" s="24">
        <f>N64*$CG$15</f>
        <v>1</v>
      </c>
      <c r="AV64" s="24">
        <f>P64*$CH$15</f>
        <v>9.9989999999999988</v>
      </c>
      <c r="AW64" s="24">
        <f>$CI$15*Q64</f>
        <v>4.9994999999999994</v>
      </c>
      <c r="AX64" s="24">
        <f>S64*$CJ$15</f>
        <v>4178.2467999999999</v>
      </c>
      <c r="AY64" s="24">
        <f>T64*$CK$15</f>
        <v>-3286.7324000000003</v>
      </c>
      <c r="AZ64" s="24">
        <f>V64*$CL$15</f>
        <v>1210</v>
      </c>
      <c r="BA64" s="24">
        <f>W64*$CM$15</f>
        <v>957.59999999999991</v>
      </c>
      <c r="BB64" s="24">
        <f>X64*$CN$15</f>
        <v>-2077.8324000000002</v>
      </c>
      <c r="BC64" s="24">
        <f>Y64*$CO$15</f>
        <v>134.72223300000002</v>
      </c>
      <c r="BD64" s="24">
        <f>$CP$15*Z64</f>
        <v>305.30280000000005</v>
      </c>
      <c r="BE64" s="24">
        <f>AA64*$CQ$15</f>
        <v>-640</v>
      </c>
      <c r="BF64" s="24">
        <f>AB64*$CR$15</f>
        <v>105.01342879999999</v>
      </c>
      <c r="BG64" s="24">
        <f>AC64*$CS$15</f>
        <v>203.6781</v>
      </c>
      <c r="BH64" s="24">
        <f>$CT$15*AD64</f>
        <v>263.14999999999998</v>
      </c>
      <c r="BI64" s="24">
        <f>AE64*$CU$15</f>
        <v>285.15785400000004</v>
      </c>
      <c r="BJ64" s="24">
        <f>$CV$15*AF64</f>
        <v>331.63349999999997</v>
      </c>
      <c r="BK64" s="24">
        <f>AG64*$CW$15</f>
        <v>1913.9712900000002</v>
      </c>
      <c r="BL64" s="24">
        <f>AH64*$CX$15</f>
        <v>395.56229999999999</v>
      </c>
      <c r="BM64" s="24">
        <f>AI64*$CY$15</f>
        <v>235</v>
      </c>
      <c r="BN64" s="24">
        <f>AJ64*$CZ$15</f>
        <v>47.5</v>
      </c>
      <c r="BO64" s="24">
        <f>AK64*$DA$15</f>
        <v>-838.89560000000006</v>
      </c>
      <c r="BP64" s="24">
        <f>AL64*$DB$15</f>
        <v>496.61700000000002</v>
      </c>
      <c r="BQ64" s="24">
        <f>SUM(Table9[[#This Row],[SCW]:[SCPF]])</f>
        <v>6263.4643317999989</v>
      </c>
    </row>
    <row r="65" spans="1:69" x14ac:dyDescent="0.45">
      <c r="A65" s="3">
        <v>66</v>
      </c>
      <c r="B65" s="4" t="s">
        <v>323</v>
      </c>
      <c r="C65" s="3">
        <v>33</v>
      </c>
      <c r="D65" s="3">
        <v>25</v>
      </c>
      <c r="E65" s="3">
        <v>8</v>
      </c>
      <c r="F65" s="3">
        <v>0.75800000000000001</v>
      </c>
      <c r="G65" s="3">
        <v>10.1</v>
      </c>
      <c r="H65" s="3">
        <v>3.91</v>
      </c>
      <c r="I65" s="3"/>
      <c r="J65" s="3">
        <v>13</v>
      </c>
      <c r="K65" s="3">
        <v>5</v>
      </c>
      <c r="L65" s="3"/>
      <c r="M65" s="3">
        <v>14</v>
      </c>
      <c r="N65" s="3">
        <v>1</v>
      </c>
      <c r="O65" s="3"/>
      <c r="P65" s="3">
        <v>8</v>
      </c>
      <c r="Q65" s="3">
        <v>5</v>
      </c>
      <c r="R65" s="3"/>
      <c r="S65" s="3">
        <v>2408</v>
      </c>
      <c r="T65" s="3">
        <v>2161</v>
      </c>
      <c r="U65" s="3"/>
      <c r="V65" s="3">
        <v>1340</v>
      </c>
      <c r="W65" s="3">
        <v>833</v>
      </c>
      <c r="X65" s="3">
        <v>1819</v>
      </c>
      <c r="Y65" s="3">
        <v>0.45800000000000002</v>
      </c>
      <c r="Z65" s="3">
        <v>269</v>
      </c>
      <c r="AA65" s="3">
        <v>785</v>
      </c>
      <c r="AB65" s="3">
        <v>0.34300000000000003</v>
      </c>
      <c r="AC65" s="3">
        <v>473</v>
      </c>
      <c r="AD65" s="3">
        <v>651</v>
      </c>
      <c r="AE65" s="3">
        <v>0.72699999999999998</v>
      </c>
      <c r="AF65" s="3">
        <v>273</v>
      </c>
      <c r="AG65" s="3">
        <v>1182</v>
      </c>
      <c r="AH65" s="3">
        <v>375</v>
      </c>
      <c r="AI65" s="3">
        <v>131</v>
      </c>
      <c r="AJ65" s="3">
        <v>66</v>
      </c>
      <c r="AK65" s="3">
        <v>367</v>
      </c>
      <c r="AL65" s="3">
        <v>499</v>
      </c>
      <c r="AM65" s="25">
        <f>D65*$BY$15</f>
        <v>55.55</v>
      </c>
      <c r="AN65" s="26">
        <f>$BZ$15*E65</f>
        <v>-17.760000000000002</v>
      </c>
      <c r="AO65" s="26">
        <f>F65*$CA$15</f>
        <v>168.444276</v>
      </c>
      <c r="AP65" s="26">
        <f>G65*$CB$15</f>
        <v>888.8</v>
      </c>
      <c r="AQ65" s="26">
        <f>H65*$CC$15</f>
        <v>527.85</v>
      </c>
      <c r="AR65" s="26">
        <f>J65*$CD$15</f>
        <v>28.6</v>
      </c>
      <c r="AS65" s="26">
        <f>K65*$CE$15</f>
        <v>-11</v>
      </c>
      <c r="AT65" s="26">
        <f>M65*$CF$15</f>
        <v>14</v>
      </c>
      <c r="AU65" s="26">
        <f>N65*$CG$15</f>
        <v>1</v>
      </c>
      <c r="AV65" s="26">
        <f>P65*$CH$15</f>
        <v>13.331999999999999</v>
      </c>
      <c r="AW65" s="26">
        <f>$CI$15*Q65</f>
        <v>8.3324999999999996</v>
      </c>
      <c r="AX65" s="26">
        <f>S65*$CJ$15</f>
        <v>4548.4712</v>
      </c>
      <c r="AY65" s="26">
        <f>T65*$CK$15</f>
        <v>-3601.7387000000003</v>
      </c>
      <c r="AZ65" s="26">
        <f>V65*$CL$15</f>
        <v>1340</v>
      </c>
      <c r="BA65" s="26">
        <f>W65*$CM$15</f>
        <v>999.59999999999991</v>
      </c>
      <c r="BB65" s="26">
        <f>X65*$CN$15</f>
        <v>-2297.61528</v>
      </c>
      <c r="BC65" s="26">
        <f>Y65*$CO$15</f>
        <v>127.22223240000001</v>
      </c>
      <c r="BD65" s="26">
        <f>$CP$15*Z65</f>
        <v>358.63080000000002</v>
      </c>
      <c r="BE65" s="26">
        <f>AA65*$CQ$15</f>
        <v>-785</v>
      </c>
      <c r="BF65" s="26">
        <f>AB65*$CR$15</f>
        <v>100.6134248</v>
      </c>
      <c r="BG65" s="26">
        <f>AC65*$CS$15</f>
        <v>248.93989999999999</v>
      </c>
      <c r="BH65" s="26">
        <f>$CT$15*AD65</f>
        <v>342.62130000000002</v>
      </c>
      <c r="BI65" s="26">
        <f>AE65*$CU$15</f>
        <v>267.84206700000004</v>
      </c>
      <c r="BJ65" s="26">
        <f>$CV$15*AF65</f>
        <v>454.95449999999994</v>
      </c>
      <c r="BK65" s="26">
        <f>AG65*$CW$15</f>
        <v>2363.9645400000004</v>
      </c>
      <c r="BL65" s="26">
        <f>AH65*$CX$15</f>
        <v>348.20625000000001</v>
      </c>
      <c r="BM65" s="26">
        <f>AI65*$CY$15</f>
        <v>163.75</v>
      </c>
      <c r="BN65" s="26">
        <f>AJ65*$CZ$15</f>
        <v>33</v>
      </c>
      <c r="BO65" s="26">
        <f>AK65*$DA$15</f>
        <v>-1019.4526</v>
      </c>
      <c r="BP65" s="26">
        <f>AL65*$DB$15</f>
        <v>554.38900000000001</v>
      </c>
      <c r="BQ65" s="26">
        <f>SUM(Table9[[#This Row],[SCW]:[SCPF]])</f>
        <v>6225.5474101999998</v>
      </c>
    </row>
    <row r="66" spans="1:69" x14ac:dyDescent="0.45">
      <c r="A66" s="3">
        <v>55</v>
      </c>
      <c r="B66" s="4" t="s">
        <v>312</v>
      </c>
      <c r="C66" s="3">
        <v>32</v>
      </c>
      <c r="D66" s="3">
        <v>22</v>
      </c>
      <c r="E66" s="3">
        <v>10</v>
      </c>
      <c r="F66" s="3">
        <v>0.68799999999999994</v>
      </c>
      <c r="G66" s="3">
        <v>11.13</v>
      </c>
      <c r="H66" s="3">
        <v>6.13</v>
      </c>
      <c r="I66" s="3"/>
      <c r="J66" s="3">
        <v>15</v>
      </c>
      <c r="K66" s="3">
        <v>5</v>
      </c>
      <c r="L66" s="3"/>
      <c r="M66" s="3">
        <v>14</v>
      </c>
      <c r="N66" s="3">
        <v>1</v>
      </c>
      <c r="O66" s="3"/>
      <c r="P66" s="3">
        <v>7</v>
      </c>
      <c r="Q66" s="3">
        <v>5</v>
      </c>
      <c r="R66" s="3"/>
      <c r="S66" s="3">
        <v>2320</v>
      </c>
      <c r="T66" s="3">
        <v>2139</v>
      </c>
      <c r="U66" s="3"/>
      <c r="V66" s="3">
        <v>1290</v>
      </c>
      <c r="W66" s="3">
        <v>830</v>
      </c>
      <c r="X66" s="3">
        <v>1795</v>
      </c>
      <c r="Y66" s="3">
        <v>0.46200000000000002</v>
      </c>
      <c r="Z66" s="3">
        <v>293</v>
      </c>
      <c r="AA66" s="3">
        <v>771</v>
      </c>
      <c r="AB66" s="3">
        <v>0.38</v>
      </c>
      <c r="AC66" s="3">
        <v>367</v>
      </c>
      <c r="AD66" s="3">
        <v>484</v>
      </c>
      <c r="AE66" s="3">
        <v>0.75800000000000001</v>
      </c>
      <c r="AF66" s="3">
        <v>229</v>
      </c>
      <c r="AG66" s="3">
        <v>1090</v>
      </c>
      <c r="AH66" s="3">
        <v>453</v>
      </c>
      <c r="AI66" s="3">
        <v>163</v>
      </c>
      <c r="AJ66" s="3">
        <v>60</v>
      </c>
      <c r="AK66" s="3">
        <v>331</v>
      </c>
      <c r="AL66" s="3">
        <v>412</v>
      </c>
      <c r="AM66" s="23">
        <f>D66*$BY$15</f>
        <v>48.884</v>
      </c>
      <c r="AN66" s="24">
        <f>$BZ$15*E66</f>
        <v>-22.200000000000003</v>
      </c>
      <c r="AO66" s="24">
        <f>F66*$CA$15</f>
        <v>152.88873599999999</v>
      </c>
      <c r="AP66" s="24">
        <f>G66*$CB$15</f>
        <v>979.44</v>
      </c>
      <c r="AQ66" s="24">
        <f>H66*$CC$15</f>
        <v>827.55</v>
      </c>
      <c r="AR66" s="24">
        <f>J66*$CD$15</f>
        <v>33</v>
      </c>
      <c r="AS66" s="24">
        <f>K66*$CE$15</f>
        <v>-11</v>
      </c>
      <c r="AT66" s="24">
        <f>M66*$CF$15</f>
        <v>14</v>
      </c>
      <c r="AU66" s="24">
        <f>N66*$CG$15</f>
        <v>1</v>
      </c>
      <c r="AV66" s="24">
        <f>P66*$CH$15</f>
        <v>11.6655</v>
      </c>
      <c r="AW66" s="24">
        <f>$CI$15*Q66</f>
        <v>8.3324999999999996</v>
      </c>
      <c r="AX66" s="24">
        <f>S66*$CJ$15</f>
        <v>4382.2480000000005</v>
      </c>
      <c r="AY66" s="24">
        <f>T66*$CK$15</f>
        <v>-3565.0713000000001</v>
      </c>
      <c r="AZ66" s="24">
        <f>V66*$CL$15</f>
        <v>1290</v>
      </c>
      <c r="BA66" s="24">
        <f>W66*$CM$15</f>
        <v>996</v>
      </c>
      <c r="BB66" s="24">
        <f>X66*$CN$15</f>
        <v>-2267.3004000000001</v>
      </c>
      <c r="BC66" s="24">
        <f>Y66*$CO$15</f>
        <v>128.33334360000001</v>
      </c>
      <c r="BD66" s="24">
        <f>$CP$15*Z66</f>
        <v>390.62760000000003</v>
      </c>
      <c r="BE66" s="24">
        <f>AA66*$CQ$15</f>
        <v>-771</v>
      </c>
      <c r="BF66" s="24">
        <f>AB66*$CR$15</f>
        <v>111.466768</v>
      </c>
      <c r="BG66" s="24">
        <f>AC66*$CS$15</f>
        <v>193.15209999999999</v>
      </c>
      <c r="BH66" s="24">
        <f>$CT$15*AD66</f>
        <v>254.72919999999999</v>
      </c>
      <c r="BI66" s="24">
        <f>AE66*$CU$15</f>
        <v>279.26311800000002</v>
      </c>
      <c r="BJ66" s="24">
        <f>$CV$15*AF66</f>
        <v>381.62849999999997</v>
      </c>
      <c r="BK66" s="24">
        <f>AG66*$CW$15</f>
        <v>2179.9673000000003</v>
      </c>
      <c r="BL66" s="24">
        <f>AH66*$CX$15</f>
        <v>420.63315</v>
      </c>
      <c r="BM66" s="24">
        <f>AI66*$CY$15</f>
        <v>203.75</v>
      </c>
      <c r="BN66" s="24">
        <f>AJ66*$CZ$15</f>
        <v>30</v>
      </c>
      <c r="BO66" s="24">
        <f>AK66*$DA$15</f>
        <v>-919.45180000000005</v>
      </c>
      <c r="BP66" s="24">
        <f>AL66*$DB$15</f>
        <v>457.73199999999997</v>
      </c>
      <c r="BQ66" s="24">
        <f>SUM(Table9[[#This Row],[SCW]:[SCPF]])</f>
        <v>6220.2683156000012</v>
      </c>
    </row>
    <row r="67" spans="1:69" x14ac:dyDescent="0.45">
      <c r="A67" s="3">
        <v>57</v>
      </c>
      <c r="B67" s="4" t="s">
        <v>314</v>
      </c>
      <c r="C67" s="3">
        <v>32</v>
      </c>
      <c r="D67" s="3">
        <v>27</v>
      </c>
      <c r="E67" s="3">
        <v>5</v>
      </c>
      <c r="F67" s="3">
        <v>0.84399999999999997</v>
      </c>
      <c r="G67" s="3">
        <v>10.67</v>
      </c>
      <c r="H67" s="3">
        <v>1.51</v>
      </c>
      <c r="I67" s="3"/>
      <c r="J67" s="3">
        <v>15</v>
      </c>
      <c r="K67" s="3">
        <v>3</v>
      </c>
      <c r="L67" s="3"/>
      <c r="M67" s="3">
        <v>13</v>
      </c>
      <c r="N67" s="3">
        <v>1</v>
      </c>
      <c r="O67" s="3"/>
      <c r="P67" s="3">
        <v>9</v>
      </c>
      <c r="Q67" s="3">
        <v>3</v>
      </c>
      <c r="R67" s="3"/>
      <c r="S67" s="3">
        <v>2432</v>
      </c>
      <c r="T67" s="3">
        <v>2106</v>
      </c>
      <c r="U67" s="3"/>
      <c r="V67" s="3">
        <v>1285</v>
      </c>
      <c r="W67" s="3">
        <v>861</v>
      </c>
      <c r="X67" s="3">
        <v>1778</v>
      </c>
      <c r="Y67" s="3">
        <v>0.48399999999999999</v>
      </c>
      <c r="Z67" s="3">
        <v>282</v>
      </c>
      <c r="AA67" s="3">
        <v>727</v>
      </c>
      <c r="AB67" s="3">
        <v>0.38800000000000001</v>
      </c>
      <c r="AC67" s="3">
        <v>428</v>
      </c>
      <c r="AD67" s="3">
        <v>568</v>
      </c>
      <c r="AE67" s="3">
        <v>0.754</v>
      </c>
      <c r="AF67" s="3">
        <v>239</v>
      </c>
      <c r="AG67" s="3">
        <v>1100</v>
      </c>
      <c r="AH67" s="3">
        <v>472</v>
      </c>
      <c r="AI67" s="3">
        <v>150</v>
      </c>
      <c r="AJ67" s="3">
        <v>83</v>
      </c>
      <c r="AK67" s="3">
        <v>316</v>
      </c>
      <c r="AL67" s="3">
        <v>470</v>
      </c>
      <c r="AM67" s="23">
        <f>D67*$BY$15</f>
        <v>59.994</v>
      </c>
      <c r="AN67" s="24">
        <f>$BZ$15*E67</f>
        <v>-11.100000000000001</v>
      </c>
      <c r="AO67" s="24">
        <f>F67*$CA$15</f>
        <v>187.55536799999999</v>
      </c>
      <c r="AP67" s="24">
        <f>G67*$CB$15</f>
        <v>938.96</v>
      </c>
      <c r="AQ67" s="24">
        <f>H67*$CC$15</f>
        <v>203.85</v>
      </c>
      <c r="AR67" s="24">
        <f>J67*$CD$15</f>
        <v>33</v>
      </c>
      <c r="AS67" s="24">
        <f>K67*$CE$15</f>
        <v>-6.6000000000000005</v>
      </c>
      <c r="AT67" s="24">
        <f>M67*$CF$15</f>
        <v>13</v>
      </c>
      <c r="AU67" s="24">
        <f>N67*$CG$15</f>
        <v>1</v>
      </c>
      <c r="AV67" s="24">
        <f>P67*$CH$15</f>
        <v>14.998499999999998</v>
      </c>
      <c r="AW67" s="24">
        <f>$CI$15*Q67</f>
        <v>4.9994999999999994</v>
      </c>
      <c r="AX67" s="24">
        <f>S67*$CJ$15</f>
        <v>4593.8047999999999</v>
      </c>
      <c r="AY67" s="24">
        <f>T67*$CK$15</f>
        <v>-3510.0702000000001</v>
      </c>
      <c r="AZ67" s="24">
        <f>V67*$CL$15</f>
        <v>1285</v>
      </c>
      <c r="BA67" s="24">
        <f>W67*$CM$15</f>
        <v>1033.2</v>
      </c>
      <c r="BB67" s="24">
        <f>X67*$CN$15</f>
        <v>-2245.8273600000002</v>
      </c>
      <c r="BC67" s="24">
        <f>Y67*$CO$15</f>
        <v>134.44445519999999</v>
      </c>
      <c r="BD67" s="24">
        <f>$CP$15*Z67</f>
        <v>375.96240000000006</v>
      </c>
      <c r="BE67" s="24">
        <f>AA67*$CQ$15</f>
        <v>-727</v>
      </c>
      <c r="BF67" s="24">
        <f>AB67*$CR$15</f>
        <v>113.81343680000001</v>
      </c>
      <c r="BG67" s="24">
        <f>AC67*$CS$15</f>
        <v>225.25639999999999</v>
      </c>
      <c r="BH67" s="24">
        <f>$CT$15*AD67</f>
        <v>298.9384</v>
      </c>
      <c r="BI67" s="24">
        <f>AE67*$CU$15</f>
        <v>277.78943400000003</v>
      </c>
      <c r="BJ67" s="24">
        <f>$CV$15*AF67</f>
        <v>398.29349999999999</v>
      </c>
      <c r="BK67" s="24">
        <f>AG67*$CW$15</f>
        <v>2199.9670000000001</v>
      </c>
      <c r="BL67" s="24">
        <f>AH67*$CX$15</f>
        <v>438.2756</v>
      </c>
      <c r="BM67" s="24">
        <f>AI67*$CY$15</f>
        <v>187.5</v>
      </c>
      <c r="BN67" s="24">
        <f>AJ67*$CZ$15</f>
        <v>41.5</v>
      </c>
      <c r="BO67" s="24">
        <f>AK67*$DA$15</f>
        <v>-877.78480000000002</v>
      </c>
      <c r="BP67" s="24">
        <f>AL67*$DB$15</f>
        <v>522.16999999999996</v>
      </c>
      <c r="BQ67" s="24">
        <f>SUM(Table9[[#This Row],[SCW]:[SCPF]])</f>
        <v>6204.890433999999</v>
      </c>
    </row>
    <row r="68" spans="1:69" x14ac:dyDescent="0.45">
      <c r="A68" s="3">
        <v>56</v>
      </c>
      <c r="B68" s="4" t="s">
        <v>313</v>
      </c>
      <c r="C68" s="3">
        <v>31</v>
      </c>
      <c r="D68" s="3">
        <v>14</v>
      </c>
      <c r="E68" s="3">
        <v>17</v>
      </c>
      <c r="F68" s="3">
        <v>0.45200000000000001</v>
      </c>
      <c r="G68" s="3">
        <v>10.72</v>
      </c>
      <c r="H68" s="3">
        <v>9.18</v>
      </c>
      <c r="I68" s="3"/>
      <c r="J68" s="3">
        <v>6</v>
      </c>
      <c r="K68" s="3">
        <v>12</v>
      </c>
      <c r="L68" s="3"/>
      <c r="M68" s="3">
        <v>9</v>
      </c>
      <c r="N68" s="3">
        <v>7</v>
      </c>
      <c r="O68" s="3"/>
      <c r="P68" s="3">
        <v>5</v>
      </c>
      <c r="Q68" s="3">
        <v>7</v>
      </c>
      <c r="R68" s="3"/>
      <c r="S68" s="3">
        <v>2139</v>
      </c>
      <c r="T68" s="3">
        <v>2091</v>
      </c>
      <c r="U68" s="3"/>
      <c r="V68" s="3">
        <v>1250</v>
      </c>
      <c r="W68" s="3">
        <v>748</v>
      </c>
      <c r="X68" s="3">
        <v>1780</v>
      </c>
      <c r="Y68" s="3">
        <v>0.42</v>
      </c>
      <c r="Z68" s="3">
        <v>261</v>
      </c>
      <c r="AA68" s="3">
        <v>754</v>
      </c>
      <c r="AB68" s="3">
        <v>0.34599999999999997</v>
      </c>
      <c r="AC68" s="3">
        <v>382</v>
      </c>
      <c r="AD68" s="3">
        <v>526</v>
      </c>
      <c r="AE68" s="3">
        <v>0.72599999999999998</v>
      </c>
      <c r="AF68" s="3">
        <v>275</v>
      </c>
      <c r="AG68" s="3">
        <v>1030</v>
      </c>
      <c r="AH68" s="3">
        <v>386</v>
      </c>
      <c r="AI68" s="3">
        <v>227</v>
      </c>
      <c r="AJ68" s="3">
        <v>51</v>
      </c>
      <c r="AK68" s="3">
        <v>356</v>
      </c>
      <c r="AL68" s="3">
        <v>530</v>
      </c>
      <c r="AM68" s="25">
        <f>D68*$BY$15</f>
        <v>31.108000000000001</v>
      </c>
      <c r="AN68" s="26">
        <f>$BZ$15*E68</f>
        <v>-37.74</v>
      </c>
      <c r="AO68" s="26">
        <f>F68*$CA$15</f>
        <v>100.444344</v>
      </c>
      <c r="AP68" s="26">
        <f>G68*$CB$15</f>
        <v>943.36</v>
      </c>
      <c r="AQ68" s="26">
        <f>H68*$CC$15</f>
        <v>1239.3</v>
      </c>
      <c r="AR68" s="26">
        <f>J68*$CD$15</f>
        <v>13.200000000000001</v>
      </c>
      <c r="AS68" s="26">
        <f>K68*$CE$15</f>
        <v>-26.400000000000002</v>
      </c>
      <c r="AT68" s="26">
        <f>M68*$CF$15</f>
        <v>9</v>
      </c>
      <c r="AU68" s="26">
        <f>N68*$CG$15</f>
        <v>7</v>
      </c>
      <c r="AV68" s="26">
        <f>P68*$CH$15</f>
        <v>8.3324999999999996</v>
      </c>
      <c r="AW68" s="26">
        <f>$CI$15*Q68</f>
        <v>11.6655</v>
      </c>
      <c r="AX68" s="26">
        <f>S68*$CJ$15</f>
        <v>4040.3571000000002</v>
      </c>
      <c r="AY68" s="26">
        <f>T68*$CK$15</f>
        <v>-3485.0697</v>
      </c>
      <c r="AZ68" s="26">
        <f>V68*$CL$15</f>
        <v>1250</v>
      </c>
      <c r="BA68" s="26">
        <f>W68*$CM$15</f>
        <v>897.6</v>
      </c>
      <c r="BB68" s="26">
        <f>X68*$CN$15</f>
        <v>-2248.3535999999999</v>
      </c>
      <c r="BC68" s="26">
        <f>Y68*$CO$15</f>
        <v>116.666676</v>
      </c>
      <c r="BD68" s="26">
        <f>$CP$15*Z68</f>
        <v>347.96520000000004</v>
      </c>
      <c r="BE68" s="26">
        <f>AA68*$CQ$15</f>
        <v>-754</v>
      </c>
      <c r="BF68" s="26">
        <f>AB68*$CR$15</f>
        <v>101.49342559999999</v>
      </c>
      <c r="BG68" s="26">
        <f>AC68*$CS$15</f>
        <v>201.04659999999998</v>
      </c>
      <c r="BH68" s="26">
        <f>$CT$15*AD68</f>
        <v>276.8338</v>
      </c>
      <c r="BI68" s="26">
        <f>AE68*$CU$15</f>
        <v>267.47364600000003</v>
      </c>
      <c r="BJ68" s="26">
        <f>$CV$15*AF68</f>
        <v>458.28749999999997</v>
      </c>
      <c r="BK68" s="26">
        <f>AG68*$CW$15</f>
        <v>2059.9691000000003</v>
      </c>
      <c r="BL68" s="26">
        <f>AH68*$CX$15</f>
        <v>358.4203</v>
      </c>
      <c r="BM68" s="26">
        <f>AI68*$CY$15</f>
        <v>283.75</v>
      </c>
      <c r="BN68" s="26">
        <f>AJ68*$CZ$15</f>
        <v>25.5</v>
      </c>
      <c r="BO68" s="26">
        <f>AK68*$DA$15</f>
        <v>-988.89679999999998</v>
      </c>
      <c r="BP68" s="26">
        <f>AL68*$DB$15</f>
        <v>588.83000000000004</v>
      </c>
      <c r="BQ68" s="26">
        <f>SUM(Table9[[#This Row],[SCW]:[SCPF]])</f>
        <v>6097.1435915999991</v>
      </c>
    </row>
    <row r="69" spans="1:69" x14ac:dyDescent="0.45">
      <c r="A69" s="3">
        <v>64</v>
      </c>
      <c r="B69" s="4" t="s">
        <v>321</v>
      </c>
      <c r="C69" s="3">
        <v>33</v>
      </c>
      <c r="D69" s="3">
        <v>23</v>
      </c>
      <c r="E69" s="3">
        <v>10</v>
      </c>
      <c r="F69" s="3">
        <v>0.69699999999999995</v>
      </c>
      <c r="G69" s="3">
        <v>10.14</v>
      </c>
      <c r="H69" s="3">
        <v>2.17</v>
      </c>
      <c r="I69" s="3"/>
      <c r="J69" s="3">
        <v>14</v>
      </c>
      <c r="K69" s="3">
        <v>4</v>
      </c>
      <c r="L69" s="3"/>
      <c r="M69" s="3">
        <v>13</v>
      </c>
      <c r="N69" s="3">
        <v>4</v>
      </c>
      <c r="O69" s="3"/>
      <c r="P69" s="3">
        <v>6</v>
      </c>
      <c r="Q69" s="3">
        <v>5</v>
      </c>
      <c r="R69" s="3"/>
      <c r="S69" s="3">
        <v>2281</v>
      </c>
      <c r="T69" s="3">
        <v>2018</v>
      </c>
      <c r="U69" s="3"/>
      <c r="V69" s="3">
        <v>1320</v>
      </c>
      <c r="W69" s="3">
        <v>842</v>
      </c>
      <c r="X69" s="3">
        <v>1764</v>
      </c>
      <c r="Y69" s="3">
        <v>0.47699999999999998</v>
      </c>
      <c r="Z69" s="3">
        <v>220</v>
      </c>
      <c r="AA69" s="3">
        <v>602</v>
      </c>
      <c r="AB69" s="3">
        <v>0.36499999999999999</v>
      </c>
      <c r="AC69" s="3">
        <v>377</v>
      </c>
      <c r="AD69" s="3">
        <v>553</v>
      </c>
      <c r="AE69" s="3">
        <v>0.68200000000000005</v>
      </c>
      <c r="AF69" s="3">
        <v>309</v>
      </c>
      <c r="AG69" s="3">
        <v>1155</v>
      </c>
      <c r="AH69" s="3">
        <v>474</v>
      </c>
      <c r="AI69" s="3">
        <v>187</v>
      </c>
      <c r="AJ69" s="3">
        <v>127</v>
      </c>
      <c r="AK69" s="3">
        <v>412</v>
      </c>
      <c r="AL69" s="3">
        <v>461</v>
      </c>
      <c r="AM69" s="20">
        <f>D69*$BY$15</f>
        <v>51.106000000000002</v>
      </c>
      <c r="AN69" s="18">
        <f>$BZ$15*E69</f>
        <v>-22.200000000000003</v>
      </c>
      <c r="AO69" s="18">
        <f>F69*$CA$15</f>
        <v>154.888734</v>
      </c>
      <c r="AP69" s="18">
        <f>G69*$CB$15</f>
        <v>892.32</v>
      </c>
      <c r="AQ69" s="18">
        <f>H69*$CC$15</f>
        <v>292.95</v>
      </c>
      <c r="AR69" s="18">
        <f>J69*$CD$15</f>
        <v>30.800000000000004</v>
      </c>
      <c r="AS69" s="18">
        <f>K69*$CE$15</f>
        <v>-8.8000000000000007</v>
      </c>
      <c r="AT69" s="18">
        <f>M69*$CF$15</f>
        <v>13</v>
      </c>
      <c r="AU69" s="18">
        <f>N69*$CG$15</f>
        <v>4</v>
      </c>
      <c r="AV69" s="18">
        <f>P69*$CH$15</f>
        <v>9.9989999999999988</v>
      </c>
      <c r="AW69" s="18">
        <f>$CI$15*Q69</f>
        <v>8.3324999999999996</v>
      </c>
      <c r="AX69" s="18">
        <f>S69*$CJ$15</f>
        <v>4308.5808999999999</v>
      </c>
      <c r="AY69" s="18">
        <f>T69*$CK$15</f>
        <v>-3363.4005999999999</v>
      </c>
      <c r="AZ69" s="18">
        <f>V69*$CL$15</f>
        <v>1320</v>
      </c>
      <c r="BA69" s="18">
        <f>W69*$CM$15</f>
        <v>1010.4</v>
      </c>
      <c r="BB69" s="18">
        <f>X69*$CN$15</f>
        <v>-2228.1436800000001</v>
      </c>
      <c r="BC69" s="18">
        <f>Y69*$CO$15</f>
        <v>132.5000106</v>
      </c>
      <c r="BD69" s="18">
        <f>$CP$15*Z69</f>
        <v>293.30400000000003</v>
      </c>
      <c r="BE69" s="18">
        <f>AA69*$CQ$15</f>
        <v>-602</v>
      </c>
      <c r="BF69" s="18">
        <f>AB69*$CR$15</f>
        <v>107.06676399999999</v>
      </c>
      <c r="BG69" s="18">
        <f>AC69*$CS$15</f>
        <v>198.4151</v>
      </c>
      <c r="BH69" s="18">
        <f>$CT$15*AD69</f>
        <v>291.04390000000001</v>
      </c>
      <c r="BI69" s="18">
        <f>AE69*$CU$15</f>
        <v>251.26312200000004</v>
      </c>
      <c r="BJ69" s="18">
        <f>$CV$15*AF69</f>
        <v>514.94849999999997</v>
      </c>
      <c r="BK69" s="18">
        <f>AG69*$CW$15</f>
        <v>2309.9653500000004</v>
      </c>
      <c r="BL69" s="18">
        <f>AH69*$CX$15</f>
        <v>440.1327</v>
      </c>
      <c r="BM69" s="18">
        <f>AI69*$CY$15</f>
        <v>233.75</v>
      </c>
      <c r="BN69" s="18">
        <f>AJ69*$CZ$15</f>
        <v>63.5</v>
      </c>
      <c r="BO69" s="18">
        <f>AK69*$DA$15</f>
        <v>-1144.4536000000001</v>
      </c>
      <c r="BP69" s="18">
        <f>AL69*$DB$15</f>
        <v>512.17100000000005</v>
      </c>
      <c r="BQ69" s="18">
        <f>SUM(Table9[[#This Row],[SCW]:[SCPF]])</f>
        <v>6075.4397006000008</v>
      </c>
    </row>
    <row r="70" spans="1:69" x14ac:dyDescent="0.45">
      <c r="A70" s="5">
        <v>68</v>
      </c>
      <c r="B70" s="6" t="s">
        <v>325</v>
      </c>
      <c r="C70" s="5">
        <v>30</v>
      </c>
      <c r="D70" s="5">
        <v>21</v>
      </c>
      <c r="E70" s="5">
        <v>9</v>
      </c>
      <c r="F70" s="5">
        <v>0.7</v>
      </c>
      <c r="G70" s="5">
        <v>9.83</v>
      </c>
      <c r="H70" s="5">
        <v>5.03</v>
      </c>
      <c r="I70" s="5"/>
      <c r="J70" s="5">
        <v>14</v>
      </c>
      <c r="K70" s="5">
        <v>4</v>
      </c>
      <c r="L70" s="5"/>
      <c r="M70" s="5">
        <v>11</v>
      </c>
      <c r="N70" s="5">
        <v>4</v>
      </c>
      <c r="O70" s="5"/>
      <c r="P70" s="5">
        <v>9</v>
      </c>
      <c r="Q70" s="5">
        <v>2</v>
      </c>
      <c r="R70" s="5"/>
      <c r="S70" s="5">
        <v>1982</v>
      </c>
      <c r="T70" s="5">
        <v>1838</v>
      </c>
      <c r="U70" s="5"/>
      <c r="V70" s="5">
        <v>1205</v>
      </c>
      <c r="W70" s="5">
        <v>738</v>
      </c>
      <c r="X70" s="5">
        <v>1609</v>
      </c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</row>
  </sheetData>
  <mergeCells count="6">
    <mergeCell ref="A1:F1"/>
    <mergeCell ref="H1:I1"/>
    <mergeCell ref="K1:L1"/>
    <mergeCell ref="N1:O1"/>
    <mergeCell ref="Q1:R1"/>
    <mergeCell ref="T1:AJ1"/>
  </mergeCells>
  <phoneticPr fontId="5" type="noConversion"/>
  <hyperlinks>
    <hyperlink ref="B6" r:id="rId1" display="https://www.sports-reference.com/cbb/schools/gonzaga/2022.html" xr:uid="{9A3A7B70-8800-4F21-932D-CABC65C163B0}"/>
    <hyperlink ref="B3" r:id="rId2" display="https://www.sports-reference.com/cbb/schools/arizona/2022.html" xr:uid="{F69E72C2-F886-43CE-B2F6-B7C13A1C3118}"/>
    <hyperlink ref="B7" r:id="rId3" display="https://www.sports-reference.com/cbb/schools/houston/2022.html" xr:uid="{972E2E44-8834-4CD0-9D74-B8947BF4A8FA}"/>
    <hyperlink ref="B11" r:id="rId4" display="https://www.sports-reference.com/cbb/schools/baylor/2022.html" xr:uid="{581F9ECB-7F2D-49FE-A85A-610240430FB7}"/>
    <hyperlink ref="B5" r:id="rId5" display="https://www.sports-reference.com/cbb/schools/kentucky/2022.html" xr:uid="{0AD7E14F-C1E0-4346-BE0D-44FAF9E2382E}"/>
    <hyperlink ref="B4" r:id="rId6" display="https://www.sports-reference.com/cbb/schools/kansas/2022.html" xr:uid="{EB636FF1-23D2-4F6A-83B4-584246DAB285}"/>
    <hyperlink ref="B14" r:id="rId7" display="https://www.sports-reference.com/cbb/schools/tennessee/2022.html" xr:uid="{A73A6DD4-EF20-45B6-B470-024DFD7AEE96}"/>
    <hyperlink ref="B10" r:id="rId8" display="https://www.sports-reference.com/cbb/schools/auburn/2022.html" xr:uid="{39547EFF-61B4-488B-BA68-24294DF24F48}"/>
    <hyperlink ref="B12" r:id="rId9" display="https://www.sports-reference.com/cbb/schools/ucla/2022.html" xr:uid="{48EE1518-545F-49B5-AED5-770D1AEF4BD2}"/>
    <hyperlink ref="B9" r:id="rId10" display="https://www.sports-reference.com/cbb/schools/purdue/2022.html" xr:uid="{9884E377-D57E-47A1-8BD0-958E23952A07}"/>
    <hyperlink ref="B15" r:id="rId11" display="https://www.sports-reference.com/cbb/schools/texas-tech/2022.html" xr:uid="{9FCD9184-821B-4688-B2D0-DCEAEC9F5821}"/>
    <hyperlink ref="B8" r:id="rId12" display="https://www.sports-reference.com/cbb/schools/iowa/2022.html" xr:uid="{A297DA9F-BC89-424D-ACC0-A79787DC9A60}"/>
    <hyperlink ref="B16" r:id="rId13" display="https://www.sports-reference.com/cbb/schools/villanova/2022.html" xr:uid="{A16D946C-4254-4F32-8226-1FDAEFE72D76}"/>
    <hyperlink ref="B13" r:id="rId14" display="https://www.sports-reference.com/cbb/schools/duke/2022.html" xr:uid="{8E0174EE-EAE1-4675-88D5-6AB8577B689F}"/>
    <hyperlink ref="B18" r:id="rId15" display="https://www.sports-reference.com/cbb/schools/louisiana-state/2022.html" xr:uid="{A4748124-B001-4138-BB0A-DDE3DCD9A097}"/>
    <hyperlink ref="B20" r:id="rId16" display="https://www.sports-reference.com/cbb/schools/illinois/2022.html" xr:uid="{DBEF2126-2815-49D1-A490-F80C63EF465B}"/>
    <hyperlink ref="B17" r:id="rId17" display="https://www.sports-reference.com/cbb/schools/connecticut/2022.html" xr:uid="{BAA58C8C-BDCC-4B91-97D3-4362FC64FFE1}"/>
    <hyperlink ref="B23" r:id="rId18" display="https://www.sports-reference.com/cbb/schools/texas/2022.html" xr:uid="{63E11AD2-0D83-4576-A9AC-E5BDA752DC85}"/>
    <hyperlink ref="B19" r:id="rId19" display="https://www.sports-reference.com/cbb/schools/arkansas/2022.html" xr:uid="{983584B5-CB30-40A9-BBCA-000DE150D057}"/>
    <hyperlink ref="B21" r:id="rId20" display="https://www.sports-reference.com/cbb/schools/alabama/2022.html" xr:uid="{0B656E0B-B3E4-4927-BCA5-13B10CB2E417}"/>
    <hyperlink ref="B29" r:id="rId21" display="https://www.sports-reference.com/cbb/schools/san-francisco/2022.html" xr:uid="{0C548CA5-D3CF-4C7A-8827-034B16578F23}"/>
    <hyperlink ref="B41" r:id="rId22" display="https://www.sports-reference.com/cbb/schools/saint-marys-ca/2022.html" xr:uid="{CC616A07-73B4-49AE-B30A-736850117210}"/>
    <hyperlink ref="B28" r:id="rId23" display="https://www.sports-reference.com/cbb/schools/memphis/2022.html" xr:uid="{C9F93706-E191-414B-8727-AD93B46CDBA2}"/>
    <hyperlink ref="B38" r:id="rId24" display="https://www.sports-reference.com/cbb/schools/ohio-state/2022.html" xr:uid="{09B7EF55-E479-4DD9-A370-C83E51206663}"/>
    <hyperlink ref="B45" r:id="rId25" display="https://www.sports-reference.com/cbb/schools/loyola-il/2022.html" xr:uid="{E49E530E-8ECC-4EB9-A19B-41AB79642335}"/>
    <hyperlink ref="B39" r:id="rId26" display="https://www.sports-reference.com/cbb/schools/virginia-tech/2022.html" xr:uid="{4B0B17EB-1A34-4660-A9A2-E5879313A938}"/>
    <hyperlink ref="B48" r:id="rId27" display="https://www.sports-reference.com/cbb/schools/oklahoma/2022.html" xr:uid="{D2AFE7C3-6D62-4DFF-8BE0-A4DDCAFE5D72}"/>
    <hyperlink ref="B32" r:id="rId28" display="https://www.sports-reference.com/cbb/schools/michigan/2022.html" xr:uid="{0767BAA5-C33A-4D87-B805-5F9B1CBBC7D5}"/>
    <hyperlink ref="B30" r:id="rId29" display="https://www.sports-reference.com/cbb/schools/seton-hall/2022.html" xr:uid="{77F9EF56-3A02-4CEE-8D3B-A9E6DBCB15C3}"/>
    <hyperlink ref="B33" r:id="rId30" display="https://www.sports-reference.com/cbb/schools/wisconsin/2022.html" xr:uid="{10BE0FC6-3FD2-4BE7-9415-43F8F52B6E88}"/>
    <hyperlink ref="B46" r:id="rId31" display="https://www.sports-reference.com/cbb/schools/san-diego-state/2022.html" xr:uid="{D3B3D6EA-091D-40F1-929B-F8E94E0EBC07}"/>
    <hyperlink ref="B26" r:id="rId32" display="https://www.sports-reference.com/cbb/schools/indiana/2022.html" xr:uid="{DBE9B86A-0523-4AFF-B34F-085A0FB87EA1}"/>
    <hyperlink ref="B22" r:id="rId33" display="https://www.sports-reference.com/cbb/schools/michigan-state/2022.html" xr:uid="{7954577B-9E07-463C-B9CC-1F3E1803F257}"/>
    <hyperlink ref="B34" r:id="rId34" display="https://www.sports-reference.com/cbb/schools/xavier/2022.html" xr:uid="{4EA7ED47-86FB-45DA-A880-064F059FE804}"/>
    <hyperlink ref="B50" r:id="rId35" display="https://www.sports-reference.com/cbb/schools/wake-forest/2022.html" xr:uid="{C5638487-4A73-4A53-A83C-B57ED7098D3C}"/>
    <hyperlink ref="B44" r:id="rId36" display="https://www.sports-reference.com/cbb/schools/oklahoma-state/2022.html" xr:uid="{94BB2DBF-46E5-49EC-9C4C-DD9E3D8EE4B5}"/>
    <hyperlink ref="B27" r:id="rId37" display="https://www.sports-reference.com/cbb/schools/north-carolina/2022.html" xr:uid="{5C5D0A5E-996B-4F30-A90D-B452354DDE96}"/>
    <hyperlink ref="B25" r:id="rId38" display="https://www.sports-reference.com/cbb/schools/southern-california/2022.html" xr:uid="{30231795-1BCA-4682-B1B4-E09B5E5B7AA8}"/>
    <hyperlink ref="B36" r:id="rId39" display="https://www.sports-reference.com/cbb/schools/texas-christian/2022.html" xr:uid="{31F2024F-A7A0-45D4-B602-7C8D6C4A418A}"/>
    <hyperlink ref="B49" r:id="rId40" display="https://www.sports-reference.com/cbb/schools/florida/2022.html" xr:uid="{C9841FB9-2304-4AC8-B4C4-8CEBAF67B695}"/>
    <hyperlink ref="B42" r:id="rId41" display="https://www.sports-reference.com/cbb/schools/boise-state/2022.html" xr:uid="{70C4AB56-EA17-4146-B885-8BE972D746F7}"/>
    <hyperlink ref="B24" r:id="rId42" display="https://www.sports-reference.com/cbb/schools/texas-am/2022.html" xr:uid="{C9A02BEF-AAF8-412C-8526-F3108201C00D}"/>
    <hyperlink ref="B51" r:id="rId43" display="https://www.sports-reference.com/cbb/schools/marquette/2022.html" xr:uid="{775B45D7-572E-4D35-963C-C0617BF80BDF}"/>
    <hyperlink ref="B47" r:id="rId44" display="https://www.sports-reference.com/cbb/schools/washington-state/2022.html" xr:uid="{4810FF89-18DD-4448-9F21-08C33A4355F5}"/>
    <hyperlink ref="B61" r:id="rId45" display="https://www.sports-reference.com/cbb/schools/iowa-state/2022.html" xr:uid="{C7D68DA3-3D30-43EE-AFC1-A2C13111CA26}"/>
    <hyperlink ref="B31" r:id="rId46" display="https://www.sports-reference.com/cbb/schools/mississippi-state/2022.html" xr:uid="{F94D9EA4-4015-4AF7-BAEB-244333DC39B6}"/>
    <hyperlink ref="B64" r:id="rId47" display="https://www.sports-reference.com/cbb/schools/colorado-state/2022.html" xr:uid="{11B107C5-1F45-493E-8183-8DDA655EA439}"/>
    <hyperlink ref="B43" r:id="rId48" display="https://www.sports-reference.com/cbb/schools/providence/2022.html" xr:uid="{1D15E5C2-1166-4C0A-AD88-AAEA3253685E}"/>
    <hyperlink ref="B37" r:id="rId49" display="https://www.sports-reference.com/cbb/schools/st-johns-ny/2022.html" xr:uid="{94BC95DA-12A1-4F07-A629-666ABC120344}"/>
    <hyperlink ref="B58" r:id="rId50" display="https://www.sports-reference.com/cbb/schools/southern-methodist/2022.html" xr:uid="{6145DDE1-7F45-4493-BF31-C8F8F4642312}"/>
    <hyperlink ref="B56" r:id="rId51" display="https://www.sports-reference.com/cbb/schools/creighton/2022.html" xr:uid="{82E15443-C4CD-4589-8A7A-6050D99A7F3B}"/>
    <hyperlink ref="B60" r:id="rId52" display="https://www.sports-reference.com/cbb/schools/utah-state/2022.html" xr:uid="{5CC20813-74AA-4AB8-A2EF-20DE175D0FDF}"/>
    <hyperlink ref="B59" r:id="rId53" display="https://www.sports-reference.com/cbb/schools/vanderbilt/2022.html" xr:uid="{32AB5CBE-C5FD-4299-B931-E1E51E8A0E2A}"/>
    <hyperlink ref="B40" r:id="rId54" display="https://www.sports-reference.com/cbb/schools/alabama-birmingham/2022.html" xr:uid="{79B1520D-953E-4B7F-92EB-DB65382A025B}"/>
    <hyperlink ref="B66" r:id="rId55" display="https://www.sports-reference.com/cbb/schools/notre-dame/2022.html" xr:uid="{484A51D5-1184-4D67-BC55-76AE360E3667}"/>
    <hyperlink ref="B68" r:id="rId56" display="https://www.sports-reference.com/cbb/schools/kansas-state/2022.html" xr:uid="{0E0308AF-B7D4-4A1E-9EF9-FAAD6A2079FC}"/>
    <hyperlink ref="B67" r:id="rId57" display="https://www.sports-reference.com/cbb/schools/davidson/2022.html" xr:uid="{E152ED67-2288-459F-B0E8-2C8B3909B4A2}"/>
    <hyperlink ref="B57" r:id="rId58" display="https://www.sports-reference.com/cbb/schools/colorado/2022.html" xr:uid="{D9105A37-6D2C-4407-ADC0-8B2F9342FBDF}"/>
    <hyperlink ref="B53" r:id="rId59" display="https://www.sports-reference.com/cbb/schools/oregon/2022.html" xr:uid="{58B046F1-3480-4841-B681-B0E6EB27D73B}"/>
    <hyperlink ref="B62" r:id="rId60" display="https://www.sports-reference.com/cbb/schools/murray-state/2022.html" xr:uid="{25AC5260-BABC-481E-BB74-55C5448DFC6A}"/>
    <hyperlink ref="B35" r:id="rId61" display="https://www.sports-reference.com/cbb/schools/saint-louis/2022.html" xr:uid="{A8322C3C-AF97-462B-86D1-96E5A43C4E00}"/>
    <hyperlink ref="B54" r:id="rId62" display="https://www.sports-reference.com/cbb/schools/west-virginia/2022.html" xr:uid="{598662AE-B934-4DCD-B1BA-2B788AC053AC}"/>
    <hyperlink ref="B55" r:id="rId63" display="https://www.sports-reference.com/cbb/schools/brigham-young/2022.html" xr:uid="{57DE4E11-6D7B-4BDB-B046-7ACDB10BACE0}"/>
    <hyperlink ref="B69" r:id="rId64" display="https://www.sports-reference.com/cbb/schools/dayton/2022.html" xr:uid="{B12CAFF3-800C-4759-9EB2-350F691D8577}"/>
    <hyperlink ref="B63" r:id="rId65" display="https://www.sports-reference.com/cbb/schools/miami-fl/2022.html" xr:uid="{2FFF16D9-DA42-4384-89AD-1A6E566889C8}"/>
    <hyperlink ref="B65" r:id="rId66" display="https://www.sports-reference.com/cbb/schools/wyoming/2022.html" xr:uid="{51DCCC23-8815-4C42-BFDC-C5114571E0DC}"/>
    <hyperlink ref="B52" r:id="rId67" display="https://www.sports-reference.com/cbb/schools/syracuse/2022.html" xr:uid="{8DEA0389-D26C-47BD-B92C-2C61716C1D4F}"/>
    <hyperlink ref="B70" r:id="rId68" display="https://www.sports-reference.com/cbb/schools/virginia-commonwealth/2022.html" xr:uid="{88EB315B-11AA-479D-880D-C55F2C04529A}"/>
  </hyperlinks>
  <pageMargins left="0.7" right="0.7" top="0.75" bottom="0.75" header="0.3" footer="0.3"/>
  <pageSetup orientation="portrait" r:id="rId69"/>
  <tableParts count="2">
    <tablePart r:id="rId70"/>
    <tablePart r:id="rId7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2020-2021 Team Stats</vt:lpstr>
      <vt:lpstr>Score Calculations</vt:lpstr>
      <vt:lpstr>2021-2022 March Madness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Chintalapati</dc:creator>
  <cp:lastModifiedBy>Ashwin Chintalapati</cp:lastModifiedBy>
  <dcterms:created xsi:type="dcterms:W3CDTF">2022-03-04T16:37:52Z</dcterms:created>
  <dcterms:modified xsi:type="dcterms:W3CDTF">2022-03-14T20:55:59Z</dcterms:modified>
</cp:coreProperties>
</file>