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l001\Documents\DONEEEEEEEEEEEEEEEEEEEEEEEEEEEEE\Arch\Compensation\"/>
    </mc:Choice>
  </mc:AlternateContent>
  <xr:revisionPtr revIDLastSave="0" documentId="13_ncr:1_{CC729D39-AABE-4C58-94A2-D09AC0F03F46}" xr6:coauthVersionLast="47" xr6:coauthVersionMax="47" xr10:uidLastSave="{00000000-0000-0000-0000-000000000000}"/>
  <bookViews>
    <workbookView xWindow="-110" yWindow="-110" windowWidth="19420" windowHeight="10300" firstSheet="1" activeTab="6" xr2:uid="{90AC7C19-7073-4380-A623-FA66BE441691}"/>
  </bookViews>
  <sheets>
    <sheet name="Tax exemption-sample" sheetId="3" r:id="rId1"/>
    <sheet name="Correct" sheetId="20" r:id="rId2"/>
    <sheet name="New" sheetId="23" r:id="rId3"/>
    <sheet name="Income tax 2023-34" sheetId="21" r:id="rId4"/>
    <sheet name="Accenture" sheetId="22" r:id="rId5"/>
    <sheet name="Compensation conparison" sheetId="18" r:id="rId6"/>
    <sheet name="Sheet2" sheetId="2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22" l="1"/>
  <c r="N21" i="22"/>
  <c r="L8" i="22"/>
  <c r="L7" i="22"/>
  <c r="L6" i="22"/>
  <c r="L5" i="22"/>
  <c r="D38" i="23"/>
  <c r="F29" i="23"/>
  <c r="E29" i="23"/>
  <c r="G29" i="23" s="1"/>
  <c r="G32" i="23" s="1"/>
  <c r="I33" i="23" s="1"/>
  <c r="M17" i="23"/>
  <c r="G16" i="23"/>
  <c r="J15" i="23"/>
  <c r="G15" i="23"/>
  <c r="G13" i="23"/>
  <c r="G12" i="23"/>
  <c r="E11" i="23"/>
  <c r="E12" i="23" s="1"/>
  <c r="E13" i="23" s="1"/>
  <c r="E14" i="23" s="1"/>
  <c r="G14" i="23" s="1"/>
  <c r="N9" i="23"/>
  <c r="N8" i="23"/>
  <c r="J5" i="23"/>
  <c r="J6" i="23" s="1"/>
  <c r="B5" i="23"/>
  <c r="B3" i="23"/>
  <c r="D1" i="23"/>
  <c r="J15" i="20"/>
  <c r="E11" i="20"/>
  <c r="J16" i="22"/>
  <c r="C26" i="22"/>
  <c r="C24" i="22"/>
  <c r="C18" i="22"/>
  <c r="C9" i="22"/>
  <c r="C8" i="22"/>
  <c r="C15" i="22"/>
  <c r="C14" i="22"/>
  <c r="J14" i="22"/>
  <c r="J11" i="22"/>
  <c r="J9" i="22"/>
  <c r="C6" i="22"/>
  <c r="C5" i="22"/>
  <c r="D3" i="21"/>
  <c r="C3" i="21"/>
  <c r="C2" i="21"/>
  <c r="F29" i="21"/>
  <c r="D30" i="21"/>
  <c r="D29" i="21"/>
  <c r="D28" i="21"/>
  <c r="B7" i="23" l="1"/>
  <c r="N10" i="23"/>
  <c r="G18" i="23"/>
  <c r="G19" i="23" s="1"/>
  <c r="G20" i="23" s="1"/>
  <c r="D38" i="20"/>
  <c r="I33" i="20"/>
  <c r="G32" i="20"/>
  <c r="G29" i="20"/>
  <c r="F29" i="20"/>
  <c r="E29" i="20"/>
  <c r="J6" i="20"/>
  <c r="J5" i="20"/>
  <c r="C17" i="21"/>
  <c r="C21" i="21"/>
  <c r="C14" i="21"/>
  <c r="C10" i="21"/>
  <c r="C6" i="21"/>
  <c r="G13" i="20"/>
  <c r="M17" i="20"/>
  <c r="G15" i="20"/>
  <c r="N10" i="20"/>
  <c r="N9" i="20"/>
  <c r="N8" i="20"/>
  <c r="G5" i="3"/>
  <c r="G4" i="3"/>
  <c r="G3" i="3"/>
  <c r="G15" i="3"/>
  <c r="G12" i="20"/>
  <c r="B5" i="20"/>
  <c r="B3" i="20"/>
  <c r="B7" i="20"/>
  <c r="E12" i="20" s="1"/>
  <c r="D1" i="20"/>
  <c r="H14" i="18"/>
  <c r="H7" i="18"/>
  <c r="D1" i="18"/>
  <c r="F1" i="18"/>
  <c r="P14" i="18"/>
  <c r="O14" i="18"/>
  <c r="P13" i="18"/>
  <c r="O13" i="18"/>
  <c r="P12" i="18"/>
  <c r="O12" i="18"/>
  <c r="J11" i="18"/>
  <c r="J10" i="18"/>
  <c r="L10" i="18"/>
  <c r="M10" i="18" s="1"/>
  <c r="M9" i="18"/>
  <c r="L9" i="18"/>
  <c r="J9" i="18"/>
  <c r="J8" i="18"/>
  <c r="F14" i="18"/>
  <c r="F12" i="18"/>
  <c r="D12" i="18"/>
  <c r="F7" i="18"/>
  <c r="D7" i="18"/>
  <c r="D14" i="18" s="1"/>
  <c r="C1" i="3"/>
  <c r="B2" i="3"/>
  <c r="B7" i="3" s="1"/>
  <c r="G17" i="3"/>
  <c r="B5" i="3"/>
  <c r="G14" i="3"/>
  <c r="G13" i="3"/>
  <c r="G12" i="3"/>
  <c r="G21" i="23" l="1"/>
  <c r="I11" i="23"/>
  <c r="E13" i="20"/>
  <c r="E14" i="20" s="1"/>
  <c r="L11" i="18"/>
  <c r="M11" i="18" s="1"/>
  <c r="B9" i="3"/>
  <c r="E11" i="3" s="1"/>
  <c r="E12" i="3" s="1"/>
  <c r="E13" i="3" s="1"/>
  <c r="E14" i="3" s="1"/>
  <c r="E15" i="3" s="1"/>
  <c r="J19" i="23" l="1"/>
  <c r="J18" i="23"/>
  <c r="E5" i="23"/>
  <c r="G5" i="23" s="1"/>
  <c r="J20" i="23"/>
  <c r="G16" i="20"/>
  <c r="G14" i="20"/>
  <c r="E16" i="3"/>
  <c r="G18" i="3" s="1"/>
  <c r="G19" i="3" s="1"/>
  <c r="G20" i="3" s="1"/>
  <c r="G21" i="3" s="1"/>
  <c r="G18" i="20" l="1"/>
  <c r="G19" i="20" s="1"/>
  <c r="G20" i="20" s="1"/>
  <c r="G21" i="20" s="1"/>
  <c r="J19" i="20" l="1"/>
  <c r="J20" i="20"/>
  <c r="J18" i="20"/>
  <c r="E5" i="20"/>
  <c r="G5" i="20" s="1"/>
  <c r="I11" i="20"/>
</calcChain>
</file>

<file path=xl/sharedStrings.xml><?xml version="1.0" encoding="utf-8"?>
<sst xmlns="http://schemas.openxmlformats.org/spreadsheetml/2006/main" count="134" uniqueCount="77">
  <si>
    <t>Per month</t>
  </si>
  <si>
    <t>Tax</t>
  </si>
  <si>
    <t>Total deductions</t>
  </si>
  <si>
    <t>Total</t>
  </si>
  <si>
    <t>Above</t>
  </si>
  <si>
    <t>Cess</t>
  </si>
  <si>
    <t>Total Tax</t>
  </si>
  <si>
    <t>Nill</t>
  </si>
  <si>
    <t>Income tax</t>
  </si>
  <si>
    <t>Total income</t>
  </si>
  <si>
    <t>Pf of both</t>
  </si>
  <si>
    <t>standard deduction</t>
  </si>
  <si>
    <t>professional tax</t>
  </si>
  <si>
    <t>Taxable amount</t>
  </si>
  <si>
    <t>HRA exempted</t>
  </si>
  <si>
    <t>80 C</t>
  </si>
  <si>
    <t>HRA-40000</t>
  </si>
  <si>
    <t>From</t>
  </si>
  <si>
    <t>To</t>
  </si>
  <si>
    <t>Difference</t>
  </si>
  <si>
    <t>Slab</t>
  </si>
  <si>
    <t>80 C &amp; 80D</t>
  </si>
  <si>
    <t>Gross</t>
  </si>
  <si>
    <t>Basic</t>
  </si>
  <si>
    <t>HRA</t>
  </si>
  <si>
    <t>PF</t>
  </si>
  <si>
    <t>Salary</t>
  </si>
  <si>
    <t>Old</t>
  </si>
  <si>
    <t>New</t>
  </si>
  <si>
    <t>Special</t>
  </si>
  <si>
    <t>Ptax</t>
  </si>
  <si>
    <t>TDS</t>
  </si>
  <si>
    <t>22 L</t>
  </si>
  <si>
    <t>23 L</t>
  </si>
  <si>
    <t>25 L</t>
  </si>
  <si>
    <t>20 L</t>
  </si>
  <si>
    <t>1 CRORE</t>
  </si>
  <si>
    <t>17 L</t>
  </si>
  <si>
    <t>pf</t>
  </si>
  <si>
    <t>HRA exemption</t>
  </si>
  <si>
    <t>Net salary</t>
  </si>
  <si>
    <t>Deduction u/s 16</t>
  </si>
  <si>
    <t>Chargeable income</t>
  </si>
  <si>
    <t>Income from other source</t>
  </si>
  <si>
    <t>Gross total income</t>
  </si>
  <si>
    <t>bank interset</t>
  </si>
  <si>
    <t>std+prof tax</t>
  </si>
  <si>
    <t>tax paid</t>
  </si>
  <si>
    <t>as per form 26 AS</t>
  </si>
  <si>
    <t>1556016 &amp; 3600</t>
  </si>
  <si>
    <t>tax I was supposed to pay</t>
  </si>
  <si>
    <t>after 4% cess</t>
  </si>
  <si>
    <t>Refund</t>
  </si>
  <si>
    <t>(Total salary + cognizant) - Gross earnings without deductions in payslip-refer pay register</t>
  </si>
  <si>
    <t>pwc (bonus included) + cognizabt 3k</t>
  </si>
  <si>
    <t>rfb</t>
  </si>
  <si>
    <t>actual tax in 26 as</t>
  </si>
  <si>
    <t>tax paid by me in payslip</t>
  </si>
  <si>
    <t>total paid in 26 as</t>
  </si>
  <si>
    <t>of total salary</t>
  </si>
  <si>
    <t>of basic</t>
  </si>
  <si>
    <t>Deduction Std</t>
  </si>
  <si>
    <t>Total deduc</t>
  </si>
  <si>
    <t>Total tax</t>
  </si>
  <si>
    <t>60k</t>
  </si>
  <si>
    <t>remaining</t>
  </si>
  <si>
    <t>prof</t>
  </si>
  <si>
    <t>per month tax</t>
  </si>
  <si>
    <t>https://www.ambitionbox.com/salaries/take-home-salary-calculator?ctc=2180000</t>
  </si>
  <si>
    <t>Car</t>
  </si>
  <si>
    <t>Phone, bike</t>
  </si>
  <si>
    <t>Education</t>
  </si>
  <si>
    <t>Home</t>
  </si>
  <si>
    <t>Bangalore</t>
  </si>
  <si>
    <t>Personal</t>
  </si>
  <si>
    <t>Insurance human</t>
  </si>
  <si>
    <t>Insurance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</si>
</sst>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7"/>
      <color rgb="FF2B2F3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9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9" fontId="0" fillId="0" borderId="0" xfId="0" applyNumberFormat="1" applyFill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0" borderId="1" xfId="0" applyFill="1" applyBorder="1"/>
    <xf numFmtId="9" fontId="0" fillId="0" borderId="1" xfId="0" applyNumberFormat="1" applyBorder="1"/>
    <xf numFmtId="0" fontId="1" fillId="3" borderId="1" xfId="0" applyFont="1" applyFill="1" applyBorder="1"/>
    <xf numFmtId="0" fontId="0" fillId="4" borderId="1" xfId="0" applyFill="1" applyBorder="1"/>
    <xf numFmtId="0" fontId="2" fillId="2" borderId="1" xfId="0" applyFont="1" applyFill="1" applyBorder="1"/>
    <xf numFmtId="10" fontId="0" fillId="0" borderId="0" xfId="0" applyNumberFormat="1"/>
    <xf numFmtId="9" fontId="0" fillId="2" borderId="0" xfId="0" applyNumberFormat="1" applyFill="1"/>
    <xf numFmtId="10" fontId="0" fillId="2" borderId="0" xfId="0" applyNumberFormat="1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wrapText="1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24</xdr:col>
      <xdr:colOff>227419</xdr:colOff>
      <xdr:row>44</xdr:row>
      <xdr:rowOff>21209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E7D67D-6531-4A41-BC06-253346C7D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7200" y="0"/>
          <a:ext cx="9447619" cy="81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146050</xdr:colOff>
      <xdr:row>0</xdr:row>
      <xdr:rowOff>0</xdr:rowOff>
    </xdr:from>
    <xdr:to>
      <xdr:col>30</xdr:col>
      <xdr:colOff>449669</xdr:colOff>
      <xdr:row>40</xdr:row>
      <xdr:rowOff>21209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8E67B3-67A7-482E-960E-5C4F7F45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7250" y="0"/>
          <a:ext cx="9447619" cy="81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146050</xdr:colOff>
      <xdr:row>0</xdr:row>
      <xdr:rowOff>0</xdr:rowOff>
    </xdr:from>
    <xdr:to>
      <xdr:col>30</xdr:col>
      <xdr:colOff>449669</xdr:colOff>
      <xdr:row>44</xdr:row>
      <xdr:rowOff>21209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8EA08-324A-4667-BFE2-AFBDEA2FC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1350" y="0"/>
          <a:ext cx="9447619" cy="8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463550</xdr:colOff>
      <xdr:row>5</xdr:row>
      <xdr:rowOff>146050</xdr:rowOff>
    </xdr:from>
    <xdr:to>
      <xdr:col>22</xdr:col>
      <xdr:colOff>470453</xdr:colOff>
      <xdr:row>24</xdr:row>
      <xdr:rowOff>152580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269AB5-8DF7-222F-1CB1-DE82E5BAE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066800"/>
          <a:ext cx="10751103" cy="3505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6893-6A32-4D4C-9B0D-5394C067AD09}">
  <dimension ref="A1:M21"/>
  <sheetViews>
    <sheetView workbookViewId="0">
      <selection activeCell="C5" sqref="C5"/>
    </sheetView>
  </sheetViews>
  <sheetFormatPr defaultRowHeight="14.5" x14ac:dyDescent="0.35"/>
  <cols>
    <col min="1" max="1" width="17.1796875" bestFit="1" customWidth="1"/>
    <col min="2" max="2" width="9.54296875" bestFit="1" customWidth="1"/>
    <col min="3" max="3" width="11.81640625" bestFit="1" customWidth="1"/>
    <col min="5" max="5" width="9.453125" bestFit="1" customWidth="1"/>
    <col min="7" max="7" width="10.90625" bestFit="1" customWidth="1"/>
    <col min="9" max="9" width="12.1796875" bestFit="1" customWidth="1"/>
    <col min="10" max="10" width="10" bestFit="1" customWidth="1"/>
  </cols>
  <sheetData>
    <row r="1" spans="1:13" x14ac:dyDescent="0.35">
      <c r="A1" s="13" t="s">
        <v>9</v>
      </c>
      <c r="B1" s="5">
        <v>1550000</v>
      </c>
      <c r="C1">
        <f>(B1/12)-(5600*2)-(16400)</f>
        <v>101566.66666666667</v>
      </c>
    </row>
    <row r="2" spans="1:13" x14ac:dyDescent="0.35">
      <c r="A2" s="13" t="s">
        <v>10</v>
      </c>
      <c r="B2" s="5">
        <f>5600*12*2</f>
        <v>134400</v>
      </c>
    </row>
    <row r="3" spans="1:13" x14ac:dyDescent="0.35">
      <c r="A3" s="13" t="s">
        <v>11</v>
      </c>
      <c r="B3" s="5">
        <v>50000</v>
      </c>
      <c r="G3">
        <f>22000*10</f>
        <v>220000</v>
      </c>
    </row>
    <row r="4" spans="1:13" x14ac:dyDescent="0.35">
      <c r="A4" s="13" t="s">
        <v>14</v>
      </c>
      <c r="B4" s="14">
        <v>160000</v>
      </c>
      <c r="G4">
        <f>18000*2</f>
        <v>36000</v>
      </c>
    </row>
    <row r="5" spans="1:13" x14ac:dyDescent="0.35">
      <c r="A5" s="13" t="s">
        <v>12</v>
      </c>
      <c r="B5" s="5">
        <f>200*12</f>
        <v>2400</v>
      </c>
      <c r="G5">
        <f>G4+G3</f>
        <v>256000</v>
      </c>
    </row>
    <row r="6" spans="1:13" x14ac:dyDescent="0.35">
      <c r="A6" s="13" t="s">
        <v>15</v>
      </c>
      <c r="B6" s="14">
        <v>150000</v>
      </c>
    </row>
    <row r="7" spans="1:13" x14ac:dyDescent="0.35">
      <c r="A7" s="13" t="s">
        <v>2</v>
      </c>
      <c r="B7" s="5">
        <f>B2+B3+B4+B5+B6</f>
        <v>496800</v>
      </c>
    </row>
    <row r="8" spans="1:13" x14ac:dyDescent="0.35">
      <c r="A8" s="5"/>
      <c r="B8" s="5"/>
    </row>
    <row r="9" spans="1:13" x14ac:dyDescent="0.35">
      <c r="A9" s="13" t="s">
        <v>13</v>
      </c>
      <c r="B9" s="7">
        <f>B1-B7</f>
        <v>1053200</v>
      </c>
    </row>
    <row r="10" spans="1:13" x14ac:dyDescent="0.35">
      <c r="C10" s="8" t="s">
        <v>17</v>
      </c>
      <c r="D10" s="8" t="s">
        <v>18</v>
      </c>
      <c r="E10" s="8" t="s">
        <v>19</v>
      </c>
      <c r="F10" s="8" t="s">
        <v>20</v>
      </c>
      <c r="G10" s="8" t="s">
        <v>8</v>
      </c>
      <c r="I10" s="2"/>
      <c r="J10" s="6"/>
      <c r="K10" s="2"/>
      <c r="L10" s="2"/>
      <c r="M10" s="2"/>
    </row>
    <row r="11" spans="1:13" x14ac:dyDescent="0.35">
      <c r="C11" s="5">
        <v>0</v>
      </c>
      <c r="D11" s="5">
        <v>250000</v>
      </c>
      <c r="E11" s="7">
        <f>B9</f>
        <v>1053200</v>
      </c>
      <c r="F11" s="9" t="s">
        <v>7</v>
      </c>
      <c r="G11" s="5"/>
      <c r="I11" s="2"/>
      <c r="J11" s="2"/>
      <c r="K11" s="2"/>
      <c r="L11" s="2"/>
      <c r="M11" s="2"/>
    </row>
    <row r="12" spans="1:13" x14ac:dyDescent="0.35">
      <c r="C12" s="10">
        <v>250000</v>
      </c>
      <c r="D12" s="5">
        <v>500000</v>
      </c>
      <c r="E12" s="11">
        <f>E11-D11</f>
        <v>803200</v>
      </c>
      <c r="F12" s="12">
        <v>0.05</v>
      </c>
      <c r="G12" s="5">
        <f>F12*C12</f>
        <v>12500</v>
      </c>
      <c r="I12" s="2"/>
      <c r="J12" s="6"/>
      <c r="K12" s="2"/>
      <c r="L12" s="2"/>
      <c r="M12" s="2"/>
    </row>
    <row r="13" spans="1:13" x14ac:dyDescent="0.35">
      <c r="C13" s="5">
        <v>500000</v>
      </c>
      <c r="D13" s="5">
        <v>750000</v>
      </c>
      <c r="E13" s="5">
        <f>E12-D11</f>
        <v>553200</v>
      </c>
      <c r="F13" s="12">
        <v>0.2</v>
      </c>
      <c r="G13" s="5">
        <f>F13*C12</f>
        <v>50000</v>
      </c>
      <c r="I13" s="2"/>
      <c r="J13" s="6"/>
      <c r="K13" s="2"/>
      <c r="L13" s="2"/>
      <c r="M13" s="2"/>
    </row>
    <row r="14" spans="1:13" x14ac:dyDescent="0.35">
      <c r="C14" s="5">
        <v>750000</v>
      </c>
      <c r="D14" s="5">
        <v>1000000</v>
      </c>
      <c r="E14" s="5">
        <f>E13-D11</f>
        <v>303200</v>
      </c>
      <c r="F14" s="12">
        <v>0.2</v>
      </c>
      <c r="G14" s="5">
        <f>F14*C12</f>
        <v>50000</v>
      </c>
      <c r="I14" s="2"/>
      <c r="J14" s="2"/>
      <c r="K14" s="2"/>
      <c r="L14" s="2"/>
      <c r="M14" s="2"/>
    </row>
    <row r="15" spans="1:13" x14ac:dyDescent="0.35">
      <c r="C15" s="5">
        <v>1000000</v>
      </c>
      <c r="D15" s="5">
        <v>1250000</v>
      </c>
      <c r="E15" s="5">
        <f>E14-D11</f>
        <v>53200</v>
      </c>
      <c r="F15" s="12">
        <v>0.3</v>
      </c>
      <c r="G15" s="5">
        <f>F15*E15</f>
        <v>15960</v>
      </c>
      <c r="I15" s="2"/>
      <c r="J15" s="2"/>
      <c r="K15" s="2"/>
      <c r="L15" s="2"/>
      <c r="M15" s="2"/>
    </row>
    <row r="16" spans="1:13" x14ac:dyDescent="0.35">
      <c r="C16" s="5">
        <v>1250000</v>
      </c>
      <c r="D16" s="5">
        <v>1500000</v>
      </c>
      <c r="E16" s="5">
        <f>E15-D11</f>
        <v>-196800</v>
      </c>
      <c r="F16" s="12">
        <v>0.3</v>
      </c>
      <c r="G16" s="5"/>
      <c r="I16" s="2"/>
      <c r="J16" s="2"/>
      <c r="K16" s="2"/>
      <c r="L16" s="2"/>
      <c r="M16" s="2"/>
    </row>
    <row r="17" spans="2:13" x14ac:dyDescent="0.35">
      <c r="C17" s="5">
        <v>1500000</v>
      </c>
      <c r="D17" s="5" t="s">
        <v>4</v>
      </c>
      <c r="E17" s="5"/>
      <c r="F17" s="12">
        <v>0.3</v>
      </c>
      <c r="G17" s="5">
        <f>F17*E17</f>
        <v>0</v>
      </c>
      <c r="I17" s="2"/>
      <c r="J17" s="2"/>
      <c r="K17" s="2"/>
      <c r="L17" s="2"/>
      <c r="M17" s="2"/>
    </row>
    <row r="18" spans="2:13" x14ac:dyDescent="0.35">
      <c r="B18" s="5" t="s">
        <v>1</v>
      </c>
      <c r="G18" s="5">
        <f>SUM(G12:G17)</f>
        <v>128460</v>
      </c>
      <c r="I18" s="2"/>
      <c r="J18" s="2"/>
      <c r="K18" s="2"/>
      <c r="L18" s="2"/>
      <c r="M18" s="2"/>
    </row>
    <row r="19" spans="2:13" x14ac:dyDescent="0.35">
      <c r="B19" s="5" t="s">
        <v>5</v>
      </c>
      <c r="C19" s="1">
        <v>0.04</v>
      </c>
      <c r="G19" s="5">
        <f>C19*G18</f>
        <v>5138.4000000000005</v>
      </c>
      <c r="I19" s="2"/>
      <c r="J19" s="2"/>
      <c r="K19" s="2"/>
      <c r="L19" s="2"/>
      <c r="M19" s="2"/>
    </row>
    <row r="20" spans="2:13" x14ac:dyDescent="0.35">
      <c r="B20" s="5" t="s">
        <v>6</v>
      </c>
      <c r="G20" s="7">
        <f>G18+G19</f>
        <v>133598.39999999999</v>
      </c>
      <c r="I20" s="2"/>
      <c r="J20" s="2" t="s">
        <v>16</v>
      </c>
      <c r="K20" s="2"/>
      <c r="L20" s="2"/>
      <c r="M20" s="2"/>
    </row>
    <row r="21" spans="2:13" x14ac:dyDescent="0.35">
      <c r="B21" s="5" t="s">
        <v>0</v>
      </c>
      <c r="G21" s="7">
        <f>G20/12</f>
        <v>11133.199999999999</v>
      </c>
      <c r="I21" s="2"/>
      <c r="J21" s="2"/>
      <c r="K21" s="2"/>
      <c r="L21" s="2"/>
      <c r="M21" s="2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1924-76A7-406D-B2AD-8CAFEC6F6106}">
  <dimension ref="A1:N38"/>
  <sheetViews>
    <sheetView topLeftCell="A4" workbookViewId="0">
      <selection activeCell="C12" sqref="C12:G12"/>
    </sheetView>
  </sheetViews>
  <sheetFormatPr defaultRowHeight="14.5" x14ac:dyDescent="0.35"/>
  <cols>
    <col min="1" max="1" width="17.1796875" bestFit="1" customWidth="1"/>
    <col min="2" max="2" width="9.54296875" bestFit="1" customWidth="1"/>
    <col min="3" max="3" width="31.08984375" customWidth="1"/>
    <col min="5" max="5" width="9.453125" bestFit="1" customWidth="1"/>
    <col min="7" max="7" width="10.90625" bestFit="1" customWidth="1"/>
    <col min="9" max="9" width="12.1796875" bestFit="1" customWidth="1"/>
    <col min="10" max="10" width="10" bestFit="1" customWidth="1"/>
    <col min="11" max="11" width="9.26953125" bestFit="1" customWidth="1"/>
  </cols>
  <sheetData>
    <row r="1" spans="1:14" x14ac:dyDescent="0.35">
      <c r="A1" s="13" t="s">
        <v>9</v>
      </c>
      <c r="B1">
        <v>1568616</v>
      </c>
      <c r="C1" t="s">
        <v>54</v>
      </c>
      <c r="D1">
        <f>(B1-(20000*12)-(10000*12))/12</f>
        <v>100718</v>
      </c>
      <c r="E1" s="5"/>
    </row>
    <row r="2" spans="1:14" x14ac:dyDescent="0.35">
      <c r="A2" s="13" t="s">
        <v>10</v>
      </c>
      <c r="B2" s="5"/>
      <c r="I2" s="20"/>
    </row>
    <row r="3" spans="1:14" x14ac:dyDescent="0.35">
      <c r="A3" s="13" t="s">
        <v>11</v>
      </c>
      <c r="B3" s="5">
        <f>50000</f>
        <v>50000</v>
      </c>
      <c r="I3" s="20"/>
    </row>
    <row r="4" spans="1:14" x14ac:dyDescent="0.35">
      <c r="A4" s="13" t="s">
        <v>14</v>
      </c>
      <c r="B4" s="14">
        <v>177480</v>
      </c>
      <c r="I4" s="20"/>
      <c r="J4">
        <v>1456000</v>
      </c>
    </row>
    <row r="5" spans="1:14" x14ac:dyDescent="0.35">
      <c r="A5" s="13" t="s">
        <v>12</v>
      </c>
      <c r="B5" s="5">
        <f>200*12</f>
        <v>2400</v>
      </c>
      <c r="E5">
        <f>B1-G21-B2-B5</f>
        <v>1530466</v>
      </c>
      <c r="G5">
        <f>E5/12</f>
        <v>127538.83333333333</v>
      </c>
      <c r="J5">
        <f>J4/12</f>
        <v>121333.33333333333</v>
      </c>
      <c r="K5" s="1"/>
    </row>
    <row r="6" spans="1:14" x14ac:dyDescent="0.35">
      <c r="A6" s="13" t="s">
        <v>21</v>
      </c>
      <c r="B6" s="14">
        <v>150000</v>
      </c>
      <c r="J6">
        <f>J5-114265</f>
        <v>7068.3333333333285</v>
      </c>
    </row>
    <row r="7" spans="1:14" x14ac:dyDescent="0.35">
      <c r="A7" s="13" t="s">
        <v>2</v>
      </c>
      <c r="B7" s="5">
        <f>B2+B3+B4+B5+B6</f>
        <v>379880</v>
      </c>
    </row>
    <row r="8" spans="1:14" x14ac:dyDescent="0.35">
      <c r="A8" s="5"/>
      <c r="B8" s="5"/>
      <c r="L8">
        <v>8000</v>
      </c>
      <c r="M8">
        <v>2</v>
      </c>
      <c r="N8">
        <f>L8*M8</f>
        <v>16000</v>
      </c>
    </row>
    <row r="9" spans="1:14" x14ac:dyDescent="0.35">
      <c r="A9" s="13" t="s">
        <v>13</v>
      </c>
      <c r="B9">
        <v>2000000</v>
      </c>
      <c r="L9">
        <v>22000</v>
      </c>
      <c r="M9">
        <v>10</v>
      </c>
      <c r="N9">
        <f>L9*M9</f>
        <v>220000</v>
      </c>
    </row>
    <row r="10" spans="1:14" x14ac:dyDescent="0.35">
      <c r="B10">
        <v>1644000</v>
      </c>
      <c r="C10" s="8" t="s">
        <v>17</v>
      </c>
      <c r="D10" s="8" t="s">
        <v>18</v>
      </c>
      <c r="E10" s="8" t="s">
        <v>19</v>
      </c>
      <c r="F10" s="8" t="s">
        <v>20</v>
      </c>
      <c r="G10" s="8" t="s">
        <v>8</v>
      </c>
      <c r="I10" s="2">
        <v>213031</v>
      </c>
      <c r="J10" s="6"/>
      <c r="K10" s="2"/>
      <c r="L10" s="2"/>
      <c r="M10" s="2"/>
      <c r="N10">
        <f>N8+N9</f>
        <v>236000</v>
      </c>
    </row>
    <row r="11" spans="1:14" x14ac:dyDescent="0.35">
      <c r="B11" s="7">
        <v>1191190</v>
      </c>
      <c r="C11" s="5">
        <v>0</v>
      </c>
      <c r="D11" s="5">
        <v>250000</v>
      </c>
      <c r="E11" s="7">
        <f>B9</f>
        <v>2000000</v>
      </c>
      <c r="F11" s="9" t="s">
        <v>7</v>
      </c>
      <c r="G11" s="5"/>
      <c r="I11" s="2">
        <f>I10-G20</f>
        <v>-215969</v>
      </c>
      <c r="J11" s="2"/>
      <c r="K11" s="2"/>
      <c r="L11" s="2"/>
      <c r="M11" s="2"/>
    </row>
    <row r="12" spans="1:14" x14ac:dyDescent="0.35">
      <c r="C12" s="10">
        <v>250000</v>
      </c>
      <c r="D12" s="5">
        <v>500000</v>
      </c>
      <c r="E12" s="11">
        <f>E11-C12</f>
        <v>1750000</v>
      </c>
      <c r="F12" s="12">
        <v>0.05</v>
      </c>
      <c r="G12" s="5">
        <f>F12*C12</f>
        <v>12500</v>
      </c>
      <c r="I12" s="2"/>
      <c r="J12" s="6"/>
      <c r="K12" s="2"/>
      <c r="L12" s="2"/>
      <c r="M12" s="2"/>
    </row>
    <row r="13" spans="1:14" x14ac:dyDescent="0.35">
      <c r="C13" s="5">
        <v>500000</v>
      </c>
      <c r="D13" s="5">
        <v>1000000</v>
      </c>
      <c r="E13" s="5">
        <f>E12-C13</f>
        <v>1250000</v>
      </c>
      <c r="F13" s="12">
        <v>0.2</v>
      </c>
      <c r="G13" s="5">
        <f>F13*C13</f>
        <v>100000</v>
      </c>
      <c r="I13" s="2"/>
      <c r="J13" s="6"/>
      <c r="K13" s="2"/>
      <c r="L13" s="2"/>
      <c r="M13" s="2"/>
    </row>
    <row r="14" spans="1:14" x14ac:dyDescent="0.35">
      <c r="C14" s="5">
        <v>1000000</v>
      </c>
      <c r="D14" s="5"/>
      <c r="E14" s="5">
        <f>E13-D11</f>
        <v>1000000</v>
      </c>
      <c r="F14" s="12">
        <v>0.3</v>
      </c>
      <c r="G14" s="5">
        <f>F14*E14</f>
        <v>300000</v>
      </c>
      <c r="I14" s="2"/>
      <c r="J14" s="2"/>
      <c r="K14" s="2"/>
      <c r="L14" s="2"/>
      <c r="M14" s="2"/>
    </row>
    <row r="15" spans="1:14" x14ac:dyDescent="0.35">
      <c r="C15" s="5"/>
      <c r="D15" s="5"/>
      <c r="E15" s="5"/>
      <c r="F15" s="12"/>
      <c r="G15" s="5">
        <f>F15*C12</f>
        <v>0</v>
      </c>
      <c r="I15" s="2"/>
      <c r="J15" s="2">
        <f>200000/12</f>
        <v>16666.666666666668</v>
      </c>
      <c r="K15" s="2"/>
      <c r="L15" s="2"/>
      <c r="M15" s="2">
        <v>1550000</v>
      </c>
    </row>
    <row r="16" spans="1:14" x14ac:dyDescent="0.35">
      <c r="C16" s="5"/>
      <c r="D16" s="5"/>
      <c r="E16" s="5"/>
      <c r="F16" s="12"/>
      <c r="G16" s="5">
        <f>F16*E16</f>
        <v>0</v>
      </c>
      <c r="I16" s="2"/>
      <c r="J16" s="2"/>
      <c r="K16" s="2"/>
      <c r="L16" s="2"/>
      <c r="M16" s="2">
        <v>1341000</v>
      </c>
    </row>
    <row r="17" spans="2:14" x14ac:dyDescent="0.35">
      <c r="C17" s="5"/>
      <c r="D17" s="5" t="s">
        <v>4</v>
      </c>
      <c r="E17" s="5"/>
      <c r="F17" s="12"/>
      <c r="G17" s="5"/>
      <c r="K17" s="2"/>
      <c r="L17" s="2"/>
      <c r="M17" s="2">
        <f>M15-M16</f>
        <v>209000</v>
      </c>
    </row>
    <row r="18" spans="2:14" x14ac:dyDescent="0.35">
      <c r="B18" s="5" t="s">
        <v>1</v>
      </c>
      <c r="G18" s="15">
        <f>SUM(G12:G17)</f>
        <v>412500</v>
      </c>
      <c r="I18" s="2">
        <v>2500000</v>
      </c>
      <c r="J18" s="2">
        <f>(I18/12)-G22-G21</f>
        <v>152583.33333333334</v>
      </c>
      <c r="K18" s="2"/>
      <c r="L18" s="2"/>
      <c r="M18" s="2"/>
    </row>
    <row r="19" spans="2:14" x14ac:dyDescent="0.35">
      <c r="B19" s="5" t="s">
        <v>5</v>
      </c>
      <c r="C19" s="1">
        <v>0.04</v>
      </c>
      <c r="G19" s="5">
        <f>G18*C19</f>
        <v>16500</v>
      </c>
      <c r="I19" s="2">
        <v>2400000</v>
      </c>
      <c r="J19" s="2">
        <f>(I19/12)-G22-G21</f>
        <v>144250</v>
      </c>
      <c r="K19" s="2"/>
      <c r="L19" s="2"/>
      <c r="M19" s="2"/>
      <c r="N19" s="2"/>
    </row>
    <row r="20" spans="2:14" x14ac:dyDescent="0.35">
      <c r="B20" s="5" t="s">
        <v>6</v>
      </c>
      <c r="G20" s="7">
        <f>G18+G19</f>
        <v>429000</v>
      </c>
      <c r="I20" s="2">
        <v>2300000</v>
      </c>
      <c r="J20" s="2">
        <f>(I20/12)-G22-G21</f>
        <v>135916.66666666666</v>
      </c>
      <c r="K20" s="2"/>
      <c r="L20" s="2"/>
      <c r="M20" s="2"/>
    </row>
    <row r="21" spans="2:14" x14ac:dyDescent="0.35">
      <c r="B21" s="5" t="s">
        <v>0</v>
      </c>
      <c r="G21" s="11">
        <f>G20/12</f>
        <v>35750</v>
      </c>
      <c r="I21" s="2"/>
      <c r="J21" s="2"/>
      <c r="K21" s="2"/>
      <c r="L21" s="2"/>
      <c r="M21" s="2"/>
    </row>
    <row r="22" spans="2:14" x14ac:dyDescent="0.35">
      <c r="G22" s="2">
        <v>20000</v>
      </c>
      <c r="H22" s="2" t="s">
        <v>38</v>
      </c>
    </row>
    <row r="27" spans="2:14" ht="43.5" x14ac:dyDescent="0.35">
      <c r="D27" s="23" t="s">
        <v>56</v>
      </c>
      <c r="E27" s="5">
        <v>42527</v>
      </c>
      <c r="F27" s="5">
        <v>17950</v>
      </c>
      <c r="G27" s="5"/>
      <c r="H27" s="5"/>
      <c r="I27" s="5"/>
      <c r="J27" s="5"/>
      <c r="K27" s="5"/>
    </row>
    <row r="28" spans="2:14" ht="43.5" x14ac:dyDescent="0.35">
      <c r="D28" s="23" t="s">
        <v>57</v>
      </c>
      <c r="E28" s="5">
        <v>11296</v>
      </c>
      <c r="F28" s="5">
        <v>10125</v>
      </c>
      <c r="G28" s="5"/>
      <c r="H28" s="5"/>
      <c r="I28" s="5"/>
      <c r="J28" s="5"/>
      <c r="K28" s="5"/>
    </row>
    <row r="29" spans="2:14" x14ac:dyDescent="0.35">
      <c r="D29" s="5"/>
      <c r="E29" s="5">
        <f>E27-E28</f>
        <v>31231</v>
      </c>
      <c r="F29" s="5">
        <f>F27-F28</f>
        <v>7825</v>
      </c>
      <c r="G29" s="5">
        <f>E29+F29</f>
        <v>39056</v>
      </c>
      <c r="H29" s="5"/>
      <c r="I29" s="5"/>
      <c r="J29" s="5"/>
      <c r="K29" s="5"/>
    </row>
    <row r="30" spans="2:14" x14ac:dyDescent="0.35">
      <c r="D30" s="5"/>
      <c r="E30" s="5"/>
      <c r="F30" s="5"/>
      <c r="G30" s="5"/>
      <c r="H30" s="5"/>
      <c r="I30" s="5"/>
      <c r="J30" s="5"/>
      <c r="K30" s="5"/>
    </row>
    <row r="31" spans="2:14" x14ac:dyDescent="0.35">
      <c r="D31" s="5"/>
      <c r="E31" s="5"/>
      <c r="F31" s="5"/>
      <c r="G31" s="24">
        <v>152554</v>
      </c>
      <c r="H31" s="5"/>
      <c r="I31" s="5"/>
      <c r="J31" s="5"/>
      <c r="K31" s="5"/>
    </row>
    <row r="32" spans="2:14" x14ac:dyDescent="0.35">
      <c r="D32" s="5"/>
      <c r="E32" s="5"/>
      <c r="F32" s="5"/>
      <c r="G32" s="5">
        <f>G29+G31</f>
        <v>191610</v>
      </c>
      <c r="H32" s="5"/>
      <c r="I32" s="5">
        <v>213031</v>
      </c>
      <c r="J32" s="5" t="s">
        <v>58</v>
      </c>
      <c r="K32" s="5"/>
    </row>
    <row r="33" spans="4:11" x14ac:dyDescent="0.35">
      <c r="D33" s="5"/>
      <c r="E33" s="5"/>
      <c r="F33" s="5"/>
      <c r="G33" s="5"/>
      <c r="H33" s="5"/>
      <c r="I33" s="24">
        <f>I32-G32</f>
        <v>21421</v>
      </c>
      <c r="J33" s="5" t="s">
        <v>55</v>
      </c>
      <c r="K33" s="5"/>
    </row>
    <row r="34" spans="4:11" x14ac:dyDescent="0.35">
      <c r="D34" s="5"/>
      <c r="E34" s="5"/>
      <c r="F34" s="5"/>
      <c r="G34" s="5"/>
      <c r="H34" s="5"/>
      <c r="I34" s="5"/>
      <c r="J34" s="5"/>
      <c r="K34" s="5"/>
    </row>
    <row r="35" spans="4:11" x14ac:dyDescent="0.35">
      <c r="D35" s="5"/>
      <c r="E35" s="5"/>
      <c r="F35" s="5"/>
      <c r="G35" s="5"/>
      <c r="H35" s="5"/>
      <c r="I35" s="5"/>
      <c r="J35" s="5"/>
      <c r="K35" s="5"/>
    </row>
    <row r="36" spans="4:11" x14ac:dyDescent="0.35">
      <c r="D36">
        <v>213031</v>
      </c>
    </row>
    <row r="37" spans="4:11" x14ac:dyDescent="0.35">
      <c r="D37">
        <v>176502</v>
      </c>
    </row>
    <row r="38" spans="4:11" x14ac:dyDescent="0.35">
      <c r="D38">
        <f>D36-D37</f>
        <v>36529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D035-733F-41D1-88F5-AEB1A8C7D76F}">
  <dimension ref="A1:N38"/>
  <sheetViews>
    <sheetView workbookViewId="0">
      <selection activeCell="B2" sqref="B2"/>
    </sheetView>
  </sheetViews>
  <sheetFormatPr defaultRowHeight="14.5" x14ac:dyDescent="0.35"/>
  <cols>
    <col min="1" max="1" width="17.1796875" bestFit="1" customWidth="1"/>
    <col min="2" max="2" width="9.54296875" bestFit="1" customWidth="1"/>
    <col min="3" max="3" width="31.08984375" customWidth="1"/>
    <col min="5" max="5" width="9.453125" bestFit="1" customWidth="1"/>
    <col min="7" max="7" width="10.90625" bestFit="1" customWidth="1"/>
    <col min="9" max="9" width="12.1796875" bestFit="1" customWidth="1"/>
    <col min="10" max="10" width="10" bestFit="1" customWidth="1"/>
    <col min="11" max="11" width="9.26953125" bestFit="1" customWidth="1"/>
  </cols>
  <sheetData>
    <row r="1" spans="1:14" x14ac:dyDescent="0.35">
      <c r="A1" s="13" t="s">
        <v>9</v>
      </c>
      <c r="B1">
        <v>2180000</v>
      </c>
      <c r="C1" t="s">
        <v>54</v>
      </c>
      <c r="D1">
        <f>(B1-(20000*12)-(10000*12))/12</f>
        <v>151666.66666666666</v>
      </c>
      <c r="E1" s="5"/>
    </row>
    <row r="2" spans="1:14" x14ac:dyDescent="0.35">
      <c r="A2" s="13" t="s">
        <v>10</v>
      </c>
      <c r="B2" s="5"/>
      <c r="I2" s="20"/>
    </row>
    <row r="3" spans="1:14" x14ac:dyDescent="0.35">
      <c r="A3" s="13" t="s">
        <v>11</v>
      </c>
      <c r="B3" s="5">
        <f>50000</f>
        <v>50000</v>
      </c>
      <c r="I3" s="20"/>
    </row>
    <row r="4" spans="1:14" x14ac:dyDescent="0.35">
      <c r="A4" s="13" t="s">
        <v>14</v>
      </c>
      <c r="B4" s="14">
        <v>177480</v>
      </c>
      <c r="I4" s="20"/>
      <c r="J4">
        <v>1456000</v>
      </c>
    </row>
    <row r="5" spans="1:14" x14ac:dyDescent="0.35">
      <c r="A5" s="13" t="s">
        <v>12</v>
      </c>
      <c r="B5" s="5">
        <f>200*12</f>
        <v>2400</v>
      </c>
      <c r="E5">
        <f>B1-G21-B2-B5</f>
        <v>2141850</v>
      </c>
      <c r="G5">
        <f>E5/12</f>
        <v>178487.5</v>
      </c>
      <c r="J5">
        <f>J4/12</f>
        <v>121333.33333333333</v>
      </c>
      <c r="K5" s="1"/>
    </row>
    <row r="6" spans="1:14" x14ac:dyDescent="0.35">
      <c r="A6" s="13" t="s">
        <v>21</v>
      </c>
      <c r="B6" s="14">
        <v>150000</v>
      </c>
      <c r="J6">
        <f>J5-114265</f>
        <v>7068.3333333333285</v>
      </c>
    </row>
    <row r="7" spans="1:14" x14ac:dyDescent="0.35">
      <c r="A7" s="13" t="s">
        <v>2</v>
      </c>
      <c r="B7" s="5">
        <f>B2+B3+B4+B5+B6</f>
        <v>379880</v>
      </c>
    </row>
    <row r="8" spans="1:14" x14ac:dyDescent="0.35">
      <c r="A8" s="5"/>
      <c r="B8" s="5"/>
      <c r="L8">
        <v>8000</v>
      </c>
      <c r="M8">
        <v>2</v>
      </c>
      <c r="N8">
        <f>L8*M8</f>
        <v>16000</v>
      </c>
    </row>
    <row r="9" spans="1:14" x14ac:dyDescent="0.35">
      <c r="A9" s="13" t="s">
        <v>13</v>
      </c>
      <c r="B9">
        <v>2000000</v>
      </c>
      <c r="L9">
        <v>22000</v>
      </c>
      <c r="M9">
        <v>10</v>
      </c>
      <c r="N9">
        <f>L9*M9</f>
        <v>220000</v>
      </c>
    </row>
    <row r="10" spans="1:14" x14ac:dyDescent="0.35">
      <c r="B10">
        <v>1644000</v>
      </c>
      <c r="C10" s="8" t="s">
        <v>17</v>
      </c>
      <c r="D10" s="8" t="s">
        <v>18</v>
      </c>
      <c r="E10" s="8" t="s">
        <v>19</v>
      </c>
      <c r="F10" s="8" t="s">
        <v>20</v>
      </c>
      <c r="G10" s="8" t="s">
        <v>8</v>
      </c>
      <c r="I10" s="2">
        <v>213031</v>
      </c>
      <c r="J10" s="6"/>
      <c r="K10" s="2"/>
      <c r="L10" s="2"/>
      <c r="M10" s="2"/>
      <c r="N10">
        <f>N8+N9</f>
        <v>236000</v>
      </c>
    </row>
    <row r="11" spans="1:14" x14ac:dyDescent="0.35">
      <c r="B11" s="7">
        <v>1191190</v>
      </c>
      <c r="C11" s="5">
        <v>0</v>
      </c>
      <c r="D11" s="5">
        <v>250000</v>
      </c>
      <c r="E11" s="7">
        <f>B9</f>
        <v>2000000</v>
      </c>
      <c r="F11" s="9" t="s">
        <v>7</v>
      </c>
      <c r="G11" s="5"/>
      <c r="I11" s="2">
        <f>I10-G20</f>
        <v>-215969</v>
      </c>
      <c r="J11" s="2"/>
      <c r="K11" s="2"/>
      <c r="L11" s="2"/>
      <c r="M11" s="2"/>
    </row>
    <row r="12" spans="1:14" x14ac:dyDescent="0.35">
      <c r="C12" s="10">
        <v>250000</v>
      </c>
      <c r="D12" s="5">
        <v>500000</v>
      </c>
      <c r="E12" s="11">
        <f>E11-C12</f>
        <v>1750000</v>
      </c>
      <c r="F12" s="12">
        <v>0.05</v>
      </c>
      <c r="G12" s="5">
        <f>F12*C12</f>
        <v>12500</v>
      </c>
      <c r="I12" s="2"/>
      <c r="J12" s="6"/>
      <c r="K12" s="2"/>
      <c r="L12" s="2"/>
      <c r="M12" s="2"/>
    </row>
    <row r="13" spans="1:14" x14ac:dyDescent="0.35">
      <c r="C13" s="5">
        <v>500000</v>
      </c>
      <c r="D13" s="5">
        <v>1000000</v>
      </c>
      <c r="E13" s="5">
        <f>E12-C13</f>
        <v>1250000</v>
      </c>
      <c r="F13" s="12">
        <v>0.2</v>
      </c>
      <c r="G13" s="5">
        <f>F13*C13</f>
        <v>100000</v>
      </c>
      <c r="I13" s="2"/>
      <c r="J13" s="6"/>
      <c r="K13" s="2"/>
      <c r="L13" s="2"/>
      <c r="M13" s="2"/>
    </row>
    <row r="14" spans="1:14" x14ac:dyDescent="0.35">
      <c r="C14" s="5">
        <v>1000000</v>
      </c>
      <c r="D14" s="5"/>
      <c r="E14" s="5">
        <f>E13-D11</f>
        <v>1000000</v>
      </c>
      <c r="F14" s="12">
        <v>0.3</v>
      </c>
      <c r="G14" s="5">
        <f>F14*E14</f>
        <v>300000</v>
      </c>
      <c r="I14" s="2"/>
      <c r="J14" s="2"/>
      <c r="K14" s="2"/>
      <c r="L14" s="2"/>
      <c r="M14" s="2"/>
    </row>
    <row r="15" spans="1:14" x14ac:dyDescent="0.35">
      <c r="C15" s="5"/>
      <c r="D15" s="5"/>
      <c r="E15" s="5"/>
      <c r="F15" s="12"/>
      <c r="G15" s="5">
        <f>F15*C12</f>
        <v>0</v>
      </c>
      <c r="I15" s="2"/>
      <c r="J15" s="2">
        <f>200000/12</f>
        <v>16666.666666666668</v>
      </c>
      <c r="K15" s="2"/>
      <c r="L15" s="2"/>
      <c r="M15" s="2">
        <v>1550000</v>
      </c>
    </row>
    <row r="16" spans="1:14" x14ac:dyDescent="0.35">
      <c r="C16" s="5"/>
      <c r="D16" s="5"/>
      <c r="E16" s="5"/>
      <c r="F16" s="12"/>
      <c r="G16" s="5">
        <f>F16*E16</f>
        <v>0</v>
      </c>
      <c r="I16" s="2"/>
      <c r="J16" s="2"/>
      <c r="K16" s="2"/>
      <c r="L16" s="2"/>
      <c r="M16" s="2">
        <v>1341000</v>
      </c>
    </row>
    <row r="17" spans="2:14" x14ac:dyDescent="0.35">
      <c r="C17" s="5"/>
      <c r="D17" s="5" t="s">
        <v>4</v>
      </c>
      <c r="E17" s="5"/>
      <c r="F17" s="12"/>
      <c r="G17" s="5"/>
      <c r="K17" s="2"/>
      <c r="L17" s="2"/>
      <c r="M17" s="2">
        <f>M15-M16</f>
        <v>209000</v>
      </c>
    </row>
    <row r="18" spans="2:14" x14ac:dyDescent="0.35">
      <c r="B18" s="5" t="s">
        <v>1</v>
      </c>
      <c r="G18" s="15">
        <f>SUM(G12:G17)</f>
        <v>412500</v>
      </c>
      <c r="I18" s="2">
        <v>2500000</v>
      </c>
      <c r="J18" s="2">
        <f>(I18/12)-G22-G21</f>
        <v>152583.33333333334</v>
      </c>
      <c r="K18" s="2"/>
      <c r="L18" s="2"/>
      <c r="M18" s="2"/>
    </row>
    <row r="19" spans="2:14" x14ac:dyDescent="0.35">
      <c r="B19" s="5" t="s">
        <v>5</v>
      </c>
      <c r="C19" s="1">
        <v>0.04</v>
      </c>
      <c r="G19" s="5">
        <f>G18*C19</f>
        <v>16500</v>
      </c>
      <c r="I19" s="2">
        <v>2400000</v>
      </c>
      <c r="J19" s="2">
        <f>(I19/12)-G22-G21</f>
        <v>144250</v>
      </c>
      <c r="K19" s="2"/>
      <c r="L19" s="2"/>
      <c r="M19" s="2"/>
      <c r="N19" s="2"/>
    </row>
    <row r="20" spans="2:14" x14ac:dyDescent="0.35">
      <c r="B20" s="5" t="s">
        <v>6</v>
      </c>
      <c r="G20" s="7">
        <f>G18+G19</f>
        <v>429000</v>
      </c>
      <c r="I20" s="2">
        <v>2300000</v>
      </c>
      <c r="J20" s="2">
        <f>(I20/12)-G22-G21</f>
        <v>135916.66666666666</v>
      </c>
      <c r="K20" s="2"/>
      <c r="L20" s="2"/>
      <c r="M20" s="2"/>
    </row>
    <row r="21" spans="2:14" x14ac:dyDescent="0.35">
      <c r="B21" s="5" t="s">
        <v>0</v>
      </c>
      <c r="G21" s="11">
        <f>G20/12</f>
        <v>35750</v>
      </c>
      <c r="I21" s="2"/>
      <c r="J21" s="2"/>
      <c r="K21" s="2"/>
      <c r="L21" s="2"/>
      <c r="M21" s="2"/>
    </row>
    <row r="22" spans="2:14" x14ac:dyDescent="0.35">
      <c r="G22" s="2">
        <v>20000</v>
      </c>
      <c r="H22" s="2" t="s">
        <v>38</v>
      </c>
    </row>
    <row r="27" spans="2:14" ht="43.5" x14ac:dyDescent="0.35">
      <c r="D27" s="23" t="s">
        <v>56</v>
      </c>
      <c r="E27" s="5">
        <v>42527</v>
      </c>
      <c r="F27" s="5">
        <v>17950</v>
      </c>
      <c r="G27" s="5"/>
      <c r="H27" s="5"/>
      <c r="I27" s="5"/>
      <c r="J27" s="5"/>
      <c r="K27" s="5"/>
    </row>
    <row r="28" spans="2:14" ht="43.5" x14ac:dyDescent="0.35">
      <c r="D28" s="23" t="s">
        <v>57</v>
      </c>
      <c r="E28" s="5">
        <v>11296</v>
      </c>
      <c r="F28" s="5">
        <v>10125</v>
      </c>
      <c r="G28" s="5"/>
      <c r="H28" s="5"/>
      <c r="I28" s="5"/>
      <c r="J28" s="5"/>
      <c r="K28" s="5"/>
    </row>
    <row r="29" spans="2:14" x14ac:dyDescent="0.35">
      <c r="D29" s="5"/>
      <c r="E29" s="5">
        <f>E27-E28</f>
        <v>31231</v>
      </c>
      <c r="F29" s="5">
        <f>F27-F28</f>
        <v>7825</v>
      </c>
      <c r="G29" s="5">
        <f>E29+F29</f>
        <v>39056</v>
      </c>
      <c r="H29" s="5"/>
      <c r="I29" s="5"/>
      <c r="J29" s="5"/>
      <c r="K29" s="5"/>
    </row>
    <row r="30" spans="2:14" x14ac:dyDescent="0.35">
      <c r="D30" s="5"/>
      <c r="E30" s="5"/>
      <c r="F30" s="5"/>
      <c r="G30" s="5"/>
      <c r="H30" s="5"/>
      <c r="I30" s="5"/>
      <c r="J30" s="5"/>
      <c r="K30" s="5"/>
    </row>
    <row r="31" spans="2:14" x14ac:dyDescent="0.35">
      <c r="D31" s="5"/>
      <c r="E31" s="5"/>
      <c r="F31" s="5"/>
      <c r="G31" s="24">
        <v>152554</v>
      </c>
      <c r="H31" s="5"/>
      <c r="I31" s="5"/>
      <c r="J31" s="5"/>
      <c r="K31" s="5"/>
    </row>
    <row r="32" spans="2:14" x14ac:dyDescent="0.35">
      <c r="D32" s="5"/>
      <c r="E32" s="5"/>
      <c r="F32" s="5"/>
      <c r="G32" s="5">
        <f>G29+G31</f>
        <v>191610</v>
      </c>
      <c r="H32" s="5"/>
      <c r="I32" s="5">
        <v>213031</v>
      </c>
      <c r="J32" s="5" t="s">
        <v>58</v>
      </c>
      <c r="K32" s="5"/>
    </row>
    <row r="33" spans="4:11" x14ac:dyDescent="0.35">
      <c r="D33" s="5"/>
      <c r="E33" s="5"/>
      <c r="F33" s="5"/>
      <c r="G33" s="5"/>
      <c r="H33" s="5"/>
      <c r="I33" s="24">
        <f>I32-G32</f>
        <v>21421</v>
      </c>
      <c r="J33" s="5" t="s">
        <v>55</v>
      </c>
      <c r="K33" s="5"/>
    </row>
    <row r="34" spans="4:11" x14ac:dyDescent="0.35">
      <c r="D34" s="5"/>
      <c r="E34" s="5"/>
      <c r="F34" s="5"/>
      <c r="G34" s="5"/>
      <c r="H34" s="5"/>
      <c r="I34" s="5"/>
      <c r="J34" s="5"/>
      <c r="K34" s="5"/>
    </row>
    <row r="35" spans="4:11" x14ac:dyDescent="0.35">
      <c r="D35" s="5"/>
      <c r="E35" s="5"/>
      <c r="F35" s="5"/>
      <c r="G35" s="5"/>
      <c r="H35" s="5"/>
      <c r="I35" s="5"/>
      <c r="J35" s="5"/>
      <c r="K35" s="5"/>
    </row>
    <row r="36" spans="4:11" x14ac:dyDescent="0.35">
      <c r="D36">
        <v>213031</v>
      </c>
    </row>
    <row r="37" spans="4:11" x14ac:dyDescent="0.35">
      <c r="D37">
        <v>176502</v>
      </c>
    </row>
    <row r="38" spans="4:11" x14ac:dyDescent="0.35">
      <c r="D38">
        <f>D36-D37</f>
        <v>36529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88C7-D877-4393-9591-B9425C6BE0A0}">
  <dimension ref="B2:F30"/>
  <sheetViews>
    <sheetView topLeftCell="A6" workbookViewId="0">
      <selection activeCell="C19" sqref="C19"/>
    </sheetView>
  </sheetViews>
  <sheetFormatPr defaultRowHeight="14.5" x14ac:dyDescent="0.35"/>
  <cols>
    <col min="2" max="2" width="35.26953125" bestFit="1" customWidth="1"/>
    <col min="3" max="3" width="28.26953125" customWidth="1"/>
    <col min="5" max="5" width="20.36328125" bestFit="1" customWidth="1"/>
    <col min="6" max="6" width="14.1796875" bestFit="1" customWidth="1"/>
  </cols>
  <sheetData>
    <row r="2" spans="2:6" x14ac:dyDescent="0.35">
      <c r="C2">
        <f>C4-120000</f>
        <v>1448616</v>
      </c>
      <c r="D2" t="s">
        <v>24</v>
      </c>
    </row>
    <row r="3" spans="2:6" x14ac:dyDescent="0.35">
      <c r="B3" t="s">
        <v>23</v>
      </c>
      <c r="C3">
        <f>40%*C2</f>
        <v>579446.4</v>
      </c>
      <c r="D3">
        <f>50%*C3</f>
        <v>289723.2</v>
      </c>
    </row>
    <row r="4" spans="2:6" ht="72.5" x14ac:dyDescent="0.35">
      <c r="B4" t="s">
        <v>22</v>
      </c>
      <c r="C4">
        <v>1568616</v>
      </c>
      <c r="E4" s="4" t="s">
        <v>53</v>
      </c>
      <c r="F4" t="s">
        <v>49</v>
      </c>
    </row>
    <row r="5" spans="2:6" x14ac:dyDescent="0.35">
      <c r="B5" s="21" t="s">
        <v>39</v>
      </c>
      <c r="C5">
        <v>177480</v>
      </c>
    </row>
    <row r="6" spans="2:6" x14ac:dyDescent="0.35">
      <c r="B6" t="s">
        <v>40</v>
      </c>
      <c r="C6">
        <f>C4-C5</f>
        <v>1391136</v>
      </c>
    </row>
    <row r="8" spans="2:6" x14ac:dyDescent="0.35">
      <c r="B8" s="21" t="s">
        <v>41</v>
      </c>
      <c r="C8">
        <v>52400</v>
      </c>
      <c r="E8" t="s">
        <v>46</v>
      </c>
    </row>
    <row r="10" spans="2:6" x14ac:dyDescent="0.35">
      <c r="B10" t="s">
        <v>42</v>
      </c>
      <c r="C10">
        <f>C6-C8</f>
        <v>1338736</v>
      </c>
    </row>
    <row r="12" spans="2:6" x14ac:dyDescent="0.35">
      <c r="B12" t="s">
        <v>43</v>
      </c>
      <c r="C12">
        <v>1969</v>
      </c>
      <c r="E12" t="s">
        <v>45</v>
      </c>
    </row>
    <row r="14" spans="2:6" x14ac:dyDescent="0.35">
      <c r="B14" t="s">
        <v>44</v>
      </c>
      <c r="C14">
        <f>C10+C12</f>
        <v>1340705</v>
      </c>
    </row>
    <row r="16" spans="2:6" x14ac:dyDescent="0.35">
      <c r="B16" t="s">
        <v>2</v>
      </c>
      <c r="C16">
        <v>150000</v>
      </c>
      <c r="E16" t="s">
        <v>15</v>
      </c>
    </row>
    <row r="17" spans="2:6" x14ac:dyDescent="0.35">
      <c r="C17">
        <f>C14-C16</f>
        <v>1190705</v>
      </c>
    </row>
    <row r="18" spans="2:6" x14ac:dyDescent="0.35">
      <c r="B18" t="s">
        <v>47</v>
      </c>
      <c r="C18">
        <v>213031</v>
      </c>
      <c r="E18" t="s">
        <v>48</v>
      </c>
    </row>
    <row r="19" spans="2:6" x14ac:dyDescent="0.35">
      <c r="B19" t="s">
        <v>50</v>
      </c>
      <c r="C19">
        <v>176502</v>
      </c>
      <c r="E19" t="s">
        <v>51</v>
      </c>
    </row>
    <row r="21" spans="2:6" x14ac:dyDescent="0.35">
      <c r="B21" t="s">
        <v>52</v>
      </c>
      <c r="C21" s="22">
        <f>C18-C19</f>
        <v>36529</v>
      </c>
    </row>
    <row r="28" spans="2:6" x14ac:dyDescent="0.35">
      <c r="D28">
        <f>7000*12</f>
        <v>84000</v>
      </c>
    </row>
    <row r="29" spans="2:6" x14ac:dyDescent="0.35">
      <c r="D29">
        <f>150000-D28</f>
        <v>66000</v>
      </c>
      <c r="F29">
        <f>8000/3</f>
        <v>2666.6666666666665</v>
      </c>
    </row>
    <row r="30" spans="2:6" x14ac:dyDescent="0.35">
      <c r="D30">
        <f>D29/12</f>
        <v>5500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F1A2-747A-4024-B6A8-EF7A49FF2FA6}">
  <dimension ref="A1:N26"/>
  <sheetViews>
    <sheetView topLeftCell="A4" workbookViewId="0">
      <selection activeCell="J19" sqref="J19"/>
    </sheetView>
  </sheetViews>
  <sheetFormatPr defaultRowHeight="14.5" x14ac:dyDescent="0.35"/>
  <cols>
    <col min="9" max="9" width="13.26953125" bestFit="1" customWidth="1"/>
    <col min="10" max="10" width="18.36328125" customWidth="1"/>
    <col min="13" max="13" width="15.453125" bestFit="1" customWidth="1"/>
  </cols>
  <sheetData>
    <row r="1" spans="1:14" x14ac:dyDescent="0.35">
      <c r="A1" t="s">
        <v>68</v>
      </c>
    </row>
    <row r="3" spans="1:14" x14ac:dyDescent="0.35">
      <c r="C3">
        <v>2180000</v>
      </c>
    </row>
    <row r="4" spans="1:14" x14ac:dyDescent="0.35">
      <c r="I4" t="s">
        <v>3</v>
      </c>
      <c r="J4">
        <v>2180000</v>
      </c>
      <c r="L4">
        <v>2180000</v>
      </c>
    </row>
    <row r="5" spans="1:14" x14ac:dyDescent="0.35">
      <c r="B5" t="s">
        <v>23</v>
      </c>
      <c r="C5">
        <f>E5*C3</f>
        <v>872000</v>
      </c>
      <c r="E5" s="1">
        <v>0.4</v>
      </c>
      <c r="F5" t="s">
        <v>59</v>
      </c>
      <c r="L5">
        <f>L4/12</f>
        <v>181666.66666666666</v>
      </c>
    </row>
    <row r="6" spans="1:14" x14ac:dyDescent="0.35">
      <c r="B6" t="s">
        <v>24</v>
      </c>
      <c r="C6">
        <f>E6*C5</f>
        <v>436000</v>
      </c>
      <c r="E6" s="1">
        <v>0.5</v>
      </c>
      <c r="F6" t="s">
        <v>60</v>
      </c>
      <c r="I6" t="s">
        <v>14</v>
      </c>
      <c r="J6">
        <v>333000</v>
      </c>
      <c r="L6">
        <f>L5-20000</f>
        <v>161666.66666666666</v>
      </c>
    </row>
    <row r="7" spans="1:14" x14ac:dyDescent="0.35">
      <c r="I7" t="s">
        <v>61</v>
      </c>
      <c r="J7">
        <v>52800</v>
      </c>
      <c r="L7">
        <f>L6-200</f>
        <v>161466.66666666666</v>
      </c>
    </row>
    <row r="8" spans="1:14" x14ac:dyDescent="0.35">
      <c r="C8">
        <f>C3-C5-C6</f>
        <v>872000</v>
      </c>
      <c r="I8" t="s">
        <v>15</v>
      </c>
      <c r="J8">
        <v>150000</v>
      </c>
      <c r="L8" s="3">
        <f>L7-26000</f>
        <v>135466.66666666666</v>
      </c>
    </row>
    <row r="9" spans="1:14" x14ac:dyDescent="0.35">
      <c r="C9">
        <f>C8/12</f>
        <v>72666.666666666672</v>
      </c>
      <c r="I9" t="s">
        <v>62</v>
      </c>
      <c r="J9">
        <f>J6+J7+J8</f>
        <v>535800</v>
      </c>
    </row>
    <row r="10" spans="1:14" x14ac:dyDescent="0.35">
      <c r="C10">
        <v>10000</v>
      </c>
      <c r="D10" t="s">
        <v>38</v>
      </c>
    </row>
    <row r="11" spans="1:14" x14ac:dyDescent="0.35">
      <c r="C11" t="s">
        <v>64</v>
      </c>
      <c r="D11" t="s">
        <v>65</v>
      </c>
      <c r="I11" t="s">
        <v>40</v>
      </c>
      <c r="J11">
        <f>J4-J9</f>
        <v>1644200</v>
      </c>
    </row>
    <row r="13" spans="1:14" x14ac:dyDescent="0.35">
      <c r="I13" t="s">
        <v>63</v>
      </c>
      <c r="J13">
        <v>317000</v>
      </c>
      <c r="M13" t="s">
        <v>69</v>
      </c>
      <c r="N13">
        <v>10000</v>
      </c>
    </row>
    <row r="14" spans="1:14" x14ac:dyDescent="0.35">
      <c r="C14">
        <f>C5/12</f>
        <v>72666.666666666672</v>
      </c>
      <c r="I14" t="s">
        <v>67</v>
      </c>
      <c r="J14">
        <f>J13/12</f>
        <v>26416.666666666668</v>
      </c>
      <c r="M14" t="s">
        <v>70</v>
      </c>
      <c r="N14">
        <v>7000</v>
      </c>
    </row>
    <row r="15" spans="1:14" x14ac:dyDescent="0.35">
      <c r="C15">
        <f>C6/12</f>
        <v>36333.333333333336</v>
      </c>
      <c r="M15" t="s">
        <v>71</v>
      </c>
      <c r="N15">
        <v>6000</v>
      </c>
    </row>
    <row r="16" spans="1:14" x14ac:dyDescent="0.35">
      <c r="C16">
        <v>60000</v>
      </c>
      <c r="J16" s="3">
        <f>(C3/12)-10000-J14-10000-200</f>
        <v>135050</v>
      </c>
      <c r="M16" t="s">
        <v>72</v>
      </c>
      <c r="N16">
        <v>5000</v>
      </c>
    </row>
    <row r="17" spans="2:14" x14ac:dyDescent="0.35">
      <c r="M17" t="s">
        <v>73</v>
      </c>
      <c r="N17">
        <v>12000</v>
      </c>
    </row>
    <row r="18" spans="2:14" x14ac:dyDescent="0.35">
      <c r="C18" s="22">
        <f>C14+C15+C16</f>
        <v>169000</v>
      </c>
      <c r="J18">
        <f>J16-N21</f>
        <v>84050</v>
      </c>
      <c r="M18" t="s">
        <v>74</v>
      </c>
      <c r="N18">
        <v>5000</v>
      </c>
    </row>
    <row r="19" spans="2:14" x14ac:dyDescent="0.35">
      <c r="M19" t="s">
        <v>75</v>
      </c>
      <c r="N19">
        <v>4000</v>
      </c>
    </row>
    <row r="20" spans="2:14" x14ac:dyDescent="0.35">
      <c r="B20" t="s">
        <v>25</v>
      </c>
      <c r="C20">
        <v>10000</v>
      </c>
      <c r="M20" t="s">
        <v>76</v>
      </c>
      <c r="N20">
        <v>2000</v>
      </c>
    </row>
    <row r="21" spans="2:14" x14ac:dyDescent="0.35">
      <c r="B21" t="s">
        <v>66</v>
      </c>
      <c r="C21">
        <v>200</v>
      </c>
      <c r="N21">
        <f>SUM(N13:N20)</f>
        <v>51000</v>
      </c>
    </row>
    <row r="22" spans="2:14" x14ac:dyDescent="0.35">
      <c r="B22" t="s">
        <v>31</v>
      </c>
      <c r="C22">
        <v>26000</v>
      </c>
    </row>
    <row r="24" spans="2:14" x14ac:dyDescent="0.35">
      <c r="C24">
        <f>SUM(C20:C22)</f>
        <v>36200</v>
      </c>
    </row>
    <row r="26" spans="2:14" x14ac:dyDescent="0.35">
      <c r="C26">
        <f>C18-C24</f>
        <v>132800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A53E-F304-41D0-89EE-154B83160E0A}">
  <dimension ref="C1:Q20"/>
  <sheetViews>
    <sheetView workbookViewId="0">
      <selection activeCell="F7" sqref="F7"/>
    </sheetView>
  </sheetViews>
  <sheetFormatPr defaultRowHeight="14.5" x14ac:dyDescent="0.35"/>
  <sheetData>
    <row r="1" spans="3:17" x14ac:dyDescent="0.35">
      <c r="D1">
        <f>D7*12</f>
        <v>1371180</v>
      </c>
      <c r="F1">
        <f>F7*12</f>
        <v>1454748</v>
      </c>
      <c r="H1">
        <v>2300000</v>
      </c>
    </row>
    <row r="2" spans="3:17" x14ac:dyDescent="0.35">
      <c r="D2" t="s">
        <v>27</v>
      </c>
      <c r="F2" t="s">
        <v>28</v>
      </c>
    </row>
    <row r="4" spans="3:17" x14ac:dyDescent="0.35">
      <c r="C4" t="s">
        <v>29</v>
      </c>
      <c r="D4">
        <v>41115</v>
      </c>
      <c r="F4">
        <v>43690</v>
      </c>
    </row>
    <row r="5" spans="3:17" x14ac:dyDescent="0.35">
      <c r="C5" t="s">
        <v>23</v>
      </c>
      <c r="D5">
        <v>48767</v>
      </c>
      <c r="F5">
        <v>51693</v>
      </c>
    </row>
    <row r="6" spans="3:17" x14ac:dyDescent="0.35">
      <c r="C6" t="s">
        <v>24</v>
      </c>
      <c r="D6">
        <v>24383</v>
      </c>
      <c r="F6">
        <v>25846</v>
      </c>
      <c r="J6">
        <v>1400000</v>
      </c>
    </row>
    <row r="7" spans="3:17" x14ac:dyDescent="0.35">
      <c r="C7" t="s">
        <v>3</v>
      </c>
      <c r="D7">
        <f>D5+D6+D4</f>
        <v>114265</v>
      </c>
      <c r="F7">
        <f>F5+F6+F4</f>
        <v>121229</v>
      </c>
      <c r="H7">
        <f>H1/12</f>
        <v>191666.66666666666</v>
      </c>
      <c r="J7" s="17">
        <v>0.04</v>
      </c>
    </row>
    <row r="8" spans="3:17" x14ac:dyDescent="0.35">
      <c r="J8">
        <f>J6*J7</f>
        <v>56000</v>
      </c>
    </row>
    <row r="9" spans="3:17" x14ac:dyDescent="0.35">
      <c r="C9" t="s">
        <v>25</v>
      </c>
      <c r="D9">
        <v>5852</v>
      </c>
      <c r="F9">
        <v>6203</v>
      </c>
      <c r="J9" s="3">
        <f>J6+J8</f>
        <v>1456000</v>
      </c>
      <c r="K9" s="1">
        <v>0.06</v>
      </c>
      <c r="L9">
        <f>J9*K9</f>
        <v>87360</v>
      </c>
      <c r="M9">
        <f>J9+L9</f>
        <v>1543360</v>
      </c>
    </row>
    <row r="10" spans="3:17" x14ac:dyDescent="0.35">
      <c r="C10" t="s">
        <v>30</v>
      </c>
      <c r="D10">
        <v>200</v>
      </c>
      <c r="F10">
        <v>200</v>
      </c>
      <c r="J10">
        <f>J6+J8</f>
        <v>1456000</v>
      </c>
      <c r="K10" s="16">
        <v>6.5000000000000002E-2</v>
      </c>
      <c r="L10">
        <f>J10*K10</f>
        <v>94640</v>
      </c>
      <c r="M10">
        <f>J10+L10</f>
        <v>1550640</v>
      </c>
    </row>
    <row r="11" spans="3:17" x14ac:dyDescent="0.35">
      <c r="C11" t="s">
        <v>31</v>
      </c>
      <c r="D11">
        <v>10000</v>
      </c>
      <c r="F11">
        <v>10000</v>
      </c>
      <c r="J11">
        <f>J6+J8</f>
        <v>1456000</v>
      </c>
      <c r="K11" s="18">
        <v>6.5100000000000005E-2</v>
      </c>
      <c r="L11">
        <f>J11*K11</f>
        <v>94785.600000000006</v>
      </c>
      <c r="M11" s="3">
        <f>J11+L11</f>
        <v>1550785.6</v>
      </c>
      <c r="N11" s="19">
        <v>200000</v>
      </c>
    </row>
    <row r="12" spans="3:17" x14ac:dyDescent="0.35">
      <c r="D12">
        <f>D9+D10+D11</f>
        <v>16052</v>
      </c>
      <c r="F12">
        <f>F9+F10+F11</f>
        <v>16403</v>
      </c>
      <c r="H12">
        <v>20000</v>
      </c>
      <c r="N12" s="1">
        <v>0.4</v>
      </c>
      <c r="O12">
        <f>M11*N12</f>
        <v>620314.24000000011</v>
      </c>
      <c r="P12">
        <f>M11+O12</f>
        <v>2171099.8400000003</v>
      </c>
      <c r="Q12" t="s">
        <v>32</v>
      </c>
    </row>
    <row r="13" spans="3:17" x14ac:dyDescent="0.35">
      <c r="N13" s="1">
        <v>0.5</v>
      </c>
      <c r="O13">
        <f>N13*M11</f>
        <v>775392.8</v>
      </c>
      <c r="P13">
        <f>M11+O13</f>
        <v>2326178.4000000004</v>
      </c>
      <c r="Q13" t="s">
        <v>33</v>
      </c>
    </row>
    <row r="14" spans="3:17" x14ac:dyDescent="0.35">
      <c r="C14" t="s">
        <v>26</v>
      </c>
      <c r="D14">
        <f>D7-D12</f>
        <v>98213</v>
      </c>
      <c r="F14">
        <f>F7-F12</f>
        <v>104826</v>
      </c>
      <c r="H14">
        <f>H7-H12</f>
        <v>171666.66666666666</v>
      </c>
      <c r="N14" s="1">
        <v>0.6</v>
      </c>
      <c r="O14">
        <f>M11*N14</f>
        <v>930471.36</v>
      </c>
      <c r="P14">
        <f>M11+O14</f>
        <v>2481256.96</v>
      </c>
      <c r="Q14" t="s">
        <v>34</v>
      </c>
    </row>
    <row r="17" spans="8:12" x14ac:dyDescent="0.35">
      <c r="H17">
        <v>2026</v>
      </c>
      <c r="I17">
        <v>2027</v>
      </c>
    </row>
    <row r="18" spans="8:12" x14ac:dyDescent="0.35">
      <c r="L18" t="s">
        <v>36</v>
      </c>
    </row>
    <row r="19" spans="8:12" x14ac:dyDescent="0.35">
      <c r="H19" t="s">
        <v>35</v>
      </c>
      <c r="I19" t="s">
        <v>37</v>
      </c>
    </row>
    <row r="20" spans="8:12" x14ac:dyDescent="0.35">
      <c r="L20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3EDD-D582-47BB-886E-22DE262AA4D8}">
  <dimension ref="A1"/>
  <sheetViews>
    <sheetView tabSelected="1" workbookViewId="0">
      <selection activeCell="D5" sqref="D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Tax exemption-sample</vt:lpstr>
      <vt:lpstr>Correct</vt:lpstr>
      <vt:lpstr>New</vt:lpstr>
      <vt:lpstr>Income tax 2023-34</vt:lpstr>
      <vt:lpstr>Accenture</vt:lpstr>
      <vt:lpstr>Compensation conparison</vt:lpstr>
      <vt:lpstr>Sheet2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Nl</dc:creator>
  <cp:lastModifiedBy>Archana Nl (IN)</cp:lastModifiedBy>
  <dcterms:created xsi:type="dcterms:W3CDTF">2023-02-19T04:49:29Z</dcterms:created>
  <dcterms:modified xsi:type="dcterms:W3CDTF">2024-07-28T15:31:27Z</dcterms:modified>
</cp:coreProperties>
</file>