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sande\Downloads\"/>
    </mc:Choice>
  </mc:AlternateContent>
  <xr:revisionPtr revIDLastSave="0" documentId="13_ncr:1_{26E41F35-2F4B-4082-8047-94775C992C10}"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Expenses" sheetId="3" r:id="rId2"/>
  </sheets>
  <externalReferences>
    <externalReference r:id="rId3"/>
  </externalReferences>
  <definedNames>
    <definedName name="Slicer_Expenses">#N/A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aY7y6p7XHGV5L2l5QksffY4qg=="/>
    </ext>
  </extLst>
</workbook>
</file>

<file path=xl/calcChain.xml><?xml version="1.0" encoding="utf-8"?>
<calcChain xmlns="http://schemas.openxmlformats.org/spreadsheetml/2006/main">
  <c r="G13" i="3" l="1"/>
  <c r="H13" i="3"/>
  <c r="I13" i="3"/>
  <c r="F13" i="3"/>
  <c r="F12" i="3"/>
  <c r="G12" i="3"/>
  <c r="H12" i="3"/>
  <c r="I12" i="3"/>
  <c r="E12" i="3"/>
  <c r="F11" i="3"/>
  <c r="G11" i="3"/>
  <c r="H11" i="3"/>
  <c r="I11" i="3"/>
  <c r="E11" i="3"/>
  <c r="D9" i="2"/>
  <c r="D10" i="2" s="1"/>
  <c r="G48" i="2"/>
  <c r="F48" i="2"/>
  <c r="E48" i="2"/>
  <c r="D48" i="2"/>
  <c r="C48" i="2"/>
  <c r="G47" i="2"/>
  <c r="F47" i="2"/>
  <c r="F49" i="2" s="1"/>
  <c r="E47" i="2"/>
  <c r="E49" i="2" s="1"/>
  <c r="D47" i="2"/>
  <c r="C47" i="2"/>
  <c r="G40" i="2"/>
  <c r="G41" i="2" s="1"/>
  <c r="F40" i="2"/>
  <c r="E40" i="2"/>
  <c r="D40" i="2"/>
  <c r="C40" i="2"/>
  <c r="G39" i="2"/>
  <c r="F39" i="2"/>
  <c r="E39" i="2"/>
  <c r="D39" i="2"/>
  <c r="C39" i="2"/>
  <c r="F38" i="2"/>
  <c r="E38" i="2"/>
  <c r="D38" i="2"/>
  <c r="C38" i="2"/>
  <c r="F37" i="2"/>
  <c r="E37" i="2"/>
  <c r="D37" i="2"/>
  <c r="C37" i="2"/>
  <c r="F34" i="2"/>
  <c r="E34" i="2"/>
  <c r="D34" i="2"/>
  <c r="G33" i="2"/>
  <c r="F33" i="2"/>
  <c r="E33" i="2"/>
  <c r="D33" i="2"/>
  <c r="C33" i="2"/>
  <c r="G32" i="2"/>
  <c r="F32" i="2"/>
  <c r="E32" i="2"/>
  <c r="D32" i="2"/>
  <c r="C32" i="2"/>
  <c r="G31" i="2"/>
  <c r="F31" i="2"/>
  <c r="E31" i="2"/>
  <c r="D31" i="2"/>
  <c r="C31" i="2"/>
  <c r="G30" i="2"/>
  <c r="F30" i="2"/>
  <c r="E30" i="2"/>
  <c r="D30" i="2"/>
  <c r="C30" i="2"/>
  <c r="G29" i="2"/>
  <c r="F29" i="2"/>
  <c r="E29" i="2"/>
  <c r="D29" i="2"/>
  <c r="C29" i="2"/>
  <c r="G25" i="2"/>
  <c r="F25" i="2"/>
  <c r="E25" i="2"/>
  <c r="D25" i="2"/>
  <c r="C25" i="2"/>
  <c r="G24" i="2"/>
  <c r="G23" i="2"/>
  <c r="F23" i="2"/>
  <c r="E23" i="2"/>
  <c r="D23" i="2"/>
  <c r="C23" i="2"/>
  <c r="F22" i="2"/>
  <c r="F24" i="2" s="1"/>
  <c r="E22" i="2"/>
  <c r="D22" i="2"/>
  <c r="D24" i="2" s="1"/>
  <c r="C22" i="2"/>
  <c r="C24" i="2" s="1"/>
  <c r="G17" i="2"/>
  <c r="F17" i="2"/>
  <c r="E17" i="2"/>
  <c r="D17" i="2"/>
  <c r="C17" i="2"/>
  <c r="G16" i="2"/>
  <c r="F16" i="2"/>
  <c r="E16" i="2"/>
  <c r="C16" i="2"/>
  <c r="G15" i="2"/>
  <c r="E15" i="2"/>
  <c r="F13" i="2"/>
  <c r="E13" i="2"/>
  <c r="D13" i="2"/>
  <c r="C13" i="2"/>
  <c r="G8" i="2"/>
  <c r="G9" i="2" s="1"/>
  <c r="G10" i="2" s="1"/>
  <c r="F8" i="2"/>
  <c r="F9" i="2" s="1"/>
  <c r="E8" i="2"/>
  <c r="D8" i="2"/>
  <c r="C8" i="2"/>
  <c r="G6" i="2"/>
  <c r="F6" i="2"/>
  <c r="E6" i="2"/>
  <c r="D6" i="2"/>
  <c r="C6" i="2"/>
  <c r="G49" i="2" l="1"/>
  <c r="E24" i="2"/>
  <c r="E9" i="2"/>
  <c r="E10" i="2" s="1"/>
  <c r="E11" i="2" s="1"/>
  <c r="F10" i="2"/>
  <c r="F41" i="2"/>
  <c r="C9" i="2"/>
  <c r="C10" i="2" s="1"/>
  <c r="C11" i="2" s="1"/>
  <c r="C35" i="2"/>
  <c r="C43" i="2" s="1"/>
  <c r="C44" i="2" s="1"/>
  <c r="C50" i="2" s="1"/>
  <c r="C41" i="2"/>
  <c r="D41" i="2"/>
  <c r="D43" i="2" s="1"/>
  <c r="E41" i="2"/>
  <c r="F35" i="2"/>
  <c r="C49" i="2"/>
  <c r="G11" i="2"/>
  <c r="F43" i="2"/>
  <c r="D35" i="2"/>
  <c r="D49" i="2"/>
  <c r="E35" i="2"/>
  <c r="G35" i="2"/>
  <c r="G43" i="2" s="1"/>
  <c r="D11" i="2"/>
  <c r="F11" i="2"/>
  <c r="E43" i="2" l="1"/>
  <c r="G44" i="2"/>
  <c r="G50" i="2" s="1"/>
  <c r="F44" i="2"/>
  <c r="F50" i="2" s="1"/>
  <c r="E44" i="2"/>
  <c r="E50" i="2" s="1"/>
  <c r="D44" i="2"/>
  <c r="D50" i="2" s="1"/>
</calcChain>
</file>

<file path=xl/sharedStrings.xml><?xml version="1.0" encoding="utf-8"?>
<sst xmlns="http://schemas.openxmlformats.org/spreadsheetml/2006/main" count="78" uniqueCount="60">
  <si>
    <t>Jan - Mar, Y1</t>
  </si>
  <si>
    <t>Apr - Jun, Y1</t>
  </si>
  <si>
    <t>Jul - Sep, Y1</t>
  </si>
  <si>
    <t>Oct - Dec, Y1</t>
  </si>
  <si>
    <t>Jan - Mar, Y2</t>
  </si>
  <si>
    <t>Net Sales</t>
  </si>
  <si>
    <t>North America Consumer Products</t>
  </si>
  <si>
    <t>International Consumer Products</t>
  </si>
  <si>
    <t>Total Net Sales</t>
  </si>
  <si>
    <t>Cost of Goods Sold</t>
  </si>
  <si>
    <t xml:space="preserve">   Total Cost of Goods Sold</t>
  </si>
  <si>
    <t>Total Cost of Goods Sold</t>
  </si>
  <si>
    <t>Gross Profit</t>
  </si>
  <si>
    <t>Sales, General &amp; Administrative Expenses</t>
  </si>
  <si>
    <t>Marketing &amp; Advertising</t>
  </si>
  <si>
    <t>Sales Commission</t>
  </si>
  <si>
    <t>Conferences and Events</t>
  </si>
  <si>
    <t>Charitable Donations</t>
  </si>
  <si>
    <t>Dues &amp; Subscriptions</t>
  </si>
  <si>
    <t>Facilities Expenses</t>
  </si>
  <si>
    <t>Rent Expense- New York</t>
  </si>
  <si>
    <t>Rent Expense - Chicago</t>
  </si>
  <si>
    <t>Rent Expense - LA</t>
  </si>
  <si>
    <t>Utilities</t>
  </si>
  <si>
    <t>Parking</t>
  </si>
  <si>
    <t xml:space="preserve">   Total Facilities Expenses</t>
  </si>
  <si>
    <t>Business Insurance</t>
  </si>
  <si>
    <t>IT Expense</t>
  </si>
  <si>
    <t>Office Expenses</t>
  </si>
  <si>
    <t>Payroll Expenses</t>
  </si>
  <si>
    <t>Employee Benefits</t>
  </si>
  <si>
    <t>Payroll Expense - Management</t>
  </si>
  <si>
    <t>Payroll Expenses - Administration</t>
  </si>
  <si>
    <t>Payroll Expenses - Sales</t>
  </si>
  <si>
    <t>Payroll Expenses - Overtime</t>
  </si>
  <si>
    <t>Company Payroll Taxes</t>
  </si>
  <si>
    <t>Company Payroll Expenses</t>
  </si>
  <si>
    <t>Professional Fees</t>
  </si>
  <si>
    <t>Freelancers</t>
  </si>
  <si>
    <t>Legal Fees</t>
  </si>
  <si>
    <t>Banking Fees</t>
  </si>
  <si>
    <t>Recruiting</t>
  </si>
  <si>
    <t>Total Professional Fees</t>
  </si>
  <si>
    <t>Travel &amp; Entertainment</t>
  </si>
  <si>
    <t>Total Sales, General &amp; Administrative Expenses</t>
  </si>
  <si>
    <t>Net Operating Income</t>
  </si>
  <si>
    <t>Other Expenses</t>
  </si>
  <si>
    <t>Depreciation Expense</t>
  </si>
  <si>
    <t>Amortization Expense</t>
  </si>
  <si>
    <t>Interest Expense</t>
  </si>
  <si>
    <t>Total Other Expenses</t>
  </si>
  <si>
    <t>Net Income</t>
  </si>
  <si>
    <t>Expenses</t>
  </si>
  <si>
    <t>Business Insurance&amp;IT Expense&amp;Office Expenses</t>
  </si>
  <si>
    <t>Total Facilities Expenses</t>
  </si>
  <si>
    <t>Sum of Jan - Mar, Y1</t>
  </si>
  <si>
    <t>Sum of Apr - Jun, Y1</t>
  </si>
  <si>
    <t>Sum of Jul - Sep, Y1</t>
  </si>
  <si>
    <t>Sum of Oct - Dec, Y1</t>
  </si>
  <si>
    <t>Sum of Jan - Mar, 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</si>
</sst>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0\ _€"/>
    <numFmt numFmtId="167" formatCode="[$-F800]dddd\,\ mmmm\ dd\,\ yyyy"/>
  </numFmts>
  <fonts count="8" x14ac:knownFonts="1">
    <font>
      <sz val="11"/>
      <color rgb="FF000000"/>
      <name val="Calibri"/>
      <scheme val="minor"/>
    </font>
    <font>
      <b/>
      <sz val="10"/>
      <color rgb="FF000000"/>
      <name val="Arial"/>
      <family val="2"/>
    </font>
    <font>
      <sz val="11"/>
      <color rgb="FF000000"/>
      <name val="Calibri"/>
      <family val="2"/>
      <scheme val="minor"/>
    </font>
    <font>
      <i/>
      <sz val="10"/>
      <color rgb="FF000000"/>
      <name val="Arial"/>
      <family val="2"/>
    </font>
    <font>
      <sz val="10"/>
      <color rgb="FF000000"/>
      <name val="Arial"/>
      <family val="2"/>
    </font>
    <font>
      <b/>
      <sz val="11"/>
      <color rgb="FF000000"/>
      <name val="Arial"/>
      <family val="2"/>
    </font>
    <font>
      <sz val="11"/>
      <color rgb="FF000000"/>
      <name val="Arial"/>
      <family val="2"/>
    </font>
    <font>
      <b/>
      <sz val="12"/>
      <color rgb="FF000000"/>
      <name val="Calibri"/>
      <family val="2"/>
      <scheme val="minor"/>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3" fillId="0" borderId="0" xfId="0" applyFont="1" applyAlignment="1">
      <alignment horizontal="left" wrapText="1"/>
    </xf>
    <xf numFmtId="0" fontId="1" fillId="0" borderId="1" xfId="0" applyFont="1" applyBorder="1" applyAlignment="1">
      <alignment horizontal="center" wrapText="1"/>
    </xf>
    <xf numFmtId="0" fontId="1" fillId="0" borderId="0" xfId="0" applyFont="1" applyAlignment="1">
      <alignment horizontal="left" wrapText="1"/>
    </xf>
    <xf numFmtId="164" fontId="4" fillId="0" borderId="0" xfId="0" applyNumberFormat="1" applyFont="1" applyAlignment="1">
      <alignment horizontal="right" wrapText="1"/>
    </xf>
    <xf numFmtId="164" fontId="1" fillId="0" borderId="2" xfId="0" applyNumberFormat="1" applyFont="1" applyBorder="1" applyAlignment="1">
      <alignment horizontal="right" wrapText="1"/>
    </xf>
    <xf numFmtId="164" fontId="4" fillId="0" borderId="0" xfId="0" applyNumberFormat="1" applyFont="1" applyAlignment="1">
      <alignment wrapText="1"/>
    </xf>
    <xf numFmtId="164" fontId="1" fillId="0" borderId="3" xfId="0" applyNumberFormat="1" applyFont="1" applyBorder="1" applyAlignment="1">
      <alignment horizontal="right" wrapText="1"/>
    </xf>
    <xf numFmtId="0" fontId="5" fillId="0" borderId="0" xfId="0" applyFont="1" applyAlignment="1">
      <alignment horizontal="left" wrapText="1"/>
    </xf>
    <xf numFmtId="10" fontId="0" fillId="0" borderId="0" xfId="1" applyNumberFormat="1" applyFont="1"/>
    <xf numFmtId="0" fontId="0" fillId="0" borderId="0" xfId="0" applyAlignment="1">
      <alignment wrapText="1"/>
    </xf>
    <xf numFmtId="0" fontId="5" fillId="0" borderId="0" xfId="0" applyFont="1" applyAlignment="1">
      <alignment wrapText="1"/>
    </xf>
    <xf numFmtId="0" fontId="5" fillId="0" borderId="0" xfId="0" applyFont="1"/>
    <xf numFmtId="44" fontId="6" fillId="0" borderId="0" xfId="0" applyNumberFormat="1" applyFont="1"/>
    <xf numFmtId="44" fontId="6" fillId="0" borderId="0" xfId="0" applyNumberFormat="1" applyFont="1" applyAlignment="1">
      <alignment horizontal="right" wrapText="1"/>
    </xf>
    <xf numFmtId="0" fontId="7" fillId="0" borderId="0" xfId="0" applyFont="1" applyAlignment="1">
      <alignment horizontal="center"/>
    </xf>
    <xf numFmtId="167" fontId="1" fillId="0" borderId="1" xfId="0" applyNumberFormat="1" applyFont="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2">
    <cellStyle name="Normal" xfId="0" builtinId="0"/>
    <cellStyle name="Percent" xfId="1" builtinId="5"/>
  </cellStyles>
  <dxfs count="15">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i val="0"/>
        <strike val="0"/>
        <condense val="0"/>
        <extend val="0"/>
        <outline val="0"/>
        <shadow val="0"/>
        <u val="none"/>
        <vertAlign val="baseline"/>
        <sz val="11"/>
        <color rgb="FF000000"/>
        <name val="Arial"/>
        <family val="2"/>
        <scheme val="none"/>
      </font>
      <alignment horizontal="left" vertical="bottom" textRotation="0" wrapText="1" indent="0" justifyLastLine="0" shrinkToFit="0" readingOrder="0"/>
    </dxf>
    <dxf>
      <numFmt numFmtId="167" formatCode="[$-F800]dddd\,\ mmmm\ dd\,\ yyyy"/>
    </dxf>
    <dxf>
      <font>
        <b/>
        <i val="0"/>
        <strike val="0"/>
        <condense val="0"/>
        <extend val="0"/>
        <outline val="0"/>
        <shadow val="0"/>
        <u val="none"/>
        <vertAlign val="baseline"/>
        <sz val="10"/>
        <color rgb="FF000000"/>
        <name val="Arial"/>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rial"/>
        <family val="2"/>
        <scheme val="none"/>
      </font>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val="0"/>
        <i val="0"/>
        <strike val="0"/>
        <condense val="0"/>
        <extend val="0"/>
        <outline val="0"/>
        <shadow val="0"/>
        <u val="none"/>
        <vertAlign val="baseline"/>
        <sz val="11"/>
        <color rgb="FF000000"/>
        <name val="Arial"/>
        <family val="2"/>
        <scheme val="none"/>
      </font>
      <numFmt numFmtId="34" formatCode="_ &quot;₹&quot;\ * #,##0.00_ ;_ &quot;₹&quot;\ * \-#,##0.00_ ;_ &quot;₹&quot;\ * &quot;-&quot;??_ ;_ @_ "/>
    </dxf>
    <dxf>
      <font>
        <b/>
        <i val="0"/>
        <strike val="0"/>
        <condense val="0"/>
        <extend val="0"/>
        <outline val="0"/>
        <shadow val="0"/>
        <u val="none"/>
        <vertAlign val="baseline"/>
        <sz val="11"/>
        <color rgb="FF000000"/>
        <name val="Arial"/>
        <family val="2"/>
        <scheme val="none"/>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[Georgia Pacfic by Quarter.xlsx]Expenses!PivotTable4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Expenses!$O$4</c:f>
              <c:strCache>
                <c:ptCount val="1"/>
                <c:pt idx="0">
                  <c:v>Sum of Jan - Mar, Y1</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Expenses!$N$5:$N$11</c:f>
              <c:strCache>
                <c:ptCount val="7"/>
                <c:pt idx="0">
                  <c:v>Business Insurance&amp;IT Expense&amp;Office Expenses</c:v>
                </c:pt>
                <c:pt idx="1">
                  <c:v>Company Payroll Expenses</c:v>
                </c:pt>
                <c:pt idx="2">
                  <c:v>Sales, General &amp; Administrative Expenses</c:v>
                </c:pt>
                <c:pt idx="3">
                  <c:v>Total Facilities Expenses</c:v>
                </c:pt>
                <c:pt idx="4">
                  <c:v>Total Professional Fees</c:v>
                </c:pt>
                <c:pt idx="5">
                  <c:v>Total Sales, General &amp; Administrative Expenses</c:v>
                </c:pt>
                <c:pt idx="6">
                  <c:v>Travel &amp; Entertainment</c:v>
                </c:pt>
              </c:strCache>
            </c:strRef>
          </c:cat>
          <c:val>
            <c:numRef>
              <c:f>Expenses!$O$5:$O$11</c:f>
              <c:numCache>
                <c:formatCode>General</c:formatCode>
                <c:ptCount val="7"/>
                <c:pt idx="0">
                  <c:v>75597.350000000006</c:v>
                </c:pt>
                <c:pt idx="1">
                  <c:v>1994839.7900000003</c:v>
                </c:pt>
                <c:pt idx="2">
                  <c:v>345453.55760000006</c:v>
                </c:pt>
                <c:pt idx="3">
                  <c:v>512742.79000000004</c:v>
                </c:pt>
                <c:pt idx="4">
                  <c:v>80893.64</c:v>
                </c:pt>
                <c:pt idx="5">
                  <c:v>3123010.5076000001</c:v>
                </c:pt>
                <c:pt idx="6">
                  <c:v>113483.37999999996</c:v>
                </c:pt>
              </c:numCache>
            </c:numRef>
          </c:val>
          <c:extLst>
            <c:ext xmlns:c16="http://schemas.microsoft.com/office/drawing/2014/chart" uri="{C3380CC4-5D6E-409C-BE32-E72D297353CC}">
              <c16:uniqueId val="{00000000-BA41-4DFA-8493-89C11F3FA62E}"/>
            </c:ext>
          </c:extLst>
        </c:ser>
        <c:ser>
          <c:idx val="1"/>
          <c:order val="1"/>
          <c:tx>
            <c:strRef>
              <c:f>Expenses!$P$4</c:f>
              <c:strCache>
                <c:ptCount val="1"/>
                <c:pt idx="0">
                  <c:v>Sum of Apr - Jun, Y1</c:v>
                </c:pt>
              </c:strCache>
            </c:strRef>
          </c:tx>
          <c:spPr>
            <a:solidFill>
              <a:schemeClr val="accent2"/>
            </a:solidFill>
            <a:ln>
              <a:noFill/>
            </a:ln>
            <a:effectLst/>
          </c:spPr>
          <c:invertIfNegative val="0"/>
          <c:cat>
            <c:strRef>
              <c:f>Expenses!$N$5:$N$11</c:f>
              <c:strCache>
                <c:ptCount val="7"/>
                <c:pt idx="0">
                  <c:v>Business Insurance&amp;IT Expense&amp;Office Expenses</c:v>
                </c:pt>
                <c:pt idx="1">
                  <c:v>Company Payroll Expenses</c:v>
                </c:pt>
                <c:pt idx="2">
                  <c:v>Sales, General &amp; Administrative Expenses</c:v>
                </c:pt>
                <c:pt idx="3">
                  <c:v>Total Facilities Expenses</c:v>
                </c:pt>
                <c:pt idx="4">
                  <c:v>Total Professional Fees</c:v>
                </c:pt>
                <c:pt idx="5">
                  <c:v>Total Sales, General &amp; Administrative Expenses</c:v>
                </c:pt>
                <c:pt idx="6">
                  <c:v>Travel &amp; Entertainment</c:v>
                </c:pt>
              </c:strCache>
            </c:strRef>
          </c:cat>
          <c:val>
            <c:numRef>
              <c:f>Expenses!$P$5:$P$11</c:f>
              <c:numCache>
                <c:formatCode>General</c:formatCode>
                <c:ptCount val="7"/>
                <c:pt idx="0">
                  <c:v>96275.540000000008</c:v>
                </c:pt>
                <c:pt idx="1">
                  <c:v>2081070.93</c:v>
                </c:pt>
                <c:pt idx="2">
                  <c:v>384924.6348</c:v>
                </c:pt>
                <c:pt idx="3">
                  <c:v>543996.05000000005</c:v>
                </c:pt>
                <c:pt idx="4">
                  <c:v>138978.25999999998</c:v>
                </c:pt>
                <c:pt idx="5">
                  <c:v>3363541.8648000001</c:v>
                </c:pt>
                <c:pt idx="6">
                  <c:v>118296.45</c:v>
                </c:pt>
              </c:numCache>
            </c:numRef>
          </c:val>
          <c:extLst>
            <c:ext xmlns:c16="http://schemas.microsoft.com/office/drawing/2014/chart" uri="{C3380CC4-5D6E-409C-BE32-E72D297353CC}">
              <c16:uniqueId val="{00000001-BA41-4DFA-8493-89C11F3FA62E}"/>
            </c:ext>
          </c:extLst>
        </c:ser>
        <c:ser>
          <c:idx val="2"/>
          <c:order val="2"/>
          <c:tx>
            <c:strRef>
              <c:f>Expenses!$Q$4</c:f>
              <c:strCache>
                <c:ptCount val="1"/>
                <c:pt idx="0">
                  <c:v>Sum of Jul - Sep, Y1</c:v>
                </c:pt>
              </c:strCache>
            </c:strRef>
          </c:tx>
          <c:spPr>
            <a:solidFill>
              <a:schemeClr val="accent3"/>
            </a:solidFill>
            <a:ln>
              <a:noFill/>
            </a:ln>
            <a:effectLst/>
          </c:spPr>
          <c:invertIfNegative val="0"/>
          <c:cat>
            <c:strRef>
              <c:f>Expenses!$N$5:$N$11</c:f>
              <c:strCache>
                <c:ptCount val="7"/>
                <c:pt idx="0">
                  <c:v>Business Insurance&amp;IT Expense&amp;Office Expenses</c:v>
                </c:pt>
                <c:pt idx="1">
                  <c:v>Company Payroll Expenses</c:v>
                </c:pt>
                <c:pt idx="2">
                  <c:v>Sales, General &amp; Administrative Expenses</c:v>
                </c:pt>
                <c:pt idx="3">
                  <c:v>Total Facilities Expenses</c:v>
                </c:pt>
                <c:pt idx="4">
                  <c:v>Total Professional Fees</c:v>
                </c:pt>
                <c:pt idx="5">
                  <c:v>Total Sales, General &amp; Administrative Expenses</c:v>
                </c:pt>
                <c:pt idx="6">
                  <c:v>Travel &amp; Entertainment</c:v>
                </c:pt>
              </c:strCache>
            </c:strRef>
          </c:cat>
          <c:val>
            <c:numRef>
              <c:f>Expenses!$Q$5:$Q$11</c:f>
              <c:numCache>
                <c:formatCode>General</c:formatCode>
                <c:ptCount val="7"/>
                <c:pt idx="0">
                  <c:v>69686.83</c:v>
                </c:pt>
                <c:pt idx="1">
                  <c:v>2212067.4699999997</c:v>
                </c:pt>
                <c:pt idx="2">
                  <c:v>397973.44089999999</c:v>
                </c:pt>
                <c:pt idx="3">
                  <c:v>553650.79</c:v>
                </c:pt>
                <c:pt idx="4">
                  <c:v>96336.200000000012</c:v>
                </c:pt>
                <c:pt idx="5">
                  <c:v>3431837.5708999997</c:v>
                </c:pt>
                <c:pt idx="6">
                  <c:v>102122.84000000007</c:v>
                </c:pt>
              </c:numCache>
            </c:numRef>
          </c:val>
          <c:extLst>
            <c:ext xmlns:c16="http://schemas.microsoft.com/office/drawing/2014/chart" uri="{C3380CC4-5D6E-409C-BE32-E72D297353CC}">
              <c16:uniqueId val="{00000002-BA41-4DFA-8493-89C11F3FA62E}"/>
            </c:ext>
          </c:extLst>
        </c:ser>
        <c:ser>
          <c:idx val="3"/>
          <c:order val="3"/>
          <c:tx>
            <c:strRef>
              <c:f>Expenses!$R$4</c:f>
              <c:strCache>
                <c:ptCount val="1"/>
                <c:pt idx="0">
                  <c:v>Sum of Oct - Dec, Y1</c:v>
                </c:pt>
              </c:strCache>
            </c:strRef>
          </c:tx>
          <c:spPr>
            <a:solidFill>
              <a:schemeClr val="accent4"/>
            </a:solidFill>
            <a:ln>
              <a:noFill/>
            </a:ln>
            <a:effectLst/>
          </c:spPr>
          <c:invertIfNegative val="0"/>
          <c:trendline>
            <c:spPr>
              <a:ln w="19050" cap="rnd">
                <a:solidFill>
                  <a:schemeClr val="accent4"/>
                </a:solidFill>
                <a:prstDash val="sysDot"/>
              </a:ln>
              <a:effectLst/>
            </c:spPr>
            <c:trendlineType val="linear"/>
            <c:forward val="2"/>
            <c:dispRSqr val="0"/>
            <c:dispEq val="0"/>
          </c:trendline>
          <c:cat>
            <c:strRef>
              <c:f>Expenses!$N$5:$N$11</c:f>
              <c:strCache>
                <c:ptCount val="7"/>
                <c:pt idx="0">
                  <c:v>Business Insurance&amp;IT Expense&amp;Office Expenses</c:v>
                </c:pt>
                <c:pt idx="1">
                  <c:v>Company Payroll Expenses</c:v>
                </c:pt>
                <c:pt idx="2">
                  <c:v>Sales, General &amp; Administrative Expenses</c:v>
                </c:pt>
                <c:pt idx="3">
                  <c:v>Total Facilities Expenses</c:v>
                </c:pt>
                <c:pt idx="4">
                  <c:v>Total Professional Fees</c:v>
                </c:pt>
                <c:pt idx="5">
                  <c:v>Total Sales, General &amp; Administrative Expenses</c:v>
                </c:pt>
                <c:pt idx="6">
                  <c:v>Travel &amp; Entertainment</c:v>
                </c:pt>
              </c:strCache>
            </c:strRef>
          </c:cat>
          <c:val>
            <c:numRef>
              <c:f>Expenses!$R$5:$R$11</c:f>
              <c:numCache>
                <c:formatCode>General</c:formatCode>
                <c:ptCount val="7"/>
                <c:pt idx="0">
                  <c:v>66755.56</c:v>
                </c:pt>
                <c:pt idx="1">
                  <c:v>2143508.9400000004</c:v>
                </c:pt>
                <c:pt idx="2">
                  <c:v>478645.60310000001</c:v>
                </c:pt>
                <c:pt idx="3">
                  <c:v>554183.68999999994</c:v>
                </c:pt>
                <c:pt idx="4">
                  <c:v>115632.29000000001</c:v>
                </c:pt>
                <c:pt idx="5">
                  <c:v>3459210.2831000006</c:v>
                </c:pt>
                <c:pt idx="6">
                  <c:v>100484.20000000001</c:v>
                </c:pt>
              </c:numCache>
            </c:numRef>
          </c:val>
          <c:extLst>
            <c:ext xmlns:c16="http://schemas.microsoft.com/office/drawing/2014/chart" uri="{C3380CC4-5D6E-409C-BE32-E72D297353CC}">
              <c16:uniqueId val="{00000003-BA41-4DFA-8493-89C11F3FA62E}"/>
            </c:ext>
          </c:extLst>
        </c:ser>
        <c:ser>
          <c:idx val="4"/>
          <c:order val="4"/>
          <c:tx>
            <c:strRef>
              <c:f>Expenses!$S$4</c:f>
              <c:strCache>
                <c:ptCount val="1"/>
                <c:pt idx="0">
                  <c:v>Sum of Jan - Mar, Y2</c:v>
                </c:pt>
              </c:strCache>
            </c:strRef>
          </c:tx>
          <c:spPr>
            <a:solidFill>
              <a:schemeClr val="accent5"/>
            </a:solidFill>
            <a:ln>
              <a:noFill/>
            </a:ln>
            <a:effectLst/>
          </c:spPr>
          <c:invertIfNegative val="0"/>
          <c:trendline>
            <c:spPr>
              <a:ln w="19050" cap="rnd">
                <a:solidFill>
                  <a:schemeClr val="accent5"/>
                </a:solidFill>
                <a:prstDash val="sysDot"/>
              </a:ln>
              <a:effectLst/>
            </c:spPr>
            <c:trendlineType val="movingAvg"/>
            <c:period val="2"/>
            <c:dispRSqr val="0"/>
            <c:dispEq val="0"/>
          </c:trendline>
          <c:cat>
            <c:strRef>
              <c:f>Expenses!$N$5:$N$11</c:f>
              <c:strCache>
                <c:ptCount val="7"/>
                <c:pt idx="0">
                  <c:v>Business Insurance&amp;IT Expense&amp;Office Expenses</c:v>
                </c:pt>
                <c:pt idx="1">
                  <c:v>Company Payroll Expenses</c:v>
                </c:pt>
                <c:pt idx="2">
                  <c:v>Sales, General &amp; Administrative Expenses</c:v>
                </c:pt>
                <c:pt idx="3">
                  <c:v>Total Facilities Expenses</c:v>
                </c:pt>
                <c:pt idx="4">
                  <c:v>Total Professional Fees</c:v>
                </c:pt>
                <c:pt idx="5">
                  <c:v>Total Sales, General &amp; Administrative Expenses</c:v>
                </c:pt>
                <c:pt idx="6">
                  <c:v>Travel &amp; Entertainment</c:v>
                </c:pt>
              </c:strCache>
            </c:strRef>
          </c:cat>
          <c:val>
            <c:numRef>
              <c:f>Expenses!$S$5:$S$11</c:f>
              <c:numCache>
                <c:formatCode>General</c:formatCode>
                <c:ptCount val="7"/>
                <c:pt idx="0">
                  <c:v>49870.51</c:v>
                </c:pt>
                <c:pt idx="1">
                  <c:v>2142573.88</c:v>
                </c:pt>
                <c:pt idx="2">
                  <c:v>466880.25020000001</c:v>
                </c:pt>
                <c:pt idx="3">
                  <c:v>854237.2</c:v>
                </c:pt>
                <c:pt idx="4">
                  <c:v>107476.29000000001</c:v>
                </c:pt>
                <c:pt idx="5">
                  <c:v>3848428.6102</c:v>
                </c:pt>
                <c:pt idx="6">
                  <c:v>227390.48000000007</c:v>
                </c:pt>
              </c:numCache>
            </c:numRef>
          </c:val>
          <c:extLst>
            <c:ext xmlns:c16="http://schemas.microsoft.com/office/drawing/2014/chart" uri="{C3380CC4-5D6E-409C-BE32-E72D297353CC}">
              <c16:uniqueId val="{00000004-BA41-4DFA-8493-89C11F3FA62E}"/>
            </c:ext>
          </c:extLst>
        </c:ser>
        <c:dLbls>
          <c:showLegendKey val="0"/>
          <c:showVal val="0"/>
          <c:showCatName val="0"/>
          <c:showSerName val="0"/>
          <c:showPercent val="0"/>
          <c:showBubbleSize val="0"/>
        </c:dLbls>
        <c:gapWidth val="219"/>
        <c:overlap val="-27"/>
        <c:axId val="36107487"/>
        <c:axId val="117344703"/>
      </c:barChart>
      <c:catAx>
        <c:axId val="361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4703"/>
        <c:crosses val="autoZero"/>
        <c:auto val="1"/>
        <c:lblAlgn val="ctr"/>
        <c:lblOffset val="100"/>
        <c:noMultiLvlLbl val="0"/>
      </c:catAx>
      <c:valAx>
        <c:axId val="11734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68580</xdr:colOff>
      <xdr:row>3</xdr:row>
      <xdr:rowOff>7621</xdr:rowOff>
    </xdr:from>
    <xdr:to>
      <xdr:col>24</xdr:col>
      <xdr:colOff>99060</xdr:colOff>
      <xdr:row>10</xdr:row>
      <xdr:rowOff>342901</xdr:rowOff>
    </xdr:to>
    <mc:AlternateContent xmlns:mc="http://schemas.openxmlformats.org/markup-compatibility/2006">
      <mc:Choice xmlns:a14="http://schemas.microsoft.com/office/drawing/2010/main" Requires="a14">
        <xdr:graphicFrame macro="">
          <xdr:nvGraphicFramePr>
            <xdr:cNvPr id="8" name="Expenses">
              <a:extLst>
                <a:ext uri="{FF2B5EF4-FFF2-40B4-BE49-F238E27FC236}">
                  <a16:creationId xmlns:a16="http://schemas.microsoft.com/office/drawing/2014/main" id="{20DDF4A8-B118-FCA9-45D5-E7AFA9C681B1}"/>
                </a:ext>
              </a:extLst>
            </xdr:cNvPr>
            <xdr:cNvGraphicFramePr/>
          </xdr:nvGraphicFramePr>
          <xdr:xfrm>
            <a:off x="0" y="0"/>
            <a:ext cx="0" cy="0"/>
          </xdr:xfrm>
          <a:graphic>
            <a:graphicData uri="http://schemas.microsoft.com/office/drawing/2010/slicer">
              <sle:slicer xmlns:sle="http://schemas.microsoft.com/office/drawing/2010/slicer" name="Expenses"/>
            </a:graphicData>
          </a:graphic>
        </xdr:graphicFrame>
      </mc:Choice>
      <mc:Fallback>
        <xdr:sp macro="" textlink="">
          <xdr:nvSpPr>
            <xdr:cNvPr id="0" name=""/>
            <xdr:cNvSpPr>
              <a:spLocks noTextEdit="1"/>
            </xdr:cNvSpPr>
          </xdr:nvSpPr>
          <xdr:spPr>
            <a:xfrm>
              <a:off x="21442680" y="556261"/>
              <a:ext cx="307848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327660</xdr:colOff>
      <xdr:row>13</xdr:row>
      <xdr:rowOff>156210</xdr:rowOff>
    </xdr:from>
    <xdr:to>
      <xdr:col>21</xdr:col>
      <xdr:colOff>601980</xdr:colOff>
      <xdr:row>32</xdr:row>
      <xdr:rowOff>121920</xdr:rowOff>
    </xdr:to>
    <xdr:graphicFrame macro="">
      <xdr:nvGraphicFramePr>
        <xdr:cNvPr id="11" name="Chart 10">
          <a:extLst>
            <a:ext uri="{FF2B5EF4-FFF2-40B4-BE49-F238E27FC236}">
              <a16:creationId xmlns:a16="http://schemas.microsoft.com/office/drawing/2014/main" id="{251B0E8A-F589-B97D-02AC-84B1A13B3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nde\OneDrive\Documents\btech\excel\forage\accounting%20forage.xlsx" TargetMode="External"/><Relationship Id="rId1" Type="http://schemas.openxmlformats.org/officeDocument/2006/relationships/externalLinkPath" Target="/Users/sande/OneDrive/Documents/btech/excel/forage/accounting%20for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mp;E GL"/>
      <sheetName val="data"/>
      <sheetName val="expenses2"/>
      <sheetName val="expenses"/>
      <sheetName val="combo box"/>
      <sheetName val="Dashboard"/>
      <sheetName val="Sheet4"/>
      <sheetName val="profit and loss"/>
      <sheetName val="Profit and Los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t="str">
            <v>Total Net Sales</v>
          </cell>
          <cell r="B11">
            <v>28915184.760000005</v>
          </cell>
          <cell r="C11">
            <v>32903456.479999997</v>
          </cell>
          <cell r="D11">
            <v>34096047.090000004</v>
          </cell>
          <cell r="E11">
            <v>41271841.310000002</v>
          </cell>
          <cell r="F11">
            <v>28115738.020000003</v>
          </cell>
        </row>
        <row r="12">
          <cell r="A12" t="str">
            <v>Total Cost of Goods Sold</v>
          </cell>
          <cell r="B12">
            <v>24192717.18</v>
          </cell>
          <cell r="C12">
            <v>27354197.710000001</v>
          </cell>
          <cell r="D12">
            <v>28216238.789999999</v>
          </cell>
          <cell r="E12">
            <v>34490694.57</v>
          </cell>
          <cell r="F12">
            <v>23215187.129999999</v>
          </cell>
        </row>
        <row r="13">
          <cell r="A13" t="str">
            <v>Gross Profit</v>
          </cell>
          <cell r="B13">
            <v>4722467.5800000057</v>
          </cell>
          <cell r="C13">
            <v>5549258.7699999958</v>
          </cell>
          <cell r="D13">
            <v>5879808.3000000045</v>
          </cell>
          <cell r="E13">
            <v>6781146.7400000021</v>
          </cell>
          <cell r="F13">
            <v>4900550.8900000043</v>
          </cell>
        </row>
        <row r="14">
          <cell r="A14" t="str">
            <v>Total Sales, General &amp; Administrative Expenses</v>
          </cell>
          <cell r="B14">
            <v>3123010.5076000006</v>
          </cell>
          <cell r="C14">
            <v>3363541.8648000001</v>
          </cell>
          <cell r="D14">
            <v>3431837.5708999997</v>
          </cell>
          <cell r="E14">
            <v>3459210.2831000006</v>
          </cell>
          <cell r="F14">
            <v>3848428.6101999995</v>
          </cell>
        </row>
        <row r="15">
          <cell r="A15" t="str">
            <v>Net Operating Income</v>
          </cell>
          <cell r="B15">
            <v>1599457.0724000051</v>
          </cell>
          <cell r="C15">
            <v>2185716.9051999957</v>
          </cell>
          <cell r="D15">
            <v>2447970.7291000048</v>
          </cell>
          <cell r="E15">
            <v>3321936.4569000015</v>
          </cell>
          <cell r="F15">
            <v>1052122.2798000048</v>
          </cell>
        </row>
        <row r="16">
          <cell r="A16" t="str">
            <v>Total Expenses</v>
          </cell>
          <cell r="B16">
            <v>27729820.807600003</v>
          </cell>
          <cell r="C16">
            <v>31119846.884799998</v>
          </cell>
          <cell r="D16">
            <v>32049482.850899998</v>
          </cell>
          <cell r="E16">
            <v>38351850.443100005</v>
          </cell>
          <cell r="F16">
            <v>27460471.570199996</v>
          </cell>
        </row>
        <row r="17">
          <cell r="A17" t="str">
            <v>Total Other Expenses</v>
          </cell>
          <cell r="B17">
            <v>414093.12</v>
          </cell>
          <cell r="C17">
            <v>402107.31</v>
          </cell>
          <cell r="D17">
            <v>401406.49</v>
          </cell>
          <cell r="E17">
            <v>401945.59</v>
          </cell>
          <cell r="F17">
            <v>396855.83</v>
          </cell>
          <cell r="H17" t="str">
            <v>Business Insurance&amp;IT Expense&amp;Office Expenses</v>
          </cell>
          <cell r="I17">
            <v>75597.350000000006</v>
          </cell>
          <cell r="J17">
            <v>96275.540000000008</v>
          </cell>
          <cell r="K17">
            <v>69686.83</v>
          </cell>
          <cell r="L17">
            <v>66755.56</v>
          </cell>
          <cell r="M17">
            <v>49870.51</v>
          </cell>
        </row>
        <row r="18">
          <cell r="A18" t="str">
            <v>Net Income</v>
          </cell>
          <cell r="B18">
            <v>1185363.952400005</v>
          </cell>
          <cell r="C18">
            <v>1783609.5951999957</v>
          </cell>
          <cell r="D18">
            <v>2046564.2391000048</v>
          </cell>
          <cell r="E18">
            <v>2919990.8669000017</v>
          </cell>
          <cell r="F18">
            <v>655266.44980000472</v>
          </cell>
          <cell r="H18" t="str">
            <v>Total Sales, General &amp; Administrative Expenses</v>
          </cell>
          <cell r="I18">
            <v>3123010.5076000001</v>
          </cell>
          <cell r="J18">
            <v>3363541.8648000001</v>
          </cell>
          <cell r="K18">
            <v>3431837.5708999997</v>
          </cell>
          <cell r="L18">
            <v>3459210.2831000006</v>
          </cell>
          <cell r="M18">
            <v>3848428.6102</v>
          </cell>
        </row>
        <row r="19">
          <cell r="A19" t="str">
            <v>%change</v>
          </cell>
          <cell r="C19">
            <v>0.5046936357299574</v>
          </cell>
          <cell r="D19">
            <v>0.14742836358789832</v>
          </cell>
          <cell r="E19">
            <v>0.42677703983731008</v>
          </cell>
          <cell r="F19">
            <v>-0.77559297968090357</v>
          </cell>
        </row>
        <row r="20">
          <cell r="A20" t="str">
            <v>Net Income</v>
          </cell>
          <cell r="B20">
            <v>1185363.952400005</v>
          </cell>
          <cell r="C20">
            <v>1783609.5951999957</v>
          </cell>
          <cell r="D20">
            <v>2046564.2391000048</v>
          </cell>
          <cell r="E20">
            <v>2919990.8669000017</v>
          </cell>
          <cell r="F20">
            <v>655266.44980000472</v>
          </cell>
        </row>
      </sheetData>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eep Reddy" refreshedDate="45171.930746874998" createdVersion="8" refreshedVersion="8" minRefreshableVersion="3" recordCount="7" xr:uid="{59F13302-67DF-4903-882A-E35F0F07B076}">
  <cacheSource type="worksheet">
    <worksheetSource name="Expense"/>
  </cacheSource>
  <cacheFields count="6">
    <cacheField name="Expenses" numFmtId="0">
      <sharedItems count="7">
        <s v="Total Facilities Expenses"/>
        <s v="Company Payroll Expenses"/>
        <s v="Total Professional Fees"/>
        <s v="Travel &amp; Entertainment"/>
        <s v="Sales, General &amp; Administrative Expenses"/>
        <s v="Business Insurance&amp;IT Expense&amp;Office Expenses"/>
        <s v="Total Sales, General &amp; Administrative Expenses"/>
      </sharedItems>
    </cacheField>
    <cacheField name="Jan - Mar, Y1" numFmtId="44">
      <sharedItems containsSemiMixedTypes="0" containsString="0" containsNumber="1" minValue="75597.350000000006" maxValue="3123010.5076000001"/>
    </cacheField>
    <cacheField name="Apr - Jun, Y1" numFmtId="44">
      <sharedItems containsSemiMixedTypes="0" containsString="0" containsNumber="1" minValue="96275.540000000008" maxValue="3363541.8648000001"/>
    </cacheField>
    <cacheField name="Jul - Sep, Y1" numFmtId="44">
      <sharedItems containsSemiMixedTypes="0" containsString="0" containsNumber="1" minValue="69686.83" maxValue="3431837.5708999997"/>
    </cacheField>
    <cacheField name="Oct - Dec, Y1" numFmtId="44">
      <sharedItems containsSemiMixedTypes="0" containsString="0" containsNumber="1" minValue="66755.56" maxValue="3459210.2831000006"/>
    </cacheField>
    <cacheField name="Jan - Mar, Y2" numFmtId="44">
      <sharedItems containsSemiMixedTypes="0" containsString="0" containsNumber="1" minValue="49870.51" maxValue="3848428.6102"/>
    </cacheField>
  </cacheFields>
  <extLst>
    <ext xmlns:x14="http://schemas.microsoft.com/office/spreadsheetml/2009/9/main" uri="{725AE2AE-9491-48be-B2B4-4EB974FC3084}">
      <x14:pivotCacheDefinition pivotCacheId="2113947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512742.79000000004"/>
    <n v="543996.05000000005"/>
    <n v="553650.79"/>
    <n v="554183.68999999994"/>
    <n v="854237.2"/>
  </r>
  <r>
    <x v="1"/>
    <n v="1994839.7900000003"/>
    <n v="2081070.93"/>
    <n v="2212067.4699999997"/>
    <n v="2143508.9400000004"/>
    <n v="2142573.88"/>
  </r>
  <r>
    <x v="2"/>
    <n v="80893.64"/>
    <n v="138978.25999999998"/>
    <n v="96336.200000000012"/>
    <n v="115632.29000000001"/>
    <n v="107476.29000000001"/>
  </r>
  <r>
    <x v="3"/>
    <n v="113483.37999999996"/>
    <n v="118296.45"/>
    <n v="102122.84000000007"/>
    <n v="100484.20000000001"/>
    <n v="227390.48000000007"/>
  </r>
  <r>
    <x v="4"/>
    <n v="345453.55760000006"/>
    <n v="384924.6348"/>
    <n v="397973.44089999999"/>
    <n v="478645.60310000001"/>
    <n v="466880.25020000001"/>
  </r>
  <r>
    <x v="5"/>
    <n v="75597.350000000006"/>
    <n v="96275.540000000008"/>
    <n v="69686.83"/>
    <n v="66755.56"/>
    <n v="49870.51"/>
  </r>
  <r>
    <x v="6"/>
    <n v="3123010.5076000001"/>
    <n v="3363541.8648000001"/>
    <n v="3431837.5708999997"/>
    <n v="3459210.2831000006"/>
    <n v="3848428.6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C00DF-A634-40E2-B2B4-936C58850551}"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Expenses">
  <location ref="N4:S11" firstHeaderRow="0" firstDataRow="1" firstDataCol="1"/>
  <pivotFields count="6">
    <pivotField axis="axisRow" showAll="0">
      <items count="8">
        <item x="5"/>
        <item x="1"/>
        <item x="4"/>
        <item x="0"/>
        <item x="2"/>
        <item x="6"/>
        <item x="3"/>
        <item t="default"/>
      </items>
    </pivotField>
    <pivotField dataField="1" numFmtId="44" showAll="0"/>
    <pivotField dataField="1" numFmtId="44" showAll="0"/>
    <pivotField dataField="1" numFmtId="44" showAll="0"/>
    <pivotField dataField="1" numFmtId="44" showAll="0"/>
    <pivotField dataField="1" numFmtId="44" showAll="0"/>
  </pivotFields>
  <rowFields count="1">
    <field x="0"/>
  </rowFields>
  <rowItems count="7">
    <i>
      <x/>
    </i>
    <i>
      <x v="1"/>
    </i>
    <i>
      <x v="2"/>
    </i>
    <i>
      <x v="3"/>
    </i>
    <i>
      <x v="4"/>
    </i>
    <i>
      <x v="5"/>
    </i>
    <i>
      <x v="6"/>
    </i>
  </rowItems>
  <colFields count="1">
    <field x="-2"/>
  </colFields>
  <colItems count="5">
    <i>
      <x/>
    </i>
    <i i="1">
      <x v="1"/>
    </i>
    <i i="2">
      <x v="2"/>
    </i>
    <i i="3">
      <x v="3"/>
    </i>
    <i i="4">
      <x v="4"/>
    </i>
  </colItems>
  <dataFields count="5">
    <dataField name="Sum of Jan - Mar, Y1" fld="1" baseField="0" baseItem="0"/>
    <dataField name="Sum of Apr - Jun, Y1" fld="2" baseField="0" baseItem="0"/>
    <dataField name="Sum of Jul - Sep, Y1" fld="3" baseField="0" baseItem="0"/>
    <dataField name="Sum of Oct - Dec, Y1" fld="4" baseField="0" baseItem="0"/>
    <dataField name="Sum of Jan - Mar, Y2" fld="5" baseField="0" baseItem="0"/>
  </dataFields>
  <formats count="1">
    <format dxfId="6">
      <pivotArea dataOnly="0" labelOnly="1" outline="0" fieldPosition="0">
        <references count="1">
          <reference field="4294967294" count="5">
            <x v="0"/>
            <x v="1"/>
            <x v="2"/>
            <x v="3"/>
            <x v="4"/>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s" xr10:uid="{39174F28-C6FB-4086-88A5-C798551F7D7A}" sourceName="Expenses">
  <pivotTables>
    <pivotTable tabId="3" name="PivotTable4"/>
  </pivotTables>
  <data>
    <tabular pivotCacheId="2113947592">
      <items count="7">
        <i x="5" s="1"/>
        <i x="1" s="1"/>
        <i x="4" s="1"/>
        <i x="0" s="1"/>
        <i x="2"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s" xr10:uid="{033F579E-51A1-4661-BC9E-0A8620587DE3}" cache="Slicer_Expenses" caption="Expens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D1A8A-3043-41F1-B962-8DF607FEF7E7}" name="Expense" displayName="Expense" ref="D4:I12" totalsRowCount="1" headerRowDxfId="7" dataDxfId="8">
  <autoFilter ref="D4:I11" xr:uid="{C8AD1A8A-3043-41F1-B962-8DF607FEF7E7}"/>
  <tableColumns count="6">
    <tableColumn id="1" xr3:uid="{A476CD2C-AAF3-44FC-96C2-4EA116FB617D}" name="Expenses" dataDxfId="14" totalsRowDxfId="5"/>
    <tableColumn id="2" xr3:uid="{1B3C67BE-3956-4CDA-902A-82F1BFB97D9B}" name="Jan - Mar, Y1" totalsRowFunction="custom" dataDxfId="13" totalsRowDxfId="4">
      <totalsRowFormula>SUM(Expense[Jan - Mar, Y1])</totalsRowFormula>
    </tableColumn>
    <tableColumn id="3" xr3:uid="{08627607-4C35-467B-BF9B-9FD38802692C}" name="Apr - Jun, Y1" totalsRowFunction="custom" dataDxfId="12" totalsRowDxfId="3">
      <totalsRowFormula>SUM(Expense[Apr - Jun, Y1])</totalsRowFormula>
    </tableColumn>
    <tableColumn id="4" xr3:uid="{4495D586-536B-40E8-A0B9-2E944A8CD24C}" name="Jul - Sep, Y1" totalsRowFunction="custom" dataDxfId="11" totalsRowDxfId="2">
      <totalsRowFormula>SUM(Expense[Jul - Sep, Y1])</totalsRowFormula>
    </tableColumn>
    <tableColumn id="5" xr3:uid="{6A8AB6D2-EF9C-4191-BB4E-39AF3EE4211B}" name="Oct - Dec, Y1" totalsRowFunction="custom" dataDxfId="10" totalsRowDxfId="1">
      <totalsRowFormula>SUM(Expense[Oct - Dec, Y1])</totalsRowFormula>
    </tableColumn>
    <tableColumn id="6" xr3:uid="{1984DFC9-E8FE-49BA-973A-9C38D8F3BB49}" name="Jan - Mar, Y2" totalsRowFunction="custom" dataDxfId="9" totalsRowDxfId="0">
      <totalsRowFormula>SUM(Expense[Jan - Mar, Y2])</totalsRow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650D4-A045-4B06-9258-A269C7B57E87}">
  <dimension ref="B1:G51"/>
  <sheetViews>
    <sheetView workbookViewId="0">
      <selection activeCell="G28" sqref="G28"/>
    </sheetView>
  </sheetViews>
  <sheetFormatPr defaultRowHeight="14.4" x14ac:dyDescent="0.3"/>
  <cols>
    <col min="2" max="2" width="21.21875" customWidth="1"/>
    <col min="3" max="7" width="13.5546875" customWidth="1"/>
    <col min="8" max="8" width="9.109375" customWidth="1"/>
  </cols>
  <sheetData>
    <row r="1" spans="2:7" ht="25.8" customHeight="1" x14ac:dyDescent="0.3">
      <c r="B1" s="1"/>
      <c r="C1" s="2" t="s">
        <v>0</v>
      </c>
      <c r="D1" s="2" t="s">
        <v>1</v>
      </c>
      <c r="E1" s="2" t="s">
        <v>2</v>
      </c>
      <c r="F1" s="2" t="s">
        <v>3</v>
      </c>
      <c r="G1" s="2" t="s">
        <v>4</v>
      </c>
    </row>
    <row r="2" spans="2:7" ht="25.8" customHeight="1" x14ac:dyDescent="0.3">
      <c r="B2" s="3" t="s">
        <v>5</v>
      </c>
      <c r="C2" s="4"/>
      <c r="D2" s="4"/>
      <c r="E2" s="4"/>
      <c r="F2" s="4"/>
      <c r="G2" s="4"/>
    </row>
    <row r="3" spans="2:7" ht="25.8" customHeight="1" x14ac:dyDescent="0.3">
      <c r="B3" s="3" t="s">
        <v>6</v>
      </c>
      <c r="C3" s="4">
        <v>20653703.400000006</v>
      </c>
      <c r="D3" s="4">
        <v>23502468.914285708</v>
      </c>
      <c r="E3" s="4">
        <v>24354319.349999998</v>
      </c>
      <c r="F3" s="4">
        <v>29479886.650000002</v>
      </c>
      <c r="G3" s="4">
        <v>20082670.014285713</v>
      </c>
    </row>
    <row r="4" spans="2:7" ht="25.8" customHeight="1" x14ac:dyDescent="0.3">
      <c r="B4" s="3" t="s">
        <v>7</v>
      </c>
      <c r="C4" s="4">
        <v>8261481.3600000013</v>
      </c>
      <c r="D4" s="4">
        <v>9400987.5657142866</v>
      </c>
      <c r="E4" s="4">
        <v>9741727.7400000021</v>
      </c>
      <c r="F4" s="4">
        <v>11791954.66</v>
      </c>
      <c r="G4" s="4">
        <v>8033068.005714288</v>
      </c>
    </row>
    <row r="5" spans="2:7" ht="25.8" customHeight="1" x14ac:dyDescent="0.3">
      <c r="B5" s="3"/>
      <c r="C5" s="4"/>
      <c r="D5" s="4"/>
      <c r="E5" s="4"/>
      <c r="F5" s="4"/>
      <c r="G5" s="4"/>
    </row>
    <row r="6" spans="2:7" ht="25.8" customHeight="1" x14ac:dyDescent="0.3">
      <c r="B6" s="3" t="s">
        <v>8</v>
      </c>
      <c r="C6" s="5">
        <f t="shared" ref="C6:G6" si="0">SUM(C3:C4)</f>
        <v>28915184.760000005</v>
      </c>
      <c r="D6" s="5">
        <f t="shared" si="0"/>
        <v>32903456.479999997</v>
      </c>
      <c r="E6" s="5">
        <f t="shared" si="0"/>
        <v>34096047.090000004</v>
      </c>
      <c r="F6" s="5">
        <f t="shared" si="0"/>
        <v>41271841.310000002</v>
      </c>
      <c r="G6" s="5">
        <f t="shared" si="0"/>
        <v>28115738.020000003</v>
      </c>
    </row>
    <row r="7" spans="2:7" ht="25.8" customHeight="1" x14ac:dyDescent="0.3">
      <c r="B7" s="3"/>
      <c r="C7" s="6"/>
      <c r="D7" s="6"/>
      <c r="E7" s="6"/>
      <c r="F7" s="6"/>
      <c r="G7" s="6"/>
    </row>
    <row r="8" spans="2:7" ht="25.8" customHeight="1" x14ac:dyDescent="0.3">
      <c r="B8" s="3" t="s">
        <v>9</v>
      </c>
      <c r="C8" s="4">
        <f>24192717.18</f>
        <v>24192717.18</v>
      </c>
      <c r="D8" s="4">
        <f>27354197.71</f>
        <v>27354197.710000001</v>
      </c>
      <c r="E8" s="4">
        <f>28216238.79</f>
        <v>28216238.789999999</v>
      </c>
      <c r="F8" s="4">
        <f>34490694.57</f>
        <v>34490694.57</v>
      </c>
      <c r="G8" s="4">
        <f>23215187.13</f>
        <v>23215187.129999999</v>
      </c>
    </row>
    <row r="9" spans="2:7" ht="25.8" customHeight="1" x14ac:dyDescent="0.3">
      <c r="B9" s="3" t="s">
        <v>10</v>
      </c>
      <c r="C9" s="5">
        <f t="shared" ref="C9:G9" si="1">((C7)+(C8))</f>
        <v>24192717.18</v>
      </c>
      <c r="D9" s="5">
        <f t="shared" si="1"/>
        <v>27354197.710000001</v>
      </c>
      <c r="E9" s="5">
        <f t="shared" si="1"/>
        <v>28216238.789999999</v>
      </c>
      <c r="F9" s="5">
        <f t="shared" si="1"/>
        <v>34490694.57</v>
      </c>
      <c r="G9" s="5">
        <f t="shared" si="1"/>
        <v>23215187.129999999</v>
      </c>
    </row>
    <row r="10" spans="2:7" ht="25.8" customHeight="1" x14ac:dyDescent="0.3">
      <c r="B10" s="3" t="s">
        <v>11</v>
      </c>
      <c r="C10" s="5">
        <f>C9</f>
        <v>24192717.18</v>
      </c>
      <c r="D10" s="5">
        <f>D9</f>
        <v>27354197.710000001</v>
      </c>
      <c r="E10" s="5">
        <f>E9</f>
        <v>28216238.789999999</v>
      </c>
      <c r="F10" s="5">
        <f>F9</f>
        <v>34490694.57</v>
      </c>
      <c r="G10" s="5">
        <f>G9</f>
        <v>23215187.129999999</v>
      </c>
    </row>
    <row r="11" spans="2:7" ht="25.8" customHeight="1" x14ac:dyDescent="0.3">
      <c r="B11" s="3" t="s">
        <v>12</v>
      </c>
      <c r="C11" s="5">
        <f>C6-C10</f>
        <v>4722467.5800000057</v>
      </c>
      <c r="D11" s="5">
        <f>D6-D10</f>
        <v>5549258.7699999958</v>
      </c>
      <c r="E11" s="5">
        <f>E6-E10</f>
        <v>5879808.3000000045</v>
      </c>
      <c r="F11" s="5">
        <f>F6-F10</f>
        <v>6781146.7400000021</v>
      </c>
      <c r="G11" s="5">
        <f>G6-G10</f>
        <v>4900550.8900000043</v>
      </c>
    </row>
    <row r="12" spans="2:7" ht="25.8" customHeight="1" x14ac:dyDescent="0.3">
      <c r="B12" s="3" t="s">
        <v>13</v>
      </c>
      <c r="C12" s="6"/>
      <c r="D12" s="6"/>
      <c r="E12" s="6"/>
      <c r="F12" s="6"/>
      <c r="G12" s="6"/>
    </row>
    <row r="13" spans="2:7" ht="25.8" customHeight="1" x14ac:dyDescent="0.3">
      <c r="B13" s="3" t="s">
        <v>14</v>
      </c>
      <c r="C13" s="4">
        <f>4521</f>
        <v>4521</v>
      </c>
      <c r="D13" s="4">
        <f>4167</f>
        <v>4167</v>
      </c>
      <c r="E13" s="4">
        <f>6291</f>
        <v>6291</v>
      </c>
      <c r="F13" s="4">
        <f>3639.37</f>
        <v>3639.37</v>
      </c>
      <c r="G13" s="4">
        <v>5220</v>
      </c>
    </row>
    <row r="14" spans="2:7" ht="25.8" customHeight="1" x14ac:dyDescent="0.3">
      <c r="B14" s="3" t="s">
        <v>15</v>
      </c>
      <c r="C14" s="4">
        <v>289151.84760000004</v>
      </c>
      <c r="D14" s="4">
        <v>329034.56479999999</v>
      </c>
      <c r="E14" s="4">
        <v>340960.47090000001</v>
      </c>
      <c r="F14" s="4">
        <v>412718.41310000001</v>
      </c>
      <c r="G14" s="4">
        <v>281157.38020000001</v>
      </c>
    </row>
    <row r="15" spans="2:7" ht="25.8" customHeight="1" x14ac:dyDescent="0.3">
      <c r="B15" s="3" t="s">
        <v>16</v>
      </c>
      <c r="C15" s="6">
        <v>12454</v>
      </c>
      <c r="D15" s="6">
        <v>15453</v>
      </c>
      <c r="E15" s="4">
        <f>11785.48</f>
        <v>11785.48</v>
      </c>
      <c r="F15" s="4">
        <v>10453</v>
      </c>
      <c r="G15" s="4">
        <f>115174.08</f>
        <v>115174.08</v>
      </c>
    </row>
    <row r="16" spans="2:7" ht="25.8" customHeight="1" x14ac:dyDescent="0.3">
      <c r="B16" s="3" t="s">
        <v>17</v>
      </c>
      <c r="C16" s="4">
        <f>12100</f>
        <v>12100</v>
      </c>
      <c r="D16" s="6">
        <v>0</v>
      </c>
      <c r="E16" s="4">
        <f>5950</f>
        <v>5950</v>
      </c>
      <c r="F16" s="4">
        <f>15105</f>
        <v>15105</v>
      </c>
      <c r="G16" s="4">
        <f>15000</f>
        <v>15000</v>
      </c>
    </row>
    <row r="17" spans="2:7" ht="25.8" customHeight="1" x14ac:dyDescent="0.3">
      <c r="B17" s="3" t="s">
        <v>18</v>
      </c>
      <c r="C17" s="4">
        <f>27226.71</f>
        <v>27226.71</v>
      </c>
      <c r="D17" s="4">
        <f>36270.07</f>
        <v>36270.07</v>
      </c>
      <c r="E17" s="4">
        <f>32986.49</f>
        <v>32986.49</v>
      </c>
      <c r="F17" s="4">
        <f>36729.82</f>
        <v>36729.82</v>
      </c>
      <c r="G17" s="4">
        <f>50328.79</f>
        <v>50328.79</v>
      </c>
    </row>
    <row r="18" spans="2:7" ht="25.8" customHeight="1" x14ac:dyDescent="0.3">
      <c r="B18" s="3" t="s">
        <v>19</v>
      </c>
      <c r="C18" s="4"/>
      <c r="D18" s="4"/>
      <c r="E18" s="6"/>
      <c r="F18" s="6"/>
      <c r="G18" s="6"/>
    </row>
    <row r="19" spans="2:7" ht="25.8" customHeight="1" x14ac:dyDescent="0.3">
      <c r="B19" s="3" t="s">
        <v>20</v>
      </c>
      <c r="C19" s="4">
        <v>120000</v>
      </c>
      <c r="D19" s="4">
        <v>120000</v>
      </c>
      <c r="E19" s="4">
        <v>120000</v>
      </c>
      <c r="F19" s="4">
        <v>120000</v>
      </c>
      <c r="G19" s="4">
        <v>120000</v>
      </c>
    </row>
    <row r="20" spans="2:7" ht="25.8" customHeight="1" x14ac:dyDescent="0.3">
      <c r="B20" s="3" t="s">
        <v>21</v>
      </c>
      <c r="C20" s="4">
        <v>300000</v>
      </c>
      <c r="D20" s="4">
        <v>300000</v>
      </c>
      <c r="E20" s="4">
        <v>300000</v>
      </c>
      <c r="F20" s="4">
        <v>300000</v>
      </c>
      <c r="G20" s="4">
        <v>600000</v>
      </c>
    </row>
    <row r="21" spans="2:7" ht="25.8" customHeight="1" x14ac:dyDescent="0.3">
      <c r="B21" s="3" t="s">
        <v>22</v>
      </c>
      <c r="C21" s="4">
        <v>70000</v>
      </c>
      <c r="D21" s="4">
        <v>70000</v>
      </c>
      <c r="E21" s="4">
        <v>70000</v>
      </c>
      <c r="F21" s="4">
        <v>70000</v>
      </c>
      <c r="G21" s="4">
        <v>70000</v>
      </c>
    </row>
    <row r="22" spans="2:7" ht="25.8" customHeight="1" x14ac:dyDescent="0.3">
      <c r="B22" s="3" t="s">
        <v>23</v>
      </c>
      <c r="C22" s="4">
        <f>15517.71</f>
        <v>15517.71</v>
      </c>
      <c r="D22" s="4">
        <f>15939.65</f>
        <v>15939.65</v>
      </c>
      <c r="E22" s="4">
        <f>17572</f>
        <v>17572</v>
      </c>
      <c r="F22" s="4">
        <f>19774.81</f>
        <v>19774.810000000001</v>
      </c>
      <c r="G22" s="4">
        <v>15535.85</v>
      </c>
    </row>
    <row r="23" spans="2:7" ht="25.8" customHeight="1" x14ac:dyDescent="0.3">
      <c r="B23" s="3" t="s">
        <v>24</v>
      </c>
      <c r="C23" s="4">
        <f>7225.08</f>
        <v>7225.08</v>
      </c>
      <c r="D23" s="4">
        <f>38056.4</f>
        <v>38056.400000000001</v>
      </c>
      <c r="E23" s="4">
        <f>46078.79</f>
        <v>46078.79</v>
      </c>
      <c r="F23" s="4">
        <f>44408.88</f>
        <v>44408.88</v>
      </c>
      <c r="G23" s="4">
        <f>48701.35</f>
        <v>48701.35</v>
      </c>
    </row>
    <row r="24" spans="2:7" ht="25.8" customHeight="1" x14ac:dyDescent="0.3">
      <c r="B24" s="3" t="s">
        <v>25</v>
      </c>
      <c r="C24" s="5">
        <f t="shared" ref="C24:G24" si="2">((((((((C18)+(C19))+(C20))+(C21))++(C22))+(C23))))</f>
        <v>512742.79000000004</v>
      </c>
      <c r="D24" s="5">
        <f t="shared" si="2"/>
        <v>543996.05000000005</v>
      </c>
      <c r="E24" s="5">
        <f t="shared" si="2"/>
        <v>553650.79</v>
      </c>
      <c r="F24" s="5">
        <f t="shared" si="2"/>
        <v>554183.68999999994</v>
      </c>
      <c r="G24" s="5">
        <f t="shared" si="2"/>
        <v>854237.2</v>
      </c>
    </row>
    <row r="25" spans="2:7" ht="25.8" customHeight="1" x14ac:dyDescent="0.3">
      <c r="B25" s="3" t="s">
        <v>26</v>
      </c>
      <c r="C25" s="4">
        <f>45000</f>
        <v>45000</v>
      </c>
      <c r="D25" s="4">
        <f>39498</f>
        <v>39498</v>
      </c>
      <c r="E25" s="4">
        <f>37134</f>
        <v>37134</v>
      </c>
      <c r="F25" s="4">
        <f>37127</f>
        <v>37127</v>
      </c>
      <c r="G25" s="4">
        <f>21788</f>
        <v>21788</v>
      </c>
    </row>
    <row r="26" spans="2:7" ht="25.8" customHeight="1" x14ac:dyDescent="0.3">
      <c r="B26" s="3" t="s">
        <v>27</v>
      </c>
      <c r="C26" s="4">
        <v>15786.109999999999</v>
      </c>
      <c r="D26" s="4">
        <v>12035.42</v>
      </c>
      <c r="E26" s="4">
        <v>8316.93</v>
      </c>
      <c r="F26" s="4">
        <v>10888</v>
      </c>
      <c r="G26" s="4">
        <v>9039.52</v>
      </c>
    </row>
    <row r="27" spans="2:7" ht="25.8" customHeight="1" x14ac:dyDescent="0.3">
      <c r="B27" s="3" t="s">
        <v>28</v>
      </c>
      <c r="C27" s="4">
        <v>14811.240000000002</v>
      </c>
      <c r="D27" s="4">
        <v>44742.12</v>
      </c>
      <c r="E27" s="4">
        <v>24235.9</v>
      </c>
      <c r="F27" s="4">
        <v>18740.560000000001</v>
      </c>
      <c r="G27" s="4">
        <v>19042.990000000002</v>
      </c>
    </row>
    <row r="28" spans="2:7" ht="25.8" customHeight="1" x14ac:dyDescent="0.3">
      <c r="B28" s="3" t="s">
        <v>29</v>
      </c>
      <c r="C28" s="4"/>
      <c r="D28" s="4"/>
      <c r="E28" s="4"/>
      <c r="F28" s="4"/>
      <c r="G28" s="4"/>
    </row>
    <row r="29" spans="2:7" ht="25.8" customHeight="1" x14ac:dyDescent="0.3">
      <c r="B29" s="3" t="s">
        <v>30</v>
      </c>
      <c r="C29" s="4">
        <f>54804.2</f>
        <v>54804.2</v>
      </c>
      <c r="D29" s="4">
        <f>62882.69</f>
        <v>62882.69</v>
      </c>
      <c r="E29" s="4">
        <f>64287.54</f>
        <v>64287.54</v>
      </c>
      <c r="F29" s="4">
        <f>77439.78</f>
        <v>77439.78</v>
      </c>
      <c r="G29" s="4">
        <f>71421.04</f>
        <v>71421.039999999994</v>
      </c>
    </row>
    <row r="30" spans="2:7" ht="25.8" customHeight="1" x14ac:dyDescent="0.3">
      <c r="B30" s="3" t="s">
        <v>31</v>
      </c>
      <c r="C30" s="4">
        <f>1214486.62</f>
        <v>1214486.6200000001</v>
      </c>
      <c r="D30" s="4">
        <f>1220380.91</f>
        <v>1220380.9099999999</v>
      </c>
      <c r="E30" s="4">
        <f>1201376.16</f>
        <v>1201376.1599999999</v>
      </c>
      <c r="F30" s="4">
        <f>1131201.34</f>
        <v>1131201.3400000001</v>
      </c>
      <c r="G30" s="4">
        <f>1131215.31</f>
        <v>1131215.31</v>
      </c>
    </row>
    <row r="31" spans="2:7" ht="25.8" customHeight="1" x14ac:dyDescent="0.3">
      <c r="B31" s="3" t="s">
        <v>32</v>
      </c>
      <c r="C31" s="4">
        <f>159162.33</f>
        <v>159162.32999999999</v>
      </c>
      <c r="D31" s="4">
        <f>185632.55</f>
        <v>185632.55</v>
      </c>
      <c r="E31" s="4">
        <f>250751.36</f>
        <v>250751.35999999999</v>
      </c>
      <c r="F31" s="4">
        <f>232500.27</f>
        <v>232500.27</v>
      </c>
      <c r="G31" s="4">
        <f>238215.94</f>
        <v>238215.94</v>
      </c>
    </row>
    <row r="32" spans="2:7" ht="25.8" customHeight="1" x14ac:dyDescent="0.3">
      <c r="B32" s="3" t="s">
        <v>33</v>
      </c>
      <c r="C32" s="4">
        <f>381945.4</f>
        <v>381945.4</v>
      </c>
      <c r="D32" s="4">
        <f>432437.74</f>
        <v>432437.74</v>
      </c>
      <c r="E32" s="4">
        <f>509404.67</f>
        <v>509404.67</v>
      </c>
      <c r="F32" s="4">
        <f>514831.54</f>
        <v>514831.54</v>
      </c>
      <c r="G32" s="4">
        <f>512090.38</f>
        <v>512090.38</v>
      </c>
    </row>
    <row r="33" spans="2:7" ht="25.8" customHeight="1" x14ac:dyDescent="0.3">
      <c r="B33" s="3" t="s">
        <v>34</v>
      </c>
      <c r="C33" s="4">
        <f>28518.24</f>
        <v>28518.240000000002</v>
      </c>
      <c r="D33" s="4">
        <f>32823.86</f>
        <v>32823.86</v>
      </c>
      <c r="E33" s="4">
        <f>34228.66</f>
        <v>34228.660000000003</v>
      </c>
      <c r="F33" s="4">
        <f>37328.09</f>
        <v>37328.089999999997</v>
      </c>
      <c r="G33" s="4">
        <f>38387.21</f>
        <v>38387.21</v>
      </c>
    </row>
    <row r="34" spans="2:7" ht="25.8" customHeight="1" x14ac:dyDescent="0.3">
      <c r="B34" s="3" t="s">
        <v>35</v>
      </c>
      <c r="C34" s="4">
        <v>155923</v>
      </c>
      <c r="D34" s="4">
        <f>146913.18</f>
        <v>146913.18</v>
      </c>
      <c r="E34" s="4">
        <f>152019.08</f>
        <v>152019.07999999999</v>
      </c>
      <c r="F34" s="4">
        <f>150207.92</f>
        <v>150207.92000000001</v>
      </c>
      <c r="G34" s="4">
        <v>151244</v>
      </c>
    </row>
    <row r="35" spans="2:7" ht="25.8" customHeight="1" x14ac:dyDescent="0.3">
      <c r="B35" s="3" t="s">
        <v>36</v>
      </c>
      <c r="C35" s="5">
        <f t="shared" ref="C35:G35" si="3">SUM(C29:C34)</f>
        <v>1994839.7900000003</v>
      </c>
      <c r="D35" s="5">
        <f t="shared" si="3"/>
        <v>2081070.93</v>
      </c>
      <c r="E35" s="5">
        <f t="shared" si="3"/>
        <v>2212067.4699999997</v>
      </c>
      <c r="F35" s="5">
        <f t="shared" si="3"/>
        <v>2143508.9400000004</v>
      </c>
      <c r="G35" s="5">
        <f t="shared" si="3"/>
        <v>2142573.88</v>
      </c>
    </row>
    <row r="36" spans="2:7" ht="25.8" customHeight="1" x14ac:dyDescent="0.3">
      <c r="B36" s="3" t="s">
        <v>37</v>
      </c>
      <c r="C36" s="6"/>
      <c r="D36" s="6"/>
      <c r="E36" s="6"/>
      <c r="F36" s="6"/>
      <c r="G36" s="6"/>
    </row>
    <row r="37" spans="2:7" ht="25.8" customHeight="1" x14ac:dyDescent="0.3">
      <c r="B37" s="3" t="s">
        <v>38</v>
      </c>
      <c r="C37" s="4">
        <f>25099.96</f>
        <v>25099.96</v>
      </c>
      <c r="D37" s="4">
        <f>84384.43</f>
        <v>84384.43</v>
      </c>
      <c r="E37" s="4">
        <f>39205.27</f>
        <v>39205.269999999997</v>
      </c>
      <c r="F37" s="4">
        <f>59892.69</f>
        <v>59892.69</v>
      </c>
      <c r="G37" s="4">
        <v>51231</v>
      </c>
    </row>
    <row r="38" spans="2:7" ht="25.8" customHeight="1" x14ac:dyDescent="0.3">
      <c r="B38" s="3" t="s">
        <v>39</v>
      </c>
      <c r="C38" s="4">
        <f>49800</f>
        <v>49800</v>
      </c>
      <c r="D38" s="4">
        <f>48768.5</f>
        <v>48768.5</v>
      </c>
      <c r="E38" s="4">
        <f>51098.64</f>
        <v>51098.64</v>
      </c>
      <c r="F38" s="4">
        <f>49707.31</f>
        <v>49707.31</v>
      </c>
      <c r="G38" s="4">
        <v>50213</v>
      </c>
    </row>
    <row r="39" spans="2:7" ht="25.8" customHeight="1" x14ac:dyDescent="0.3">
      <c r="B39" s="3" t="s">
        <v>40</v>
      </c>
      <c r="C39" s="4">
        <f>1618.69</f>
        <v>1618.69</v>
      </c>
      <c r="D39" s="4">
        <f>1450.34</f>
        <v>1450.34</v>
      </c>
      <c r="E39" s="4">
        <f t="shared" ref="E39:G39" si="4">1657.3</f>
        <v>1657.3</v>
      </c>
      <c r="F39" s="4">
        <f t="shared" si="4"/>
        <v>1657.3</v>
      </c>
      <c r="G39" s="4">
        <f t="shared" si="4"/>
        <v>1657.3</v>
      </c>
    </row>
    <row r="40" spans="2:7" ht="25.8" customHeight="1" x14ac:dyDescent="0.3">
      <c r="B40" s="3" t="s">
        <v>41</v>
      </c>
      <c r="C40" s="4">
        <f t="shared" ref="C40:G40" si="5">4374.99</f>
        <v>4374.99</v>
      </c>
      <c r="D40" s="4">
        <f t="shared" si="5"/>
        <v>4374.99</v>
      </c>
      <c r="E40" s="4">
        <f t="shared" si="5"/>
        <v>4374.99</v>
      </c>
      <c r="F40" s="4">
        <f t="shared" si="5"/>
        <v>4374.99</v>
      </c>
      <c r="G40" s="4">
        <f t="shared" si="5"/>
        <v>4374.99</v>
      </c>
    </row>
    <row r="41" spans="2:7" ht="25.8" customHeight="1" x14ac:dyDescent="0.3">
      <c r="B41" s="3" t="s">
        <v>42</v>
      </c>
      <c r="C41" s="5">
        <f t="shared" ref="C41:G41" si="6">SUM(C37:C40)</f>
        <v>80893.64</v>
      </c>
      <c r="D41" s="5">
        <f t="shared" si="6"/>
        <v>138978.25999999998</v>
      </c>
      <c r="E41" s="5">
        <f t="shared" si="6"/>
        <v>96336.200000000012</v>
      </c>
      <c r="F41" s="5">
        <f t="shared" si="6"/>
        <v>115632.29000000001</v>
      </c>
      <c r="G41" s="5">
        <f t="shared" si="6"/>
        <v>107476.29000000001</v>
      </c>
    </row>
    <row r="42" spans="2:7" ht="25.8" customHeight="1" x14ac:dyDescent="0.3">
      <c r="B42" s="3" t="s">
        <v>43</v>
      </c>
      <c r="C42" s="4">
        <v>113483.37999999996</v>
      </c>
      <c r="D42" s="4">
        <v>118296.45</v>
      </c>
      <c r="E42" s="4">
        <v>102122.84000000007</v>
      </c>
      <c r="F42" s="4">
        <v>100484.20000000001</v>
      </c>
      <c r="G42" s="4">
        <v>227390.48000000007</v>
      </c>
    </row>
    <row r="43" spans="2:7" ht="25.8" customHeight="1" x14ac:dyDescent="0.3">
      <c r="B43" s="3" t="s">
        <v>44</v>
      </c>
      <c r="C43" s="5">
        <f t="shared" ref="C43:G43" si="7">SUM(C13:C17,C24,C25:C27,C35,C41,C42)</f>
        <v>3123010.5076000006</v>
      </c>
      <c r="D43" s="5">
        <f t="shared" si="7"/>
        <v>3363541.8648000001</v>
      </c>
      <c r="E43" s="5">
        <f t="shared" si="7"/>
        <v>3431837.5708999997</v>
      </c>
      <c r="F43" s="5">
        <f t="shared" si="7"/>
        <v>3459210.2831000006</v>
      </c>
      <c r="G43" s="5">
        <f t="shared" si="7"/>
        <v>3848428.6101999995</v>
      </c>
    </row>
    <row r="44" spans="2:7" ht="25.8" customHeight="1" x14ac:dyDescent="0.3">
      <c r="B44" s="3" t="s">
        <v>45</v>
      </c>
      <c r="C44" s="5">
        <f t="shared" ref="C44:G44" si="8">(C11)-(C43)</f>
        <v>1599457.0724000051</v>
      </c>
      <c r="D44" s="5">
        <f t="shared" si="8"/>
        <v>2185716.9051999957</v>
      </c>
      <c r="E44" s="5">
        <f t="shared" si="8"/>
        <v>2447970.7291000048</v>
      </c>
      <c r="F44" s="5">
        <f t="shared" si="8"/>
        <v>3321936.4569000015</v>
      </c>
      <c r="G44" s="5">
        <f t="shared" si="8"/>
        <v>1052122.2798000048</v>
      </c>
    </row>
    <row r="45" spans="2:7" ht="25.8" customHeight="1" x14ac:dyDescent="0.3">
      <c r="B45" s="3" t="s">
        <v>46</v>
      </c>
      <c r="C45" s="6"/>
      <c r="D45" s="6"/>
      <c r="E45" s="6"/>
      <c r="F45" s="6"/>
      <c r="G45" s="6"/>
    </row>
    <row r="46" spans="2:7" ht="25.8" customHeight="1" x14ac:dyDescent="0.3">
      <c r="B46" s="3" t="s">
        <v>47</v>
      </c>
      <c r="C46" s="4">
        <v>85366.37000000001</v>
      </c>
      <c r="D46" s="4">
        <v>85366.37000000001</v>
      </c>
      <c r="E46" s="4">
        <v>85366.37000000001</v>
      </c>
      <c r="F46" s="4">
        <v>85366.37000000001</v>
      </c>
      <c r="G46" s="4">
        <v>85366.37000000001</v>
      </c>
    </row>
    <row r="47" spans="2:7" ht="25.8" customHeight="1" x14ac:dyDescent="0.3">
      <c r="B47" s="3" t="s">
        <v>48</v>
      </c>
      <c r="C47" s="4">
        <f t="shared" ref="C47:G47" si="9">305833.32</f>
        <v>305833.32</v>
      </c>
      <c r="D47" s="4">
        <f t="shared" si="9"/>
        <v>305833.32</v>
      </c>
      <c r="E47" s="4">
        <f t="shared" si="9"/>
        <v>305833.32</v>
      </c>
      <c r="F47" s="4">
        <f t="shared" si="9"/>
        <v>305833.32</v>
      </c>
      <c r="G47" s="4">
        <f t="shared" si="9"/>
        <v>305833.32</v>
      </c>
    </row>
    <row r="48" spans="2:7" ht="25.8" customHeight="1" x14ac:dyDescent="0.3">
      <c r="B48" s="3" t="s">
        <v>49</v>
      </c>
      <c r="C48" s="4">
        <f>22893.43</f>
        <v>22893.43</v>
      </c>
      <c r="D48" s="4">
        <f>10907.62</f>
        <v>10907.62</v>
      </c>
      <c r="E48" s="4">
        <f>10206.8</f>
        <v>10206.799999999999</v>
      </c>
      <c r="F48" s="4">
        <f>10745.9</f>
        <v>10745.9</v>
      </c>
      <c r="G48" s="4">
        <f>5656.14</f>
        <v>5656.14</v>
      </c>
    </row>
    <row r="49" spans="2:7" ht="25.8" customHeight="1" x14ac:dyDescent="0.3">
      <c r="B49" s="3" t="s">
        <v>50</v>
      </c>
      <c r="C49" s="5">
        <f t="shared" ref="C49:G49" si="10">((((((C46)+(C47))+(C48)))))</f>
        <v>414093.12</v>
      </c>
      <c r="D49" s="5">
        <f t="shared" si="10"/>
        <v>402107.31</v>
      </c>
      <c r="E49" s="5">
        <f t="shared" si="10"/>
        <v>401406.49</v>
      </c>
      <c r="F49" s="5">
        <f t="shared" si="10"/>
        <v>401945.59</v>
      </c>
      <c r="G49" s="5">
        <f t="shared" si="10"/>
        <v>396855.83</v>
      </c>
    </row>
    <row r="50" spans="2:7" ht="25.8" customHeight="1" thickBot="1" x14ac:dyDescent="0.35">
      <c r="B50" s="3" t="s">
        <v>51</v>
      </c>
      <c r="C50" s="7">
        <f t="shared" ref="C50:G50" si="11">C44-C49</f>
        <v>1185363.952400005</v>
      </c>
      <c r="D50" s="7">
        <f t="shared" si="11"/>
        <v>1783609.5951999957</v>
      </c>
      <c r="E50" s="7">
        <f t="shared" si="11"/>
        <v>2046564.2391000048</v>
      </c>
      <c r="F50" s="7">
        <f t="shared" si="11"/>
        <v>2919990.8669000017</v>
      </c>
      <c r="G50" s="7">
        <f>G44-G49</f>
        <v>655266.44980000472</v>
      </c>
    </row>
    <row r="51" spans="2:7" ht="15" thickTop="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38A6-293A-4FCD-8770-CE5E2237A69F}">
  <dimension ref="B4:S16"/>
  <sheetViews>
    <sheetView tabSelected="1" topLeftCell="L1" workbookViewId="0">
      <selection activeCell="G28" sqref="G28"/>
    </sheetView>
  </sheetViews>
  <sheetFormatPr defaultRowHeight="14.4" x14ac:dyDescent="0.3"/>
  <cols>
    <col min="4" max="4" width="32.109375" customWidth="1"/>
    <col min="5" max="5" width="23.109375" customWidth="1"/>
    <col min="6" max="9" width="15.5546875" bestFit="1" customWidth="1"/>
    <col min="14" max="14" width="41.21875" bestFit="1" customWidth="1"/>
    <col min="15" max="15" width="18.44140625" bestFit="1" customWidth="1"/>
    <col min="16" max="16" width="18.109375" bestFit="1" customWidth="1"/>
    <col min="17" max="17" width="17.5546875" bestFit="1" customWidth="1"/>
    <col min="18" max="18" width="18.21875" bestFit="1" customWidth="1"/>
    <col min="19" max="19" width="18.44140625" bestFit="1" customWidth="1"/>
  </cols>
  <sheetData>
    <row r="4" spans="2:19" ht="15.6" x14ac:dyDescent="0.3">
      <c r="D4" s="15" t="s">
        <v>52</v>
      </c>
      <c r="E4" s="16" t="s">
        <v>0</v>
      </c>
      <c r="F4" s="16" t="s">
        <v>1</v>
      </c>
      <c r="G4" s="16" t="s">
        <v>2</v>
      </c>
      <c r="H4" s="16" t="s">
        <v>3</v>
      </c>
      <c r="I4" s="16" t="s">
        <v>4</v>
      </c>
      <c r="N4" s="17" t="s">
        <v>52</v>
      </c>
      <c r="O4" s="20" t="s">
        <v>55</v>
      </c>
      <c r="P4" s="20" t="s">
        <v>56</v>
      </c>
      <c r="Q4" s="20" t="s">
        <v>57</v>
      </c>
      <c r="R4" s="20" t="s">
        <v>58</v>
      </c>
      <c r="S4" s="20" t="s">
        <v>59</v>
      </c>
    </row>
    <row r="5" spans="2:19" ht="25.8" customHeight="1" x14ac:dyDescent="0.3">
      <c r="D5" s="12" t="s">
        <v>54</v>
      </c>
      <c r="E5" s="13">
        <v>512742.79000000004</v>
      </c>
      <c r="F5" s="13">
        <v>543996.05000000005</v>
      </c>
      <c r="G5" s="13">
        <v>553650.79</v>
      </c>
      <c r="H5" s="13">
        <v>554183.68999999994</v>
      </c>
      <c r="I5" s="13">
        <v>854237.2</v>
      </c>
      <c r="N5" s="18" t="s">
        <v>53</v>
      </c>
      <c r="O5" s="19">
        <v>75597.350000000006</v>
      </c>
      <c r="P5" s="19">
        <v>96275.540000000008</v>
      </c>
      <c r="Q5" s="19">
        <v>69686.83</v>
      </c>
      <c r="R5" s="19">
        <v>66755.56</v>
      </c>
      <c r="S5" s="19">
        <v>49870.51</v>
      </c>
    </row>
    <row r="6" spans="2:19" x14ac:dyDescent="0.3">
      <c r="D6" s="12" t="s">
        <v>36</v>
      </c>
      <c r="E6" s="13">
        <v>1994839.7900000003</v>
      </c>
      <c r="F6" s="13">
        <v>2081070.93</v>
      </c>
      <c r="G6" s="13">
        <v>2212067.4699999997</v>
      </c>
      <c r="H6" s="13">
        <v>2143508.9400000004</v>
      </c>
      <c r="I6" s="13">
        <v>2142573.88</v>
      </c>
      <c r="N6" s="18" t="s">
        <v>36</v>
      </c>
      <c r="O6" s="19">
        <v>1994839.7900000003</v>
      </c>
      <c r="P6" s="19">
        <v>2081070.93</v>
      </c>
      <c r="Q6" s="19">
        <v>2212067.4699999997</v>
      </c>
      <c r="R6" s="19">
        <v>2143508.9400000004</v>
      </c>
      <c r="S6" s="19">
        <v>2142573.88</v>
      </c>
    </row>
    <row r="7" spans="2:19" ht="17.399999999999999" customHeight="1" x14ac:dyDescent="0.3">
      <c r="D7" s="12" t="s">
        <v>42</v>
      </c>
      <c r="E7" s="13">
        <v>80893.64</v>
      </c>
      <c r="F7" s="13">
        <v>138978.25999999998</v>
      </c>
      <c r="G7" s="13">
        <v>96336.200000000012</v>
      </c>
      <c r="H7" s="13">
        <v>115632.29000000001</v>
      </c>
      <c r="I7" s="13">
        <v>107476.29000000001</v>
      </c>
      <c r="N7" s="18" t="s">
        <v>13</v>
      </c>
      <c r="O7" s="19">
        <v>345453.55760000006</v>
      </c>
      <c r="P7" s="19">
        <v>384924.6348</v>
      </c>
      <c r="Q7" s="19">
        <v>397973.44089999999</v>
      </c>
      <c r="R7" s="19">
        <v>478645.60310000001</v>
      </c>
      <c r="S7" s="19">
        <v>466880.25020000001</v>
      </c>
    </row>
    <row r="8" spans="2:19" x14ac:dyDescent="0.3">
      <c r="D8" s="8" t="s">
        <v>43</v>
      </c>
      <c r="E8" s="14">
        <v>113483.37999999996</v>
      </c>
      <c r="F8" s="14">
        <v>118296.45</v>
      </c>
      <c r="G8" s="14">
        <v>102122.84000000007</v>
      </c>
      <c r="H8" s="14">
        <v>100484.20000000001</v>
      </c>
      <c r="I8" s="14">
        <v>227390.48000000007</v>
      </c>
      <c r="N8" s="18" t="s">
        <v>54</v>
      </c>
      <c r="O8" s="19">
        <v>512742.79000000004</v>
      </c>
      <c r="P8" s="19">
        <v>543996.05000000005</v>
      </c>
      <c r="Q8" s="19">
        <v>553650.79</v>
      </c>
      <c r="R8" s="19">
        <v>554183.68999999994</v>
      </c>
      <c r="S8" s="19">
        <v>854237.2</v>
      </c>
    </row>
    <row r="9" spans="2:19" ht="28.2" x14ac:dyDescent="0.3">
      <c r="D9" s="8" t="s">
        <v>13</v>
      </c>
      <c r="E9" s="13">
        <v>345453.55760000006</v>
      </c>
      <c r="F9" s="13">
        <v>384924.6348</v>
      </c>
      <c r="G9" s="13">
        <v>397973.44089999999</v>
      </c>
      <c r="H9" s="13">
        <v>478645.60310000001</v>
      </c>
      <c r="I9" s="13">
        <v>466880.25020000001</v>
      </c>
      <c r="N9" s="18" t="s">
        <v>42</v>
      </c>
      <c r="O9" s="19">
        <v>80893.64</v>
      </c>
      <c r="P9" s="19">
        <v>138978.25999999998</v>
      </c>
      <c r="Q9" s="19">
        <v>96336.200000000012</v>
      </c>
      <c r="R9" s="19">
        <v>115632.29000000001</v>
      </c>
      <c r="S9" s="19">
        <v>107476.29000000001</v>
      </c>
    </row>
    <row r="10" spans="2:19" ht="28.2" x14ac:dyDescent="0.3">
      <c r="D10" s="11" t="s">
        <v>53</v>
      </c>
      <c r="E10" s="14">
        <v>75597.350000000006</v>
      </c>
      <c r="F10" s="14">
        <v>96275.540000000008</v>
      </c>
      <c r="G10" s="14">
        <v>69686.83</v>
      </c>
      <c r="H10" s="14">
        <v>66755.56</v>
      </c>
      <c r="I10" s="13">
        <v>49870.51</v>
      </c>
      <c r="N10" s="18" t="s">
        <v>44</v>
      </c>
      <c r="O10" s="19">
        <v>3123010.5076000001</v>
      </c>
      <c r="P10" s="19">
        <v>3363541.8648000001</v>
      </c>
      <c r="Q10" s="19">
        <v>3431837.5708999997</v>
      </c>
      <c r="R10" s="19">
        <v>3459210.2831000006</v>
      </c>
      <c r="S10" s="19">
        <v>3848428.6102</v>
      </c>
    </row>
    <row r="11" spans="2:19" ht="28.2" x14ac:dyDescent="0.3">
      <c r="D11" s="8" t="s">
        <v>44</v>
      </c>
      <c r="E11" s="13">
        <f>SUM(E5:E10)</f>
        <v>3123010.5076000001</v>
      </c>
      <c r="F11" s="13">
        <f t="shared" ref="F11:I11" si="0">SUM(F5:F10)</f>
        <v>3363541.8648000001</v>
      </c>
      <c r="G11" s="13">
        <f t="shared" si="0"/>
        <v>3431837.5708999997</v>
      </c>
      <c r="H11" s="13">
        <f t="shared" si="0"/>
        <v>3459210.2831000006</v>
      </c>
      <c r="I11" s="13">
        <f t="shared" si="0"/>
        <v>3848428.6102</v>
      </c>
      <c r="N11" s="18" t="s">
        <v>43</v>
      </c>
      <c r="O11" s="19">
        <v>113483.37999999996</v>
      </c>
      <c r="P11" s="19">
        <v>118296.45</v>
      </c>
      <c r="Q11" s="19">
        <v>102122.84000000007</v>
      </c>
      <c r="R11" s="19">
        <v>100484.20000000001</v>
      </c>
      <c r="S11" s="19">
        <v>227390.48000000007</v>
      </c>
    </row>
    <row r="12" spans="2:19" x14ac:dyDescent="0.3">
      <c r="D12" s="8"/>
      <c r="E12" s="13">
        <f>SUM(Expense[Jan - Mar, Y1])</f>
        <v>6246021.0152000003</v>
      </c>
      <c r="F12" s="13">
        <f>SUM(Expense[Apr - Jun, Y1])</f>
        <v>6727083.7296000002</v>
      </c>
      <c r="G12" s="13">
        <f>SUM(Expense[Jul - Sep, Y1])</f>
        <v>6863675.1417999994</v>
      </c>
      <c r="H12" s="13">
        <f>SUM(Expense[Oct - Dec, Y1])</f>
        <v>6918420.5662000012</v>
      </c>
      <c r="I12" s="13">
        <f>SUM(Expense[Jan - Mar, Y2])</f>
        <v>7696857.2204</v>
      </c>
    </row>
    <row r="13" spans="2:19" x14ac:dyDescent="0.3">
      <c r="F13" s="9">
        <f>(Expense[[#Totals],[Apr - Jun, Y1]]-Expense[[#Totals],[Jan - Mar, Y1]])/Expense[[#Totals],[Jan - Mar, Y1]]</f>
        <v>7.7019067535845642E-2</v>
      </c>
      <c r="G13" s="9">
        <f>(Expense[[#Totals],[Jul - Sep, Y1]]-Expense[[#Totals],[Apr - Jun, Y1]])/Expense[[#Totals],[Apr - Jun, Y1]]</f>
        <v>2.0304699285810895E-2</v>
      </c>
      <c r="H13" s="9">
        <f>(Expense[[#Totals],[Oct - Dec, Y1]]-Expense[[#Totals],[Jul - Sep, Y1]])/Expense[[#Totals],[Jul - Sep, Y1]]</f>
        <v>7.9761094849318242E-3</v>
      </c>
      <c r="I13" s="9">
        <f>(Expense[[#Totals],[Jan - Mar, Y2]]-Expense[[#Totals],[Oct - Dec, Y1]])/Expense[[#Totals],[Oct - Dec, Y1]]</f>
        <v>0.1125165269661485</v>
      </c>
    </row>
    <row r="16" spans="2:19" x14ac:dyDescent="0.3">
      <c r="B16" s="10"/>
      <c r="C16" s="10"/>
      <c r="D16" s="10"/>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Sandeep Reddy</cp:lastModifiedBy>
  <dcterms:created xsi:type="dcterms:W3CDTF">2023-04-10T22:04:57Z</dcterms:created>
  <dcterms:modified xsi:type="dcterms:W3CDTF">2023-09-02T20:20:25Z</dcterms:modified>
</cp:coreProperties>
</file>